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dpeltier\Desktop\New folder\2022 AMENDMENTS\PAN-LV\For posting\"/>
    </mc:Choice>
  </mc:AlternateContent>
  <xr:revisionPtr revIDLastSave="0" documentId="8_{361B9EFB-7805-40EF-B525-A753A044B479}" xr6:coauthVersionLast="47" xr6:coauthVersionMax="47" xr10:uidLastSave="{00000000-0000-0000-0000-000000000000}"/>
  <bookViews>
    <workbookView xWindow="-120" yWindow="-120" windowWidth="20730" windowHeight="11160" tabRatio="946" firstSheet="15" activeTab="15" xr2:uid="{00000000-000D-0000-FFFF-FFFF00000000}"/>
  </bookViews>
  <sheets>
    <sheet name="Pinecrest Total" sheetId="15" state="hidden" r:id="rId1"/>
    <sheet name="Horizon" sheetId="10" state="hidden" r:id="rId2"/>
    <sheet name="Cadence" sheetId="13" state="hidden" r:id="rId3"/>
    <sheet name="St Rose" sheetId="14" state="hidden" r:id="rId4"/>
    <sheet name="Sloan" sheetId="16" state="hidden" r:id="rId5"/>
    <sheet name="Inspirada" sheetId="17" state="hidden" r:id="rId6"/>
    <sheet name="System Wide" sheetId="21" state="hidden" r:id="rId7"/>
    <sheet name="SPED" sheetId="20" state="hidden" r:id="rId8"/>
    <sheet name="FY23" sheetId="30" r:id="rId9"/>
    <sheet name="FY24" sheetId="33" r:id="rId10"/>
    <sheet name="FY25" sheetId="36" r:id="rId11"/>
    <sheet name="FY26" sheetId="37" r:id="rId12"/>
    <sheet name="FY27" sheetId="38" r:id="rId13"/>
    <sheet name="FY28" sheetId="42" r:id="rId14"/>
    <sheet name="6-Year - Springs (new campus)" sheetId="47" r:id="rId15"/>
    <sheet name="6-Year - System" sheetId="39" r:id="rId16"/>
    <sheet name="Y1 cashflow - Springs" sheetId="54" r:id="rId17"/>
    <sheet name="H" sheetId="49" r:id="rId18"/>
    <sheet name="C" sheetId="50" r:id="rId19"/>
    <sheet name="I" sheetId="52" r:id="rId20"/>
    <sheet name="SR" sheetId="53" r:id="rId21"/>
    <sheet name="SC" sheetId="51" r:id="rId22"/>
    <sheet name="FFE" sheetId="48" r:id="rId23"/>
    <sheet name="Bond Payments" sheetId="31" r:id="rId24"/>
    <sheet name="Funding" sheetId="24" r:id="rId25"/>
    <sheet name="Use this enrollment" sheetId="34" r:id="rId26"/>
    <sheet name="Staffing Narrative" sheetId="44" r:id="rId27"/>
    <sheet name="Enrollment Tables - System" sheetId="43" r:id="rId28"/>
    <sheet name="Enrollment Tables - Springs" sheetId="40" r:id="rId29"/>
    <sheet name="Staffing Tables" sheetId="45" r:id="rId30"/>
  </sheets>
  <definedNames>
    <definedName name="_Toc4075975" localSheetId="29">'Staffing Tables'!$B$47</definedName>
    <definedName name="_Toc4075978" localSheetId="28">'Enrollment Tables - Springs'!$B$8</definedName>
    <definedName name="_Toc4075978" localSheetId="27">'Enrollment Tables - System'!$B$8</definedName>
    <definedName name="_xlnm.Print_Area" localSheetId="14">'6-Year - Springs (new campus)'!$A$1:$G$223</definedName>
    <definedName name="_xlnm.Print_Area" localSheetId="15">'6-Year - System'!$A$1:$G$244</definedName>
    <definedName name="_xlnm.Print_Area" localSheetId="18">'C'!$A$1:$G$223</definedName>
    <definedName name="_xlnm.Print_Area" localSheetId="2">Cadence!$A$1:$G$220</definedName>
    <definedName name="_xlnm.Print_Area" localSheetId="28">'Enrollment Tables - Springs'!$A$1:$I$74</definedName>
    <definedName name="_xlnm.Print_Area" localSheetId="27">'Enrollment Tables - System'!$A$1:$I$74</definedName>
    <definedName name="_xlnm.Print_Area" localSheetId="17">H!$A$1:$G$223</definedName>
    <definedName name="_xlnm.Print_Area" localSheetId="1">Horizon!$A$1:$G$220</definedName>
    <definedName name="_xlnm.Print_Area" localSheetId="19">I!$A$1:$G$223</definedName>
    <definedName name="_xlnm.Print_Area" localSheetId="5">Inspirada!$A$1:$G$220</definedName>
    <definedName name="_xlnm.Print_Area" localSheetId="0">'Pinecrest Total'!$A$1:$G$220</definedName>
    <definedName name="_xlnm.Print_Area" localSheetId="21">SC!$A$1:$G$223</definedName>
    <definedName name="_xlnm.Print_Area" localSheetId="4">Sloan!$A$1:$G$220</definedName>
    <definedName name="_xlnm.Print_Area" localSheetId="20">SR!$A$1:$G$223</definedName>
    <definedName name="_xlnm.Print_Area" localSheetId="3">'St Rose'!$A$1:$G$220</definedName>
    <definedName name="_xlnm.Print_Area" localSheetId="29">'Staffing Tables'!$A$1:$I$131</definedName>
    <definedName name="_xlnm.Print_Area" localSheetId="16">'Y1 cashflow - Springs'!$A$1:$P$108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" i="54" l="1"/>
  <c r="C112" i="54"/>
  <c r="D112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B112" i="54"/>
  <c r="G18" i="54"/>
  <c r="H18" i="54"/>
  <c r="I18" i="54"/>
  <c r="J18" i="54"/>
  <c r="K18" i="54"/>
  <c r="L18" i="54"/>
  <c r="M18" i="54"/>
  <c r="N18" i="54"/>
  <c r="O18" i="54"/>
  <c r="P18" i="54"/>
  <c r="F18" i="54"/>
  <c r="E18" i="54"/>
  <c r="D18" i="54"/>
  <c r="C18" i="54"/>
  <c r="B18" i="54"/>
  <c r="D46" i="54" l="1"/>
  <c r="D47" i="54" l="1"/>
  <c r="D45" i="54"/>
  <c r="D43" i="54"/>
  <c r="A112" i="54" l="1"/>
  <c r="AI125" i="42" l="1"/>
  <c r="AI126" i="42"/>
  <c r="AI126" i="38"/>
  <c r="AI125" i="38"/>
  <c r="AI125" i="37"/>
  <c r="AI126" i="37"/>
  <c r="AI126" i="36"/>
  <c r="AI125" i="36"/>
  <c r="AH77" i="33"/>
  <c r="C31" i="45" l="1"/>
  <c r="B166" i="53"/>
  <c r="C166" i="53"/>
  <c r="D166" i="53"/>
  <c r="E166" i="53"/>
  <c r="F166" i="53"/>
  <c r="G166" i="53"/>
  <c r="I15" i="53"/>
  <c r="J15" i="53"/>
  <c r="K15" i="53"/>
  <c r="L15" i="53"/>
  <c r="M15" i="53"/>
  <c r="N15" i="53"/>
  <c r="I16" i="53"/>
  <c r="J16" i="53"/>
  <c r="K16" i="53"/>
  <c r="L16" i="53"/>
  <c r="M16" i="53"/>
  <c r="N16" i="53"/>
  <c r="I17" i="53"/>
  <c r="J17" i="53"/>
  <c r="K17" i="53"/>
  <c r="L17" i="53"/>
  <c r="M17" i="53"/>
  <c r="N17" i="53"/>
  <c r="I18" i="53"/>
  <c r="J18" i="53"/>
  <c r="K18" i="53"/>
  <c r="L18" i="53"/>
  <c r="M18" i="53"/>
  <c r="N18" i="53"/>
  <c r="A230" i="53"/>
  <c r="A223" i="53"/>
  <c r="G27" i="53"/>
  <c r="F27" i="53"/>
  <c r="G4" i="53"/>
  <c r="F4" i="53"/>
  <c r="E4" i="53"/>
  <c r="D4" i="53"/>
  <c r="C4" i="53"/>
  <c r="B4" i="53"/>
  <c r="G3" i="53"/>
  <c r="G1" i="53"/>
  <c r="F1" i="53"/>
  <c r="F41" i="53" s="1"/>
  <c r="E1" i="53"/>
  <c r="E73" i="53" s="1"/>
  <c r="D1" i="53"/>
  <c r="D101" i="53" s="1"/>
  <c r="C1" i="53"/>
  <c r="B1" i="53"/>
  <c r="BA127" i="42"/>
  <c r="AZ127" i="42"/>
  <c r="AY127" i="42"/>
  <c r="AV127" i="42"/>
  <c r="AP127" i="42"/>
  <c r="AF127" i="42"/>
  <c r="AJ127" i="42" s="1"/>
  <c r="Z127" i="42"/>
  <c r="X127" i="42"/>
  <c r="G127" i="52" s="1"/>
  <c r="T127" i="42"/>
  <c r="N127" i="42"/>
  <c r="H127" i="42"/>
  <c r="L127" i="42" s="1"/>
  <c r="B127" i="42"/>
  <c r="BA127" i="38"/>
  <c r="AZ127" i="38"/>
  <c r="AY127" i="38"/>
  <c r="AV127" i="38"/>
  <c r="AP127" i="38"/>
  <c r="AF127" i="38"/>
  <c r="AJ127" i="38" s="1"/>
  <c r="Z127" i="38"/>
  <c r="T127" i="38"/>
  <c r="X127" i="38" s="1"/>
  <c r="F127" i="52" s="1"/>
  <c r="N127" i="38"/>
  <c r="H127" i="38"/>
  <c r="L127" i="38" s="1"/>
  <c r="B127" i="38"/>
  <c r="BA127" i="37"/>
  <c r="AZ127" i="37"/>
  <c r="AY127" i="37"/>
  <c r="AV127" i="37"/>
  <c r="AP127" i="37"/>
  <c r="AF127" i="37"/>
  <c r="AJ127" i="37" s="1"/>
  <c r="Z127" i="37"/>
  <c r="AD127" i="37" s="1"/>
  <c r="E127" i="51" s="1"/>
  <c r="X127" i="37"/>
  <c r="E127" i="52" s="1"/>
  <c r="T127" i="37"/>
  <c r="N127" i="37"/>
  <c r="R127" i="37" s="1"/>
  <c r="E127" i="53" s="1"/>
  <c r="H127" i="37"/>
  <c r="L127" i="37" s="1"/>
  <c r="B127" i="37"/>
  <c r="BA127" i="36"/>
  <c r="AZ127" i="36"/>
  <c r="AY127" i="36"/>
  <c r="AV127" i="36"/>
  <c r="AP127" i="36"/>
  <c r="AF127" i="36"/>
  <c r="AJ127" i="36" s="1"/>
  <c r="Z127" i="36"/>
  <c r="AD127" i="36" s="1"/>
  <c r="D127" i="51" s="1"/>
  <c r="T127" i="36"/>
  <c r="X127" i="36" s="1"/>
  <c r="D127" i="52" s="1"/>
  <c r="N127" i="36"/>
  <c r="R127" i="36" s="1"/>
  <c r="D127" i="53" s="1"/>
  <c r="H127" i="36"/>
  <c r="L127" i="36" s="1"/>
  <c r="B127" i="36"/>
  <c r="AF127" i="33"/>
  <c r="Z127" i="33"/>
  <c r="AD127" i="33" s="1"/>
  <c r="C127" i="51" s="1"/>
  <c r="T127" i="33"/>
  <c r="X127" i="33" s="1"/>
  <c r="C127" i="52" s="1"/>
  <c r="N127" i="33"/>
  <c r="R127" i="33" s="1"/>
  <c r="C127" i="53" s="1"/>
  <c r="H127" i="33"/>
  <c r="F127" i="33"/>
  <c r="B127" i="33"/>
  <c r="AJ127" i="33"/>
  <c r="AP127" i="33"/>
  <c r="AV127" i="33"/>
  <c r="AY127" i="33"/>
  <c r="AZ127" i="33"/>
  <c r="BA127" i="33"/>
  <c r="B166" i="52"/>
  <c r="C166" i="52"/>
  <c r="D166" i="52"/>
  <c r="E166" i="52"/>
  <c r="F166" i="52"/>
  <c r="G166" i="52"/>
  <c r="I13" i="52"/>
  <c r="I14" i="52"/>
  <c r="I15" i="52"/>
  <c r="J15" i="52"/>
  <c r="K15" i="52"/>
  <c r="L15" i="52"/>
  <c r="M15" i="52"/>
  <c r="N15" i="52"/>
  <c r="I16" i="52"/>
  <c r="J16" i="52"/>
  <c r="K16" i="52"/>
  <c r="L16" i="52"/>
  <c r="M16" i="52"/>
  <c r="N16" i="52"/>
  <c r="I17" i="52"/>
  <c r="J17" i="52"/>
  <c r="K17" i="52"/>
  <c r="L17" i="52"/>
  <c r="M17" i="52"/>
  <c r="N17" i="52"/>
  <c r="I18" i="52"/>
  <c r="J18" i="52"/>
  <c r="K18" i="52"/>
  <c r="L18" i="52"/>
  <c r="M18" i="52"/>
  <c r="N18" i="52"/>
  <c r="A230" i="52"/>
  <c r="A223" i="52"/>
  <c r="G27" i="52"/>
  <c r="F27" i="52"/>
  <c r="G4" i="52"/>
  <c r="F4" i="52"/>
  <c r="E4" i="52"/>
  <c r="D4" i="52"/>
  <c r="C4" i="52"/>
  <c r="B4" i="52"/>
  <c r="G3" i="52"/>
  <c r="G1" i="52"/>
  <c r="F1" i="52"/>
  <c r="E1" i="52"/>
  <c r="E73" i="52" s="1"/>
  <c r="D1" i="52"/>
  <c r="D152" i="52" s="1"/>
  <c r="D168" i="52" s="1"/>
  <c r="C1" i="52"/>
  <c r="C73" i="52" s="1"/>
  <c r="B1" i="52"/>
  <c r="I13" i="51"/>
  <c r="I15" i="51"/>
  <c r="I16" i="51"/>
  <c r="I17" i="51"/>
  <c r="J17" i="51"/>
  <c r="K17" i="51"/>
  <c r="L17" i="51"/>
  <c r="M17" i="51"/>
  <c r="N17" i="51"/>
  <c r="I18" i="51"/>
  <c r="J18" i="51"/>
  <c r="K18" i="51"/>
  <c r="L18" i="51"/>
  <c r="M18" i="51"/>
  <c r="N18" i="51"/>
  <c r="B166" i="51"/>
  <c r="C166" i="51"/>
  <c r="D166" i="51"/>
  <c r="E166" i="51"/>
  <c r="F166" i="51"/>
  <c r="G166" i="51"/>
  <c r="A230" i="51"/>
  <c r="A223" i="51"/>
  <c r="F27" i="51"/>
  <c r="G27" i="51" s="1"/>
  <c r="G4" i="51"/>
  <c r="F4" i="51"/>
  <c r="E4" i="51"/>
  <c r="D4" i="51"/>
  <c r="C4" i="51"/>
  <c r="B4" i="51"/>
  <c r="G3" i="51"/>
  <c r="G1" i="51"/>
  <c r="F1" i="51"/>
  <c r="E1" i="51"/>
  <c r="E41" i="51" s="1"/>
  <c r="D1" i="51"/>
  <c r="C1" i="51"/>
  <c r="B1" i="51"/>
  <c r="B223" i="51" s="1"/>
  <c r="I16" i="50"/>
  <c r="J16" i="50"/>
  <c r="K16" i="50"/>
  <c r="L16" i="50"/>
  <c r="M16" i="50"/>
  <c r="N16" i="50"/>
  <c r="I17" i="50"/>
  <c r="J17" i="50"/>
  <c r="K17" i="50"/>
  <c r="L17" i="50"/>
  <c r="M17" i="50"/>
  <c r="N17" i="50"/>
  <c r="J18" i="50"/>
  <c r="K18" i="50"/>
  <c r="L18" i="50"/>
  <c r="M18" i="50"/>
  <c r="N18" i="50"/>
  <c r="H150" i="33"/>
  <c r="H150" i="36" s="1"/>
  <c r="H150" i="37" s="1"/>
  <c r="H150" i="38" s="1"/>
  <c r="H150" i="42" s="1"/>
  <c r="B166" i="50"/>
  <c r="C166" i="50"/>
  <c r="D166" i="50"/>
  <c r="E166" i="50"/>
  <c r="F166" i="50"/>
  <c r="G166" i="50"/>
  <c r="A230" i="50"/>
  <c r="A223" i="50"/>
  <c r="F27" i="50"/>
  <c r="G27" i="50" s="1"/>
  <c r="G4" i="50"/>
  <c r="F4" i="50"/>
  <c r="E4" i="50"/>
  <c r="D4" i="50"/>
  <c r="C4" i="50"/>
  <c r="B4" i="50"/>
  <c r="G3" i="50"/>
  <c r="G1" i="50"/>
  <c r="G223" i="50" s="1"/>
  <c r="F1" i="50"/>
  <c r="F223" i="50" s="1"/>
  <c r="E1" i="50"/>
  <c r="D1" i="50"/>
  <c r="D73" i="50" s="1"/>
  <c r="C1" i="50"/>
  <c r="C152" i="50" s="1"/>
  <c r="C168" i="50" s="1"/>
  <c r="B1" i="50"/>
  <c r="B182" i="50" s="1"/>
  <c r="B193" i="50" s="1"/>
  <c r="E107" i="33"/>
  <c r="D107" i="33"/>
  <c r="C107" i="33"/>
  <c r="E106" i="33"/>
  <c r="D106" i="33"/>
  <c r="C106" i="33"/>
  <c r="B106" i="33"/>
  <c r="E105" i="33"/>
  <c r="D105" i="33"/>
  <c r="C105" i="33"/>
  <c r="B105" i="33"/>
  <c r="E104" i="33"/>
  <c r="D104" i="33"/>
  <c r="E103" i="33"/>
  <c r="D103" i="33"/>
  <c r="C103" i="33"/>
  <c r="K107" i="33"/>
  <c r="J107" i="33"/>
  <c r="I107" i="33"/>
  <c r="K106" i="33"/>
  <c r="J106" i="33"/>
  <c r="I106" i="33"/>
  <c r="H106" i="33"/>
  <c r="K105" i="33"/>
  <c r="J105" i="33"/>
  <c r="I105" i="33"/>
  <c r="K104" i="33"/>
  <c r="J104" i="33"/>
  <c r="I104" i="33"/>
  <c r="K103" i="33"/>
  <c r="J103" i="33"/>
  <c r="I103" i="33"/>
  <c r="Q107" i="33"/>
  <c r="P107" i="33"/>
  <c r="O107" i="33"/>
  <c r="Q106" i="33"/>
  <c r="P106" i="33"/>
  <c r="N106" i="33"/>
  <c r="Q105" i="33"/>
  <c r="P105" i="33"/>
  <c r="O105" i="33"/>
  <c r="N105" i="33"/>
  <c r="Q104" i="33"/>
  <c r="P104" i="33"/>
  <c r="O104" i="33"/>
  <c r="Q103" i="33"/>
  <c r="P103" i="33"/>
  <c r="O103" i="33"/>
  <c r="W107" i="33"/>
  <c r="V107" i="33"/>
  <c r="U107" i="33"/>
  <c r="W106" i="33"/>
  <c r="V106" i="33"/>
  <c r="U106" i="33"/>
  <c r="T106" i="33"/>
  <c r="W105" i="33"/>
  <c r="V105" i="33"/>
  <c r="U105" i="33"/>
  <c r="W104" i="33"/>
  <c r="V104" i="33"/>
  <c r="U104" i="33"/>
  <c r="W103" i="33"/>
  <c r="V103" i="33"/>
  <c r="U103" i="33"/>
  <c r="AA104" i="33"/>
  <c r="AA104" i="36" s="1"/>
  <c r="AA104" i="37" s="1"/>
  <c r="AA104" i="38" s="1"/>
  <c r="AA104" i="42" s="1"/>
  <c r="AB104" i="33"/>
  <c r="AB104" i="36" s="1"/>
  <c r="AB104" i="37" s="1"/>
  <c r="AB104" i="38" s="1"/>
  <c r="AB104" i="42" s="1"/>
  <c r="AC104" i="33"/>
  <c r="AA105" i="33"/>
  <c r="AA105" i="36" s="1"/>
  <c r="AA105" i="37" s="1"/>
  <c r="AA105" i="38" s="1"/>
  <c r="AA105" i="42" s="1"/>
  <c r="AB105" i="33"/>
  <c r="AB105" i="36" s="1"/>
  <c r="AB105" i="37" s="1"/>
  <c r="AB105" i="38" s="1"/>
  <c r="AB105" i="42" s="1"/>
  <c r="AC105" i="33"/>
  <c r="AC105" i="36" s="1"/>
  <c r="AC105" i="37" s="1"/>
  <c r="AC105" i="38" s="1"/>
  <c r="AC105" i="42" s="1"/>
  <c r="Z106" i="33"/>
  <c r="AA106" i="33"/>
  <c r="AA106" i="36" s="1"/>
  <c r="AA106" i="37" s="1"/>
  <c r="AA106" i="38" s="1"/>
  <c r="AA106" i="42" s="1"/>
  <c r="AB106" i="33"/>
  <c r="AB106" i="36" s="1"/>
  <c r="AB106" i="37" s="1"/>
  <c r="AB106" i="38" s="1"/>
  <c r="AB106" i="42" s="1"/>
  <c r="AC106" i="33"/>
  <c r="AC106" i="36" s="1"/>
  <c r="AC106" i="37" s="1"/>
  <c r="AC106" i="38" s="1"/>
  <c r="AC106" i="42" s="1"/>
  <c r="AA107" i="33"/>
  <c r="AB107" i="33"/>
  <c r="AB107" i="36" s="1"/>
  <c r="AB107" i="37" s="1"/>
  <c r="AB107" i="38" s="1"/>
  <c r="AB107" i="42" s="1"/>
  <c r="AC107" i="33"/>
  <c r="AC107" i="36" s="1"/>
  <c r="AC107" i="37" s="1"/>
  <c r="AC107" i="38" s="1"/>
  <c r="AC107" i="42" s="1"/>
  <c r="AA103" i="33"/>
  <c r="AB103" i="33"/>
  <c r="AB103" i="36" s="1"/>
  <c r="AB103" i="37" s="1"/>
  <c r="AB103" i="38" s="1"/>
  <c r="AB103" i="42" s="1"/>
  <c r="AC103" i="33"/>
  <c r="AC103" i="36" s="1"/>
  <c r="AC103" i="37" s="1"/>
  <c r="AC103" i="38" s="1"/>
  <c r="AC103" i="42" s="1"/>
  <c r="AA103" i="36"/>
  <c r="AA103" i="37" s="1"/>
  <c r="AA103" i="38" s="1"/>
  <c r="AA103" i="42" s="1"/>
  <c r="AC104" i="36"/>
  <c r="AC104" i="37" s="1"/>
  <c r="AC104" i="38" s="1"/>
  <c r="AC104" i="42" s="1"/>
  <c r="AA107" i="36"/>
  <c r="AA107" i="37" s="1"/>
  <c r="AA107" i="38" s="1"/>
  <c r="AA107" i="42" s="1"/>
  <c r="AJ38" i="42"/>
  <c r="AF159" i="37"/>
  <c r="AF159" i="42"/>
  <c r="AG153" i="42"/>
  <c r="AF114" i="42"/>
  <c r="AH113" i="42"/>
  <c r="AG113" i="42"/>
  <c r="AF112" i="42"/>
  <c r="AG105" i="42"/>
  <c r="AG78" i="38"/>
  <c r="AF114" i="38"/>
  <c r="AG113" i="38"/>
  <c r="AH113" i="38"/>
  <c r="AF113" i="38"/>
  <c r="AF112" i="38"/>
  <c r="AG107" i="38"/>
  <c r="AG107" i="42" s="1"/>
  <c r="AH107" i="38"/>
  <c r="AH107" i="42" s="1"/>
  <c r="AF107" i="38"/>
  <c r="AF107" i="42" s="1"/>
  <c r="AG124" i="37"/>
  <c r="AG124" i="38" s="1"/>
  <c r="AG124" i="42" s="1"/>
  <c r="AF114" i="37"/>
  <c r="AF112" i="37"/>
  <c r="AH103" i="37"/>
  <c r="AH103" i="38" s="1"/>
  <c r="AH103" i="42" s="1"/>
  <c r="AH104" i="37"/>
  <c r="AH104" i="38" s="1"/>
  <c r="AH104" i="42" s="1"/>
  <c r="AH105" i="37"/>
  <c r="AH105" i="38" s="1"/>
  <c r="AH105" i="42" s="1"/>
  <c r="AH106" i="37"/>
  <c r="AH106" i="38" s="1"/>
  <c r="AH106" i="42" s="1"/>
  <c r="AH107" i="37"/>
  <c r="AF106" i="37"/>
  <c r="AF106" i="38" s="1"/>
  <c r="AF106" i="42" s="1"/>
  <c r="AG153" i="37"/>
  <c r="AG153" i="38" s="1"/>
  <c r="BA200" i="42"/>
  <c r="AZ200" i="42"/>
  <c r="AY200" i="42"/>
  <c r="AV200" i="42"/>
  <c r="AP200" i="42"/>
  <c r="BA200" i="38"/>
  <c r="AZ200" i="38"/>
  <c r="AY200" i="38"/>
  <c r="AV200" i="38"/>
  <c r="AP200" i="38"/>
  <c r="BA200" i="37"/>
  <c r="AZ200" i="37"/>
  <c r="AY200" i="37"/>
  <c r="AV200" i="37"/>
  <c r="AP200" i="37"/>
  <c r="BA200" i="36"/>
  <c r="AZ200" i="36"/>
  <c r="AY200" i="36"/>
  <c r="AV200" i="36"/>
  <c r="AP200" i="36"/>
  <c r="AF199" i="33"/>
  <c r="AF199" i="36" s="1"/>
  <c r="AF199" i="37" s="1"/>
  <c r="AF199" i="42" s="1"/>
  <c r="AF179" i="36"/>
  <c r="AF179" i="37" s="1"/>
  <c r="AF179" i="38" s="1"/>
  <c r="AF179" i="42" s="1"/>
  <c r="AF180" i="36"/>
  <c r="AF180" i="37" s="1"/>
  <c r="AF180" i="38" s="1"/>
  <c r="AF180" i="42" s="1"/>
  <c r="AF178" i="36"/>
  <c r="AF178" i="37" s="1"/>
  <c r="AF178" i="38" s="1"/>
  <c r="AF178" i="42" s="1"/>
  <c r="AF174" i="36"/>
  <c r="AF174" i="37" s="1"/>
  <c r="AF174" i="38" s="1"/>
  <c r="AF174" i="42" s="1"/>
  <c r="AF173" i="36"/>
  <c r="AF173" i="37" s="1"/>
  <c r="AF173" i="38" s="1"/>
  <c r="AF173" i="42" s="1"/>
  <c r="AF170" i="36"/>
  <c r="AF170" i="37" s="1"/>
  <c r="AF170" i="38" s="1"/>
  <c r="AF170" i="42" s="1"/>
  <c r="AF169" i="36"/>
  <c r="AF169" i="37" s="1"/>
  <c r="AF169" i="38" s="1"/>
  <c r="AF169" i="42" s="1"/>
  <c r="AF112" i="36"/>
  <c r="AF114" i="36"/>
  <c r="AH113" i="36"/>
  <c r="AG113" i="36"/>
  <c r="AH114" i="36"/>
  <c r="AF113" i="36"/>
  <c r="AF114" i="33"/>
  <c r="AF113" i="33"/>
  <c r="AG113" i="33"/>
  <c r="AH113" i="33"/>
  <c r="AG80" i="36"/>
  <c r="BA81" i="38"/>
  <c r="AZ81" i="38"/>
  <c r="AS81" i="38"/>
  <c r="AR81" i="38"/>
  <c r="AV81" i="38" s="1"/>
  <c r="AM81" i="38"/>
  <c r="AL81" i="38"/>
  <c r="AF81" i="38"/>
  <c r="Z81" i="38"/>
  <c r="T81" i="38"/>
  <c r="N81" i="38"/>
  <c r="H81" i="38"/>
  <c r="B81" i="38"/>
  <c r="BA80" i="38"/>
  <c r="AZ80" i="38"/>
  <c r="AS80" i="38"/>
  <c r="AR80" i="38"/>
  <c r="AM80" i="38"/>
  <c r="AL80" i="38"/>
  <c r="AP80" i="38" s="1"/>
  <c r="AF80" i="38"/>
  <c r="Z80" i="38"/>
  <c r="T80" i="38"/>
  <c r="N80" i="38"/>
  <c r="H80" i="38"/>
  <c r="B80" i="38"/>
  <c r="BA79" i="38"/>
  <c r="AZ79" i="38"/>
  <c r="AS79" i="38"/>
  <c r="AR79" i="38"/>
  <c r="AM79" i="38"/>
  <c r="AL79" i="38"/>
  <c r="AF79" i="38"/>
  <c r="Z79" i="38"/>
  <c r="T79" i="38"/>
  <c r="N79" i="38"/>
  <c r="H79" i="38"/>
  <c r="B79" i="38"/>
  <c r="BA81" i="37"/>
  <c r="AZ81" i="37"/>
  <c r="AS81" i="37"/>
  <c r="AR81" i="37"/>
  <c r="AM81" i="37"/>
  <c r="AL81" i="37"/>
  <c r="AP81" i="37" s="1"/>
  <c r="AF81" i="37"/>
  <c r="Z81" i="37"/>
  <c r="T81" i="37"/>
  <c r="N81" i="37"/>
  <c r="H81" i="37"/>
  <c r="B81" i="37"/>
  <c r="BA80" i="37"/>
  <c r="AZ80" i="37"/>
  <c r="AS80" i="37"/>
  <c r="AR80" i="37"/>
  <c r="AV80" i="37" s="1"/>
  <c r="AM80" i="37"/>
  <c r="AL80" i="37"/>
  <c r="AF80" i="37"/>
  <c r="Z80" i="37"/>
  <c r="T80" i="37"/>
  <c r="N80" i="37"/>
  <c r="H80" i="37"/>
  <c r="B80" i="37"/>
  <c r="BA79" i="37"/>
  <c r="AZ79" i="37"/>
  <c r="AS79" i="37"/>
  <c r="AV79" i="37" s="1"/>
  <c r="AR79" i="37"/>
  <c r="AM79" i="37"/>
  <c r="AL79" i="37"/>
  <c r="AP79" i="37" s="1"/>
  <c r="AF79" i="37"/>
  <c r="Z79" i="37"/>
  <c r="T79" i="37"/>
  <c r="N79" i="37"/>
  <c r="H79" i="37"/>
  <c r="B79" i="37"/>
  <c r="BA81" i="36"/>
  <c r="AZ81" i="36"/>
  <c r="AS81" i="36"/>
  <c r="AR81" i="36"/>
  <c r="AV81" i="36" s="1"/>
  <c r="AM81" i="36"/>
  <c r="AL81" i="36"/>
  <c r="AF81" i="36"/>
  <c r="Z81" i="36"/>
  <c r="T81" i="36"/>
  <c r="N81" i="36"/>
  <c r="H81" i="36"/>
  <c r="B81" i="36"/>
  <c r="BA80" i="36"/>
  <c r="AZ80" i="36"/>
  <c r="AS80" i="36"/>
  <c r="AR80" i="36"/>
  <c r="AM80" i="36"/>
  <c r="AL80" i="36"/>
  <c r="AP80" i="36" s="1"/>
  <c r="AF80" i="36"/>
  <c r="AJ80" i="36" s="1"/>
  <c r="Z80" i="36"/>
  <c r="T80" i="36"/>
  <c r="N80" i="36"/>
  <c r="H80" i="36"/>
  <c r="B80" i="36"/>
  <c r="BA79" i="36"/>
  <c r="AZ79" i="36"/>
  <c r="AS79" i="36"/>
  <c r="AR79" i="36"/>
  <c r="AM79" i="36"/>
  <c r="AL79" i="36"/>
  <c r="AF79" i="36"/>
  <c r="Z79" i="36"/>
  <c r="T79" i="36"/>
  <c r="N79" i="36"/>
  <c r="H79" i="36"/>
  <c r="B79" i="36"/>
  <c r="AG103" i="36"/>
  <c r="AG103" i="37" s="1"/>
  <c r="AG103" i="38" s="1"/>
  <c r="AG103" i="42" s="1"/>
  <c r="AG104" i="36"/>
  <c r="AG104" i="37" s="1"/>
  <c r="AG104" i="38" s="1"/>
  <c r="AG104" i="42" s="1"/>
  <c r="AG106" i="36"/>
  <c r="AG106" i="37" s="1"/>
  <c r="AG106" i="38" s="1"/>
  <c r="AF105" i="36"/>
  <c r="AF105" i="37" s="1"/>
  <c r="AF105" i="38" s="1"/>
  <c r="AF105" i="42" s="1"/>
  <c r="AF195" i="36"/>
  <c r="AF195" i="37" s="1"/>
  <c r="AF195" i="38" s="1"/>
  <c r="AF195" i="42" s="1"/>
  <c r="AF198" i="36"/>
  <c r="AF198" i="37" s="1"/>
  <c r="AF198" i="38" s="1"/>
  <c r="AF198" i="42" s="1"/>
  <c r="AF201" i="37"/>
  <c r="AF201" i="38" s="1"/>
  <c r="AF201" i="42" s="1"/>
  <c r="AF202" i="36"/>
  <c r="AF202" i="37" s="1"/>
  <c r="AF202" i="38" s="1"/>
  <c r="AF202" i="42" s="1"/>
  <c r="AF203" i="36"/>
  <c r="AF203" i="37" s="1"/>
  <c r="AF203" i="38" s="1"/>
  <c r="AF203" i="42" s="1"/>
  <c r="AF204" i="36"/>
  <c r="AF204" i="37" s="1"/>
  <c r="AF204" i="38" s="1"/>
  <c r="AF204" i="42" s="1"/>
  <c r="AV133" i="38"/>
  <c r="AV134" i="38"/>
  <c r="AV135" i="38"/>
  <c r="AV136" i="38"/>
  <c r="AV133" i="37"/>
  <c r="AV134" i="37"/>
  <c r="AV135" i="37"/>
  <c r="AV136" i="37"/>
  <c r="BA136" i="42"/>
  <c r="AZ136" i="42"/>
  <c r="AY136" i="42"/>
  <c r="AX136" i="42"/>
  <c r="AV136" i="42"/>
  <c r="AP136" i="42"/>
  <c r="AJ136" i="42"/>
  <c r="AD136" i="42"/>
  <c r="G136" i="51" s="1"/>
  <c r="X136" i="42"/>
  <c r="G136" i="52" s="1"/>
  <c r="R136" i="42"/>
  <c r="G136" i="53" s="1"/>
  <c r="L136" i="42"/>
  <c r="G136" i="50" s="1"/>
  <c r="F136" i="42"/>
  <c r="AP135" i="42"/>
  <c r="BA134" i="42"/>
  <c r="AZ134" i="42"/>
  <c r="AY134" i="42"/>
  <c r="AV134" i="42"/>
  <c r="AP134" i="42"/>
  <c r="AJ134" i="42"/>
  <c r="AD134" i="42"/>
  <c r="G134" i="51" s="1"/>
  <c r="T134" i="42"/>
  <c r="AX134" i="42" s="1"/>
  <c r="R134" i="42"/>
  <c r="G134" i="53" s="1"/>
  <c r="L134" i="42"/>
  <c r="G134" i="50" s="1"/>
  <c r="F134" i="42"/>
  <c r="AP133" i="42"/>
  <c r="BA136" i="38"/>
  <c r="AZ136" i="38"/>
  <c r="AY136" i="38"/>
  <c r="AX136" i="38"/>
  <c r="AP136" i="38"/>
  <c r="AJ136" i="38"/>
  <c r="AD136" i="38"/>
  <c r="F136" i="51" s="1"/>
  <c r="X136" i="38"/>
  <c r="F136" i="52" s="1"/>
  <c r="R136" i="38"/>
  <c r="F136" i="53" s="1"/>
  <c r="L136" i="38"/>
  <c r="F136" i="50" s="1"/>
  <c r="F136" i="38"/>
  <c r="AP135" i="38"/>
  <c r="BA134" i="38"/>
  <c r="AZ134" i="38"/>
  <c r="AY134" i="38"/>
  <c r="AP134" i="38"/>
  <c r="AJ134" i="38"/>
  <c r="AD134" i="38"/>
  <c r="F134" i="51" s="1"/>
  <c r="T134" i="38"/>
  <c r="AX134" i="38" s="1"/>
  <c r="R134" i="38"/>
  <c r="F134" i="53" s="1"/>
  <c r="L134" i="38"/>
  <c r="F134" i="50" s="1"/>
  <c r="F134" i="38"/>
  <c r="AP133" i="38"/>
  <c r="BA136" i="37"/>
  <c r="AZ136" i="37"/>
  <c r="AY136" i="37"/>
  <c r="AX136" i="37"/>
  <c r="AP136" i="37"/>
  <c r="AJ136" i="37"/>
  <c r="AD136" i="37"/>
  <c r="E136" i="51" s="1"/>
  <c r="X136" i="37"/>
  <c r="E136" i="52" s="1"/>
  <c r="R136" i="37"/>
  <c r="E136" i="53" s="1"/>
  <c r="L136" i="37"/>
  <c r="E136" i="50" s="1"/>
  <c r="F136" i="37"/>
  <c r="AP135" i="37"/>
  <c r="BA134" i="37"/>
  <c r="AZ134" i="37"/>
  <c r="AY134" i="37"/>
  <c r="AP134" i="37"/>
  <c r="AJ134" i="37"/>
  <c r="AD134" i="37"/>
  <c r="E134" i="51" s="1"/>
  <c r="T134" i="37"/>
  <c r="AX134" i="37" s="1"/>
  <c r="R134" i="37"/>
  <c r="E134" i="53" s="1"/>
  <c r="L134" i="37"/>
  <c r="E134" i="50" s="1"/>
  <c r="F134" i="37"/>
  <c r="AP133" i="37"/>
  <c r="BA136" i="36"/>
  <c r="AZ136" i="36"/>
  <c r="AY136" i="36"/>
  <c r="AX136" i="36"/>
  <c r="AV136" i="36"/>
  <c r="AP136" i="36"/>
  <c r="AJ136" i="36"/>
  <c r="AD136" i="36"/>
  <c r="D136" i="51" s="1"/>
  <c r="X136" i="36"/>
  <c r="D136" i="52" s="1"/>
  <c r="R136" i="36"/>
  <c r="D136" i="53" s="1"/>
  <c r="L136" i="36"/>
  <c r="D136" i="50" s="1"/>
  <c r="F136" i="36"/>
  <c r="AP135" i="36"/>
  <c r="BA134" i="36"/>
  <c r="AZ134" i="36"/>
  <c r="AY134" i="36"/>
  <c r="AV134" i="36"/>
  <c r="AP134" i="36"/>
  <c r="AJ134" i="36"/>
  <c r="AD134" i="36"/>
  <c r="D134" i="51" s="1"/>
  <c r="T134" i="36"/>
  <c r="AX134" i="36" s="1"/>
  <c r="R134" i="36"/>
  <c r="D134" i="53" s="1"/>
  <c r="L134" i="36"/>
  <c r="D134" i="50" s="1"/>
  <c r="F134" i="36"/>
  <c r="AP133" i="36"/>
  <c r="AF104" i="33"/>
  <c r="AF104" i="36" s="1"/>
  <c r="AF104" i="37" s="1"/>
  <c r="AF104" i="38" s="1"/>
  <c r="AF104" i="42" s="1"/>
  <c r="AF197" i="33"/>
  <c r="AF197" i="36" s="1"/>
  <c r="AF197" i="37" s="1"/>
  <c r="AF197" i="38" s="1"/>
  <c r="AF197" i="42" s="1"/>
  <c r="AF196" i="33"/>
  <c r="AF196" i="36" s="1"/>
  <c r="AF196" i="37" s="1"/>
  <c r="AF196" i="38" s="1"/>
  <c r="AF196" i="42" s="1"/>
  <c r="AF194" i="33"/>
  <c r="AF194" i="36" s="1"/>
  <c r="AF194" i="37" s="1"/>
  <c r="AF194" i="38" s="1"/>
  <c r="AF194" i="42" s="1"/>
  <c r="BA175" i="42"/>
  <c r="AZ175" i="42"/>
  <c r="AY175" i="42"/>
  <c r="AV175" i="42"/>
  <c r="AP175" i="42"/>
  <c r="BA175" i="38"/>
  <c r="AZ175" i="38"/>
  <c r="AY175" i="38"/>
  <c r="AV175" i="38"/>
  <c r="AP175" i="38"/>
  <c r="BA175" i="37"/>
  <c r="AZ175" i="37"/>
  <c r="AY175" i="37"/>
  <c r="AV175" i="37"/>
  <c r="AP175" i="37"/>
  <c r="BA175" i="36"/>
  <c r="AZ175" i="36"/>
  <c r="AY175" i="36"/>
  <c r="AV175" i="36"/>
  <c r="AP175" i="36"/>
  <c r="AX80" i="36" l="1"/>
  <c r="E117" i="51"/>
  <c r="D152" i="53"/>
  <c r="D168" i="53" s="1"/>
  <c r="AJ106" i="38"/>
  <c r="AG106" i="42"/>
  <c r="E182" i="51"/>
  <c r="E193" i="51" s="1"/>
  <c r="B117" i="50"/>
  <c r="AF199" i="38"/>
  <c r="E41" i="53"/>
  <c r="E73" i="51"/>
  <c r="D73" i="53"/>
  <c r="BB134" i="42"/>
  <c r="AV79" i="36"/>
  <c r="AX79" i="37"/>
  <c r="AX81" i="37"/>
  <c r="AX80" i="38"/>
  <c r="B101" i="50"/>
  <c r="F117" i="50"/>
  <c r="BB136" i="37"/>
  <c r="BB136" i="42"/>
  <c r="AX79" i="36"/>
  <c r="AP79" i="36"/>
  <c r="AV79" i="38"/>
  <c r="G41" i="50"/>
  <c r="F101" i="50"/>
  <c r="BB136" i="36"/>
  <c r="BB136" i="38"/>
  <c r="AV80" i="36"/>
  <c r="AX81" i="36"/>
  <c r="AP81" i="36"/>
  <c r="AX80" i="37"/>
  <c r="AP80" i="37"/>
  <c r="AV81" i="37"/>
  <c r="AX79" i="38"/>
  <c r="AP79" i="38"/>
  <c r="AV80" i="38"/>
  <c r="AX81" i="38"/>
  <c r="AP81" i="38"/>
  <c r="B73" i="50"/>
  <c r="G152" i="50"/>
  <c r="G168" i="50" s="1"/>
  <c r="D73" i="51"/>
  <c r="D101" i="51"/>
  <c r="D152" i="51"/>
  <c r="D168" i="51" s="1"/>
  <c r="C152" i="52"/>
  <c r="C168" i="52" s="1"/>
  <c r="G140" i="52"/>
  <c r="G223" i="52"/>
  <c r="G73" i="52"/>
  <c r="E41" i="52"/>
  <c r="E182" i="52"/>
  <c r="E193" i="52" s="1"/>
  <c r="D101" i="52"/>
  <c r="E117" i="52"/>
  <c r="G101" i="53"/>
  <c r="G223" i="53"/>
  <c r="AX127" i="33"/>
  <c r="AX127" i="37"/>
  <c r="BB127" i="37" s="1"/>
  <c r="AX127" i="42"/>
  <c r="BB127" i="42" s="1"/>
  <c r="E182" i="53"/>
  <c r="E193" i="53" s="1"/>
  <c r="AX127" i="36"/>
  <c r="BB127" i="36" s="1"/>
  <c r="AX127" i="38"/>
  <c r="BB127" i="38" s="1"/>
  <c r="E117" i="53"/>
  <c r="B152" i="53"/>
  <c r="B168" i="53" s="1"/>
  <c r="B140" i="53"/>
  <c r="B101" i="53"/>
  <c r="B182" i="53"/>
  <c r="B193" i="53" s="1"/>
  <c r="B117" i="53"/>
  <c r="B73" i="53"/>
  <c r="B41" i="53"/>
  <c r="F117" i="53"/>
  <c r="C182" i="53"/>
  <c r="C193" i="53" s="1"/>
  <c r="C117" i="53"/>
  <c r="C101" i="53"/>
  <c r="C223" i="53"/>
  <c r="C140" i="53"/>
  <c r="C41" i="53"/>
  <c r="G73" i="53"/>
  <c r="F152" i="53"/>
  <c r="F168" i="53" s="1"/>
  <c r="F140" i="53"/>
  <c r="F101" i="53"/>
  <c r="F223" i="53"/>
  <c r="F73" i="53"/>
  <c r="G182" i="53"/>
  <c r="G193" i="53" s="1"/>
  <c r="G117" i="53"/>
  <c r="G152" i="53"/>
  <c r="G168" i="53" s="1"/>
  <c r="G41" i="53"/>
  <c r="C152" i="53"/>
  <c r="C168" i="53" s="1"/>
  <c r="C73" i="53"/>
  <c r="G140" i="53"/>
  <c r="F182" i="53"/>
  <c r="F193" i="53" s="1"/>
  <c r="B223" i="53"/>
  <c r="D182" i="53"/>
  <c r="D193" i="53" s="1"/>
  <c r="D117" i="53"/>
  <c r="D223" i="53"/>
  <c r="E223" i="53"/>
  <c r="E152" i="53"/>
  <c r="E168" i="53" s="1"/>
  <c r="E140" i="53"/>
  <c r="E101" i="53"/>
  <c r="D41" i="53"/>
  <c r="D140" i="53"/>
  <c r="F127" i="42"/>
  <c r="R127" i="42"/>
  <c r="G127" i="53" s="1"/>
  <c r="AD127" i="42"/>
  <c r="G127" i="51" s="1"/>
  <c r="F127" i="38"/>
  <c r="R127" i="38"/>
  <c r="F127" i="53" s="1"/>
  <c r="AD127" i="38"/>
  <c r="F127" i="51" s="1"/>
  <c r="F127" i="37"/>
  <c r="F127" i="36"/>
  <c r="BB127" i="33"/>
  <c r="L127" i="33"/>
  <c r="B152" i="52"/>
  <c r="B168" i="52" s="1"/>
  <c r="B140" i="52"/>
  <c r="B101" i="52"/>
  <c r="B182" i="52"/>
  <c r="B193" i="52" s="1"/>
  <c r="B117" i="52"/>
  <c r="B73" i="52"/>
  <c r="B223" i="52"/>
  <c r="B41" i="52"/>
  <c r="F152" i="52"/>
  <c r="F168" i="52" s="1"/>
  <c r="F140" i="52"/>
  <c r="F101" i="52"/>
  <c r="F223" i="52"/>
  <c r="F73" i="52"/>
  <c r="F182" i="52"/>
  <c r="F193" i="52" s="1"/>
  <c r="F117" i="52"/>
  <c r="F41" i="52"/>
  <c r="C182" i="52"/>
  <c r="C193" i="52" s="1"/>
  <c r="C117" i="52"/>
  <c r="G182" i="52"/>
  <c r="G193" i="52" s="1"/>
  <c r="G117" i="52"/>
  <c r="D73" i="52"/>
  <c r="G101" i="52"/>
  <c r="D182" i="52"/>
  <c r="D193" i="52" s="1"/>
  <c r="D117" i="52"/>
  <c r="D223" i="52"/>
  <c r="C41" i="52"/>
  <c r="G41" i="52"/>
  <c r="C140" i="52"/>
  <c r="G152" i="52"/>
  <c r="G168" i="52" s="1"/>
  <c r="C223" i="52"/>
  <c r="E223" i="52"/>
  <c r="E152" i="52"/>
  <c r="E168" i="52" s="1"/>
  <c r="E140" i="52"/>
  <c r="E101" i="52"/>
  <c r="D41" i="52"/>
  <c r="C101" i="52"/>
  <c r="D140" i="52"/>
  <c r="F152" i="51"/>
  <c r="F168" i="51" s="1"/>
  <c r="F140" i="51"/>
  <c r="F101" i="51"/>
  <c r="F223" i="51"/>
  <c r="F73" i="51"/>
  <c r="C182" i="51"/>
  <c r="C193" i="51" s="1"/>
  <c r="C117" i="51"/>
  <c r="C101" i="51"/>
  <c r="C223" i="51"/>
  <c r="C140" i="51"/>
  <c r="C41" i="51"/>
  <c r="G182" i="51"/>
  <c r="G193" i="51" s="1"/>
  <c r="G117" i="51"/>
  <c r="G152" i="51"/>
  <c r="G168" i="51" s="1"/>
  <c r="G41" i="51"/>
  <c r="F117" i="51"/>
  <c r="G140" i="51"/>
  <c r="F182" i="51"/>
  <c r="F193" i="51" s="1"/>
  <c r="B152" i="51"/>
  <c r="B168" i="51" s="1"/>
  <c r="B140" i="51"/>
  <c r="B101" i="51"/>
  <c r="B182" i="51"/>
  <c r="B193" i="51" s="1"/>
  <c r="B117" i="51"/>
  <c r="B73" i="51"/>
  <c r="F41" i="51"/>
  <c r="G73" i="51"/>
  <c r="G223" i="51"/>
  <c r="B41" i="51"/>
  <c r="C73" i="51"/>
  <c r="G101" i="51"/>
  <c r="C152" i="51"/>
  <c r="C168" i="51" s="1"/>
  <c r="D182" i="51"/>
  <c r="D193" i="51" s="1"/>
  <c r="D117" i="51"/>
  <c r="D223" i="51"/>
  <c r="E223" i="51"/>
  <c r="E152" i="51"/>
  <c r="E168" i="51" s="1"/>
  <c r="E140" i="51"/>
  <c r="E101" i="51"/>
  <c r="D41" i="51"/>
  <c r="D140" i="51"/>
  <c r="E223" i="50"/>
  <c r="E152" i="50"/>
  <c r="E168" i="50" s="1"/>
  <c r="E140" i="50"/>
  <c r="E101" i="50"/>
  <c r="E117" i="50"/>
  <c r="E182" i="50"/>
  <c r="E193" i="50" s="1"/>
  <c r="E73" i="50"/>
  <c r="E41" i="50"/>
  <c r="B140" i="50"/>
  <c r="B41" i="50"/>
  <c r="B223" i="50"/>
  <c r="F182" i="50"/>
  <c r="F193" i="50" s="1"/>
  <c r="F152" i="50"/>
  <c r="F168" i="50" s="1"/>
  <c r="F73" i="50"/>
  <c r="F41" i="50"/>
  <c r="F140" i="50"/>
  <c r="G101" i="50"/>
  <c r="D223" i="50"/>
  <c r="D101" i="50"/>
  <c r="D152" i="50"/>
  <c r="D168" i="50" s="1"/>
  <c r="D117" i="50"/>
  <c r="D41" i="50"/>
  <c r="D140" i="50"/>
  <c r="D182" i="50"/>
  <c r="D193" i="50" s="1"/>
  <c r="C182" i="50"/>
  <c r="C193" i="50" s="1"/>
  <c r="C117" i="50"/>
  <c r="C73" i="50"/>
  <c r="C223" i="50"/>
  <c r="C101" i="50"/>
  <c r="G182" i="50"/>
  <c r="G193" i="50" s="1"/>
  <c r="G117" i="50"/>
  <c r="G73" i="50"/>
  <c r="G140" i="50"/>
  <c r="C41" i="50"/>
  <c r="C140" i="50"/>
  <c r="B152" i="50"/>
  <c r="B168" i="50" s="1"/>
  <c r="BB134" i="38"/>
  <c r="BB134" i="37"/>
  <c r="BB134" i="36"/>
  <c r="X134" i="42"/>
  <c r="G134" i="52" s="1"/>
  <c r="X134" i="38"/>
  <c r="F134" i="52" s="1"/>
  <c r="X134" i="37"/>
  <c r="E134" i="52" s="1"/>
  <c r="X134" i="36"/>
  <c r="D134" i="52" s="1"/>
  <c r="BA161" i="42" l="1"/>
  <c r="AZ161" i="42"/>
  <c r="AY161" i="42"/>
  <c r="BA161" i="38"/>
  <c r="AZ161" i="38"/>
  <c r="AY161" i="38"/>
  <c r="BA161" i="37"/>
  <c r="AZ161" i="37"/>
  <c r="AY161" i="37"/>
  <c r="BA161" i="36"/>
  <c r="AZ161" i="36"/>
  <c r="AY161" i="36"/>
  <c r="AG149" i="42"/>
  <c r="AF149" i="42"/>
  <c r="AG148" i="42"/>
  <c r="AG147" i="42"/>
  <c r="AG145" i="42"/>
  <c r="AA149" i="42"/>
  <c r="Z149" i="42"/>
  <c r="AA148" i="42"/>
  <c r="AA147" i="42"/>
  <c r="AA145" i="42"/>
  <c r="U149" i="42"/>
  <c r="T149" i="42"/>
  <c r="U148" i="42"/>
  <c r="U147" i="42"/>
  <c r="U145" i="42"/>
  <c r="O149" i="42"/>
  <c r="N149" i="42"/>
  <c r="O148" i="42"/>
  <c r="O147" i="42"/>
  <c r="O145" i="42"/>
  <c r="I149" i="42"/>
  <c r="H149" i="42"/>
  <c r="I148" i="42"/>
  <c r="I147" i="42"/>
  <c r="I145" i="42"/>
  <c r="C149" i="42"/>
  <c r="B149" i="42"/>
  <c r="C148" i="42"/>
  <c r="C147" i="42"/>
  <c r="C145" i="42"/>
  <c r="AG149" i="38"/>
  <c r="AF149" i="38"/>
  <c r="AG148" i="38"/>
  <c r="AG147" i="38"/>
  <c r="AG145" i="38"/>
  <c r="AA149" i="38"/>
  <c r="Z149" i="38"/>
  <c r="AA148" i="38"/>
  <c r="AA147" i="38"/>
  <c r="AA145" i="38"/>
  <c r="U149" i="38"/>
  <c r="T149" i="38"/>
  <c r="U148" i="38"/>
  <c r="U147" i="38"/>
  <c r="U145" i="38"/>
  <c r="O149" i="38"/>
  <c r="N149" i="38"/>
  <c r="O148" i="38"/>
  <c r="O147" i="38"/>
  <c r="O145" i="38"/>
  <c r="I149" i="38"/>
  <c r="H149" i="38"/>
  <c r="I148" i="38"/>
  <c r="I147" i="38"/>
  <c r="I145" i="38"/>
  <c r="C149" i="38"/>
  <c r="B149" i="38"/>
  <c r="C148" i="38"/>
  <c r="C147" i="38"/>
  <c r="C145" i="38"/>
  <c r="AG149" i="37"/>
  <c r="AF149" i="37"/>
  <c r="AG148" i="37"/>
  <c r="AG147" i="37"/>
  <c r="AG145" i="37"/>
  <c r="AA149" i="37"/>
  <c r="Z149" i="37"/>
  <c r="AA148" i="37"/>
  <c r="AA147" i="37"/>
  <c r="AA145" i="37"/>
  <c r="U149" i="37"/>
  <c r="T149" i="37"/>
  <c r="U148" i="37"/>
  <c r="U147" i="37"/>
  <c r="U145" i="37"/>
  <c r="O149" i="37"/>
  <c r="N149" i="37"/>
  <c r="O148" i="37"/>
  <c r="O147" i="37"/>
  <c r="O145" i="37"/>
  <c r="I149" i="37"/>
  <c r="H149" i="37"/>
  <c r="I148" i="37"/>
  <c r="I147" i="37"/>
  <c r="I145" i="37"/>
  <c r="C149" i="37"/>
  <c r="B149" i="37"/>
  <c r="C148" i="37"/>
  <c r="C147" i="37"/>
  <c r="C145" i="37"/>
  <c r="AG149" i="36"/>
  <c r="AF149" i="36"/>
  <c r="AG148" i="36"/>
  <c r="AG147" i="36"/>
  <c r="AG145" i="36"/>
  <c r="AA149" i="36"/>
  <c r="Z149" i="36"/>
  <c r="AA148" i="36"/>
  <c r="AA147" i="36"/>
  <c r="AA145" i="36"/>
  <c r="U149" i="36"/>
  <c r="T149" i="36"/>
  <c r="U148" i="36"/>
  <c r="U147" i="36"/>
  <c r="U145" i="36"/>
  <c r="O149" i="36"/>
  <c r="N149" i="36"/>
  <c r="O148" i="36"/>
  <c r="O147" i="36"/>
  <c r="O145" i="36"/>
  <c r="I149" i="36"/>
  <c r="H149" i="36"/>
  <c r="I148" i="36"/>
  <c r="I147" i="36"/>
  <c r="I145" i="36"/>
  <c r="C149" i="36"/>
  <c r="B149" i="36"/>
  <c r="C148" i="36"/>
  <c r="C147" i="36"/>
  <c r="C145" i="36"/>
  <c r="AM145" i="33"/>
  <c r="AM147" i="33"/>
  <c r="AM148" i="33"/>
  <c r="AL149" i="33"/>
  <c r="AM149" i="33"/>
  <c r="AN149" i="33"/>
  <c r="AG149" i="33"/>
  <c r="AF149" i="33"/>
  <c r="AG148" i="33"/>
  <c r="AG147" i="33"/>
  <c r="AG145" i="33"/>
  <c r="AA149" i="33"/>
  <c r="Z149" i="33"/>
  <c r="AA148" i="33"/>
  <c r="AA147" i="33"/>
  <c r="AA145" i="33"/>
  <c r="U149" i="33"/>
  <c r="T149" i="33"/>
  <c r="U148" i="33"/>
  <c r="U147" i="33"/>
  <c r="U145" i="33"/>
  <c r="O149" i="33"/>
  <c r="N149" i="33"/>
  <c r="O148" i="33"/>
  <c r="O147" i="33"/>
  <c r="O145" i="33"/>
  <c r="I149" i="33"/>
  <c r="H149" i="33"/>
  <c r="I148" i="33"/>
  <c r="I147" i="33"/>
  <c r="I145" i="33"/>
  <c r="C149" i="33"/>
  <c r="B149" i="33"/>
  <c r="C148" i="33"/>
  <c r="C147" i="33"/>
  <c r="C145" i="33"/>
  <c r="B166" i="49" l="1"/>
  <c r="C166" i="49"/>
  <c r="D166" i="49"/>
  <c r="E166" i="49"/>
  <c r="F166" i="49"/>
  <c r="G166" i="49"/>
  <c r="D134" i="49"/>
  <c r="E134" i="49"/>
  <c r="F134" i="49"/>
  <c r="G134" i="49"/>
  <c r="D136" i="49"/>
  <c r="E136" i="49"/>
  <c r="F136" i="49"/>
  <c r="G136" i="49"/>
  <c r="C127" i="49"/>
  <c r="D127" i="49"/>
  <c r="E127" i="49"/>
  <c r="F127" i="49"/>
  <c r="G127" i="49"/>
  <c r="A230" i="49"/>
  <c r="E223" i="49"/>
  <c r="A223" i="49"/>
  <c r="E41" i="49"/>
  <c r="F27" i="49"/>
  <c r="G27" i="49" s="1"/>
  <c r="G4" i="49"/>
  <c r="F4" i="49"/>
  <c r="E4" i="49"/>
  <c r="D4" i="49"/>
  <c r="C4" i="49"/>
  <c r="B4" i="49"/>
  <c r="G3" i="49"/>
  <c r="G1" i="49"/>
  <c r="G101" i="49" s="1"/>
  <c r="F1" i="49"/>
  <c r="E1" i="49"/>
  <c r="D1" i="49"/>
  <c r="C1" i="49"/>
  <c r="B1" i="49"/>
  <c r="AP133" i="33"/>
  <c r="AP134" i="33"/>
  <c r="AP135" i="33"/>
  <c r="AP136" i="33"/>
  <c r="AJ134" i="33"/>
  <c r="AJ135" i="33"/>
  <c r="L23" i="48"/>
  <c r="L22" i="48"/>
  <c r="K23" i="48"/>
  <c r="K22" i="48"/>
  <c r="K21" i="48"/>
  <c r="L21" i="48"/>
  <c r="K20" i="48"/>
  <c r="J23" i="48"/>
  <c r="J22" i="48"/>
  <c r="J21" i="48"/>
  <c r="J20" i="48"/>
  <c r="J19" i="48"/>
  <c r="I22" i="48"/>
  <c r="I21" i="48"/>
  <c r="I20" i="48"/>
  <c r="I19" i="48"/>
  <c r="I18" i="48"/>
  <c r="H21" i="48"/>
  <c r="G19" i="48"/>
  <c r="H20" i="48"/>
  <c r="H19" i="48"/>
  <c r="H18" i="48"/>
  <c r="H17" i="48"/>
  <c r="B127" i="48"/>
  <c r="G138" i="48"/>
  <c r="E133" i="48"/>
  <c r="G135" i="48"/>
  <c r="B11" i="48"/>
  <c r="B12" i="48"/>
  <c r="C12" i="48"/>
  <c r="C72" i="48" s="1"/>
  <c r="B13" i="48"/>
  <c r="C13" i="48"/>
  <c r="D13" i="48"/>
  <c r="D53" i="48" s="1"/>
  <c r="E13" i="48"/>
  <c r="F13" i="48"/>
  <c r="B14" i="48"/>
  <c r="B54" i="48" s="1"/>
  <c r="C14" i="48"/>
  <c r="D14" i="48"/>
  <c r="D74" i="48" s="1"/>
  <c r="E14" i="48"/>
  <c r="F14" i="48"/>
  <c r="F54" i="48" s="1"/>
  <c r="B15" i="48"/>
  <c r="B95" i="48" s="1"/>
  <c r="C15" i="48"/>
  <c r="C55" i="48" s="1"/>
  <c r="D15" i="48"/>
  <c r="E15" i="48"/>
  <c r="E96" i="48" s="1"/>
  <c r="F15" i="48"/>
  <c r="F95" i="48" s="1"/>
  <c r="G15" i="48"/>
  <c r="C16" i="48"/>
  <c r="C36" i="48" s="1"/>
  <c r="C136" i="48" s="1"/>
  <c r="D16" i="48"/>
  <c r="D96" i="48" s="1"/>
  <c r="E16" i="48"/>
  <c r="E97" i="48" s="1"/>
  <c r="F16" i="48"/>
  <c r="F56" i="48" s="1"/>
  <c r="G16" i="48"/>
  <c r="D17" i="48"/>
  <c r="D57" i="48" s="1"/>
  <c r="E17" i="48"/>
  <c r="E37" i="48" s="1"/>
  <c r="F17" i="48"/>
  <c r="F37" i="48" s="1"/>
  <c r="F137" i="48" s="1"/>
  <c r="G17" i="48"/>
  <c r="G18" i="48"/>
  <c r="B27" i="48"/>
  <c r="C27" i="48"/>
  <c r="D27" i="48"/>
  <c r="E27" i="48"/>
  <c r="F27" i="48"/>
  <c r="G28" i="48"/>
  <c r="B29" i="48"/>
  <c r="C29" i="48"/>
  <c r="D29" i="48"/>
  <c r="E29" i="48"/>
  <c r="F29" i="48"/>
  <c r="G29" i="48"/>
  <c r="B31" i="48"/>
  <c r="B131" i="48" s="1"/>
  <c r="O131" i="48" s="1"/>
  <c r="C33" i="48"/>
  <c r="C133" i="48" s="1"/>
  <c r="E34" i="48"/>
  <c r="E135" i="48" s="1"/>
  <c r="F34" i="48"/>
  <c r="F134" i="48" s="1"/>
  <c r="G39" i="48"/>
  <c r="B47" i="48"/>
  <c r="C47" i="48"/>
  <c r="D47" i="48"/>
  <c r="E47" i="48"/>
  <c r="F47" i="48"/>
  <c r="B49" i="48"/>
  <c r="C49" i="48"/>
  <c r="D49" i="48"/>
  <c r="E49" i="48"/>
  <c r="F49" i="48"/>
  <c r="G49" i="48"/>
  <c r="B53" i="48"/>
  <c r="C53" i="48"/>
  <c r="G55" i="48"/>
  <c r="G56" i="48"/>
  <c r="G57" i="48"/>
  <c r="G58" i="48"/>
  <c r="G59" i="48"/>
  <c r="B67" i="48"/>
  <c r="C67" i="48"/>
  <c r="D67" i="48"/>
  <c r="E67" i="48"/>
  <c r="F67" i="48"/>
  <c r="B69" i="48"/>
  <c r="C69" i="48"/>
  <c r="D69" i="48"/>
  <c r="E69" i="48"/>
  <c r="F69" i="48"/>
  <c r="G69" i="48"/>
  <c r="C73" i="48"/>
  <c r="B74" i="48"/>
  <c r="E74" i="48"/>
  <c r="F74" i="48"/>
  <c r="G75" i="48"/>
  <c r="G76" i="48"/>
  <c r="E77" i="48"/>
  <c r="G77" i="48"/>
  <c r="G78" i="48"/>
  <c r="G79" i="48"/>
  <c r="B87" i="48"/>
  <c r="C87" i="48"/>
  <c r="D87" i="48"/>
  <c r="E87" i="48"/>
  <c r="F87" i="48"/>
  <c r="G88" i="48"/>
  <c r="B89" i="48"/>
  <c r="C89" i="48"/>
  <c r="D89" i="48"/>
  <c r="E89" i="48"/>
  <c r="F89" i="48"/>
  <c r="G89" i="48"/>
  <c r="B91" i="48"/>
  <c r="O91" i="48" s="1"/>
  <c r="C93" i="48"/>
  <c r="E93" i="48"/>
  <c r="B94" i="48"/>
  <c r="F94" i="48"/>
  <c r="G95" i="48"/>
  <c r="C96" i="48"/>
  <c r="G96" i="48"/>
  <c r="D97" i="48"/>
  <c r="G97" i="48"/>
  <c r="G98" i="48"/>
  <c r="G99" i="48"/>
  <c r="B107" i="48"/>
  <c r="C107" i="48"/>
  <c r="D107" i="48"/>
  <c r="E107" i="48"/>
  <c r="F107" i="48"/>
  <c r="G108" i="48"/>
  <c r="G119" i="48" s="1"/>
  <c r="B109" i="48"/>
  <c r="C109" i="48"/>
  <c r="D109" i="48"/>
  <c r="E109" i="48"/>
  <c r="F109" i="48"/>
  <c r="G109" i="48"/>
  <c r="B113" i="48"/>
  <c r="C113" i="48"/>
  <c r="E113" i="48"/>
  <c r="C114" i="48"/>
  <c r="E115" i="48"/>
  <c r="E116" i="48"/>
  <c r="AH128" i="33"/>
  <c r="O23" i="48" l="1"/>
  <c r="B34" i="48"/>
  <c r="B134" i="48" s="1"/>
  <c r="O11" i="48"/>
  <c r="B111" i="48"/>
  <c r="O111" i="48" s="1"/>
  <c r="B182" i="49"/>
  <c r="B193" i="49" s="1"/>
  <c r="B41" i="49"/>
  <c r="B73" i="49"/>
  <c r="F223" i="49"/>
  <c r="F140" i="49"/>
  <c r="B117" i="49"/>
  <c r="B51" i="48"/>
  <c r="O51" i="48" s="1"/>
  <c r="D35" i="48"/>
  <c r="D135" i="48" s="1"/>
  <c r="D95" i="48"/>
  <c r="E54" i="48"/>
  <c r="E95" i="48"/>
  <c r="F53" i="48"/>
  <c r="F113" i="48"/>
  <c r="C117" i="49"/>
  <c r="C140" i="49"/>
  <c r="G140" i="49"/>
  <c r="G117" i="49"/>
  <c r="C182" i="49"/>
  <c r="C193" i="49" s="1"/>
  <c r="B71" i="48"/>
  <c r="O71" i="48" s="1"/>
  <c r="O31" i="48"/>
  <c r="G36" i="48"/>
  <c r="G35" i="48"/>
  <c r="E33" i="48"/>
  <c r="E134" i="48" s="1"/>
  <c r="O19" i="48"/>
  <c r="F41" i="49"/>
  <c r="E57" i="48"/>
  <c r="D223" i="49"/>
  <c r="D73" i="49"/>
  <c r="D182" i="49"/>
  <c r="D193" i="49" s="1"/>
  <c r="D140" i="49"/>
  <c r="D117" i="49"/>
  <c r="D101" i="49"/>
  <c r="D41" i="49"/>
  <c r="D152" i="49"/>
  <c r="D168" i="49" s="1"/>
  <c r="E182" i="49"/>
  <c r="E193" i="49" s="1"/>
  <c r="E140" i="49"/>
  <c r="E117" i="49"/>
  <c r="E101" i="49"/>
  <c r="E73" i="49"/>
  <c r="E152" i="49"/>
  <c r="E168" i="49" s="1"/>
  <c r="B101" i="49"/>
  <c r="B152" i="49"/>
  <c r="B168" i="49" s="1"/>
  <c r="F101" i="49"/>
  <c r="F152" i="49"/>
  <c r="F168" i="49" s="1"/>
  <c r="C41" i="49"/>
  <c r="G41" i="49"/>
  <c r="F73" i="49"/>
  <c r="C101" i="49"/>
  <c r="F182" i="49"/>
  <c r="F193" i="49" s="1"/>
  <c r="C152" i="49"/>
  <c r="C168" i="49" s="1"/>
  <c r="C223" i="49"/>
  <c r="C73" i="49"/>
  <c r="G152" i="49"/>
  <c r="G168" i="49" s="1"/>
  <c r="G223" i="49"/>
  <c r="G73" i="49"/>
  <c r="F117" i="49"/>
  <c r="B140" i="49"/>
  <c r="G182" i="49"/>
  <c r="G193" i="49" s="1"/>
  <c r="B223" i="49"/>
  <c r="O22" i="48"/>
  <c r="O20" i="48"/>
  <c r="O21" i="48"/>
  <c r="O18" i="48"/>
  <c r="G136" i="48"/>
  <c r="F57" i="48"/>
  <c r="O16" i="48"/>
  <c r="G137" i="48"/>
  <c r="G139" i="48"/>
  <c r="F116" i="48"/>
  <c r="F36" i="48"/>
  <c r="F136" i="48" s="1"/>
  <c r="C75" i="48"/>
  <c r="F115" i="48"/>
  <c r="F97" i="48"/>
  <c r="F96" i="48"/>
  <c r="O96" i="48" s="1"/>
  <c r="D93" i="48"/>
  <c r="B75" i="48"/>
  <c r="D73" i="48"/>
  <c r="D34" i="48"/>
  <c r="D134" i="48" s="1"/>
  <c r="D54" i="48"/>
  <c r="C32" i="48"/>
  <c r="C132" i="48" s="1"/>
  <c r="F117" i="48"/>
  <c r="F76" i="48"/>
  <c r="C35" i="48"/>
  <c r="C135" i="48" s="1"/>
  <c r="D94" i="48"/>
  <c r="D77" i="48"/>
  <c r="F75" i="48"/>
  <c r="O14" i="48"/>
  <c r="D116" i="48"/>
  <c r="B115" i="48"/>
  <c r="C112" i="48"/>
  <c r="C92" i="48"/>
  <c r="E75" i="48"/>
  <c r="D56" i="48"/>
  <c r="E55" i="48"/>
  <c r="E53" i="48"/>
  <c r="C52" i="48"/>
  <c r="G38" i="48"/>
  <c r="E35" i="48"/>
  <c r="E136" i="48" s="1"/>
  <c r="D33" i="48"/>
  <c r="D133" i="48" s="1"/>
  <c r="O15" i="48"/>
  <c r="F55" i="48"/>
  <c r="D37" i="48"/>
  <c r="D137" i="48" s="1"/>
  <c r="F35" i="48"/>
  <c r="F135" i="48" s="1"/>
  <c r="B35" i="48"/>
  <c r="B135" i="48" s="1"/>
  <c r="D117" i="48"/>
  <c r="C116" i="48"/>
  <c r="D114" i="48"/>
  <c r="D113" i="48"/>
  <c r="C56" i="48"/>
  <c r="B55" i="48"/>
  <c r="G37" i="48"/>
  <c r="G115" i="48"/>
  <c r="G118" i="48"/>
  <c r="C34" i="48"/>
  <c r="C134" i="48" s="1"/>
  <c r="O134" i="48" s="1"/>
  <c r="C74" i="48"/>
  <c r="O74" i="48" s="1"/>
  <c r="C54" i="48"/>
  <c r="B52" i="48"/>
  <c r="B112" i="48"/>
  <c r="O12" i="48"/>
  <c r="B92" i="48"/>
  <c r="B32" i="48"/>
  <c r="B72" i="48"/>
  <c r="O72" i="48" s="1"/>
  <c r="C94" i="48"/>
  <c r="O17" i="48"/>
  <c r="D55" i="48"/>
  <c r="D115" i="48"/>
  <c r="G117" i="48"/>
  <c r="G116" i="48"/>
  <c r="D75" i="48"/>
  <c r="O53" i="48"/>
  <c r="E56" i="48"/>
  <c r="E117" i="48"/>
  <c r="E36" i="48"/>
  <c r="E137" i="48" s="1"/>
  <c r="E76" i="48"/>
  <c r="F93" i="48"/>
  <c r="F33" i="48"/>
  <c r="F133" i="48" s="1"/>
  <c r="F73" i="48"/>
  <c r="O13" i="48"/>
  <c r="B93" i="48"/>
  <c r="B33" i="48"/>
  <c r="B133" i="48" s="1"/>
  <c r="O133" i="48" s="1"/>
  <c r="B73" i="48"/>
  <c r="F114" i="48"/>
  <c r="B114" i="48"/>
  <c r="C95" i="48"/>
  <c r="E94" i="48"/>
  <c r="D76" i="48"/>
  <c r="D36" i="48"/>
  <c r="C115" i="48"/>
  <c r="E114" i="48"/>
  <c r="F77" i="48"/>
  <c r="C76" i="48"/>
  <c r="E73" i="48"/>
  <c r="F144" i="48" l="1"/>
  <c r="C144" i="48"/>
  <c r="E144" i="48"/>
  <c r="O112" i="48"/>
  <c r="O95" i="48"/>
  <c r="O113" i="48"/>
  <c r="Q11" i="48"/>
  <c r="G144" i="48"/>
  <c r="O36" i="48"/>
  <c r="D136" i="48"/>
  <c r="O136" i="48" s="1"/>
  <c r="O32" i="48"/>
  <c r="B132" i="48"/>
  <c r="O132" i="48" s="1"/>
  <c r="O52" i="48"/>
  <c r="O135" i="48"/>
  <c r="O115" i="48"/>
  <c r="O54" i="48"/>
  <c r="O56" i="48"/>
  <c r="O34" i="48"/>
  <c r="Q14" i="48" s="1"/>
  <c r="O75" i="48"/>
  <c r="O55" i="48"/>
  <c r="O35" i="48"/>
  <c r="O33" i="48"/>
  <c r="O116" i="48"/>
  <c r="O92" i="48"/>
  <c r="O73" i="48"/>
  <c r="O94" i="48"/>
  <c r="O76" i="48"/>
  <c r="O114" i="48"/>
  <c r="O93" i="48"/>
  <c r="Q13" i="48" l="1"/>
  <c r="Q12" i="48"/>
  <c r="Q15" i="48"/>
  <c r="Q16" i="48"/>
  <c r="D144" i="48"/>
  <c r="B144" i="48"/>
  <c r="AF111" i="33"/>
  <c r="AF103" i="33"/>
  <c r="AF103" i="36" s="1"/>
  <c r="AF103" i="37" s="1"/>
  <c r="AF103" i="38" s="1"/>
  <c r="AF103" i="42" s="1"/>
  <c r="AH110" i="42"/>
  <c r="AB110" i="42"/>
  <c r="V110" i="42"/>
  <c r="P110" i="42"/>
  <c r="J110" i="42"/>
  <c r="D110" i="42"/>
  <c r="AH110" i="38"/>
  <c r="AB110" i="38"/>
  <c r="V110" i="38"/>
  <c r="P110" i="38"/>
  <c r="J110" i="38"/>
  <c r="D110" i="38"/>
  <c r="AH110" i="37"/>
  <c r="AB110" i="37"/>
  <c r="V110" i="37"/>
  <c r="P110" i="37"/>
  <c r="J110" i="37"/>
  <c r="D110" i="37"/>
  <c r="AH110" i="36"/>
  <c r="AB110" i="36"/>
  <c r="V110" i="36"/>
  <c r="P110" i="36"/>
  <c r="J110" i="36"/>
  <c r="D110" i="36"/>
  <c r="AH110" i="33"/>
  <c r="AB110" i="33"/>
  <c r="V110" i="33"/>
  <c r="P110" i="33"/>
  <c r="J110" i="33"/>
  <c r="D110" i="33"/>
  <c r="AF111" i="36" l="1"/>
  <c r="AF111" i="37" s="1"/>
  <c r="AF111" i="38" s="1"/>
  <c r="G109" i="30"/>
  <c r="C40" i="44"/>
  <c r="C39" i="44"/>
  <c r="C38" i="44"/>
  <c r="C37" i="44"/>
  <c r="C36" i="44"/>
  <c r="C35" i="44"/>
  <c r="C34" i="44"/>
  <c r="C33" i="44"/>
  <c r="C32" i="44"/>
  <c r="C31" i="44"/>
  <c r="C27" i="44"/>
  <c r="C28" i="44"/>
  <c r="C29" i="44"/>
  <c r="C30" i="44"/>
  <c r="C26" i="44"/>
  <c r="C44" i="45"/>
  <c r="C40" i="45"/>
  <c r="C41" i="45"/>
  <c r="C42" i="45"/>
  <c r="C43" i="45"/>
  <c r="C38" i="45"/>
  <c r="C37" i="45"/>
  <c r="C36" i="45"/>
  <c r="C35" i="45"/>
  <c r="C33" i="45"/>
  <c r="C29" i="45"/>
  <c r="C28" i="45"/>
  <c r="C27" i="45"/>
  <c r="C39" i="40"/>
  <c r="C40" i="40"/>
  <c r="C41" i="40"/>
  <c r="C42" i="40"/>
  <c r="C43" i="40"/>
  <c r="C44" i="40"/>
  <c r="C45" i="40"/>
  <c r="C46" i="40"/>
  <c r="C47" i="40"/>
  <c r="C48" i="40"/>
  <c r="C49" i="40"/>
  <c r="C50" i="40"/>
  <c r="C38" i="40"/>
  <c r="C17" i="40" s="1"/>
  <c r="J13" i="47"/>
  <c r="J14" i="47"/>
  <c r="K14" i="47"/>
  <c r="J15" i="47"/>
  <c r="K15" i="47"/>
  <c r="L15" i="47"/>
  <c r="J16" i="47"/>
  <c r="K16" i="47"/>
  <c r="L16" i="47"/>
  <c r="M16" i="47"/>
  <c r="J17" i="47"/>
  <c r="K17" i="47"/>
  <c r="L17" i="47"/>
  <c r="M17" i="47"/>
  <c r="N17" i="47"/>
  <c r="J18" i="47"/>
  <c r="K18" i="47"/>
  <c r="L18" i="47"/>
  <c r="M18" i="47"/>
  <c r="N18" i="47"/>
  <c r="C166" i="47"/>
  <c r="B72" i="54" s="1"/>
  <c r="E72" i="54" s="1"/>
  <c r="D166" i="47"/>
  <c r="E166" i="47"/>
  <c r="F166" i="47"/>
  <c r="G166" i="47"/>
  <c r="C134" i="47"/>
  <c r="B45" i="54" s="1"/>
  <c r="C45" i="54" s="1"/>
  <c r="D134" i="47"/>
  <c r="E134" i="47"/>
  <c r="F134" i="47"/>
  <c r="G134" i="47"/>
  <c r="C135" i="47"/>
  <c r="B46" i="54" s="1"/>
  <c r="C46" i="54" s="1"/>
  <c r="D136" i="47"/>
  <c r="E136" i="47"/>
  <c r="F136" i="47"/>
  <c r="G136" i="47"/>
  <c r="C127" i="47"/>
  <c r="B40" i="54" s="1"/>
  <c r="E40" i="54" s="1"/>
  <c r="D127" i="47"/>
  <c r="E127" i="47"/>
  <c r="F127" i="47"/>
  <c r="G127" i="47"/>
  <c r="G38" i="47"/>
  <c r="AD134" i="33"/>
  <c r="C134" i="51" s="1"/>
  <c r="T134" i="33"/>
  <c r="AX134" i="33" s="1"/>
  <c r="R134" i="33"/>
  <c r="C134" i="53" s="1"/>
  <c r="L134" i="33"/>
  <c r="C134" i="50" s="1"/>
  <c r="F134" i="33"/>
  <c r="C134" i="49" s="1"/>
  <c r="AZ134" i="33"/>
  <c r="BA134" i="33"/>
  <c r="AY134" i="33"/>
  <c r="AV134" i="33"/>
  <c r="A230" i="47"/>
  <c r="A223" i="47"/>
  <c r="B234" i="47"/>
  <c r="B233" i="47"/>
  <c r="B230" i="47"/>
  <c r="B232" i="47"/>
  <c r="B205" i="47"/>
  <c r="B192" i="47"/>
  <c r="B181" i="47"/>
  <c r="B176" i="47"/>
  <c r="B167" i="47"/>
  <c r="B128" i="47"/>
  <c r="B116" i="47"/>
  <c r="B99" i="47"/>
  <c r="B86" i="47"/>
  <c r="B62" i="47"/>
  <c r="B65" i="47" s="1"/>
  <c r="F27" i="47"/>
  <c r="G27" i="47" s="1"/>
  <c r="B19" i="47"/>
  <c r="B5" i="47"/>
  <c r="G4" i="47"/>
  <c r="F4" i="47"/>
  <c r="E4" i="47"/>
  <c r="D4" i="47"/>
  <c r="C4" i="47"/>
  <c r="B4" i="47"/>
  <c r="G3" i="47"/>
  <c r="G1" i="47"/>
  <c r="G223" i="47" s="1"/>
  <c r="F1" i="47"/>
  <c r="F117" i="47" s="1"/>
  <c r="E1" i="47"/>
  <c r="F25" i="44" s="1"/>
  <c r="F47" i="44" s="1"/>
  <c r="D1" i="47"/>
  <c r="E25" i="44" s="1"/>
  <c r="E47" i="44" s="1"/>
  <c r="C1" i="47"/>
  <c r="D25" i="44" s="1"/>
  <c r="D47" i="44" s="1"/>
  <c r="B1" i="47"/>
  <c r="C25" i="44" s="1"/>
  <c r="C47" i="44" s="1"/>
  <c r="K17" i="39"/>
  <c r="L17" i="39"/>
  <c r="M17" i="39"/>
  <c r="N17" i="39"/>
  <c r="K18" i="39"/>
  <c r="L18" i="39"/>
  <c r="M18" i="39"/>
  <c r="N18" i="39"/>
  <c r="J17" i="39"/>
  <c r="J18" i="39"/>
  <c r="BB223" i="42"/>
  <c r="BA223" i="42"/>
  <c r="AZ223" i="42"/>
  <c r="AY223" i="42"/>
  <c r="AX223" i="42"/>
  <c r="BA219" i="42"/>
  <c r="AZ219" i="42"/>
  <c r="AY219" i="42"/>
  <c r="AX219" i="42"/>
  <c r="BA218" i="42"/>
  <c r="AZ218" i="42"/>
  <c r="AY218" i="42"/>
  <c r="AX218" i="42"/>
  <c r="BA217" i="42"/>
  <c r="AZ217" i="42"/>
  <c r="AY217" i="42"/>
  <c r="AX217" i="42"/>
  <c r="BA216" i="42"/>
  <c r="AZ216" i="42"/>
  <c r="AY216" i="42"/>
  <c r="AX216" i="42"/>
  <c r="BA215" i="42"/>
  <c r="AZ215" i="42"/>
  <c r="AY215" i="42"/>
  <c r="AX215" i="42"/>
  <c r="BA214" i="42"/>
  <c r="AZ214" i="42"/>
  <c r="AY214" i="42"/>
  <c r="AX214" i="42"/>
  <c r="BA213" i="42"/>
  <c r="AZ213" i="42"/>
  <c r="AY213" i="42"/>
  <c r="AX213" i="42"/>
  <c r="BA212" i="42"/>
  <c r="AZ212" i="42"/>
  <c r="AY212" i="42"/>
  <c r="AX212" i="42"/>
  <c r="BA211" i="42"/>
  <c r="AZ211" i="42"/>
  <c r="AY211" i="42"/>
  <c r="AX211" i="42"/>
  <c r="BA210" i="42"/>
  <c r="AZ210" i="42"/>
  <c r="AY210" i="42"/>
  <c r="AX210" i="42"/>
  <c r="BA209" i="42"/>
  <c r="AZ209" i="42"/>
  <c r="AY209" i="42"/>
  <c r="BA204" i="42"/>
  <c r="AZ204" i="42"/>
  <c r="AY204" i="42"/>
  <c r="BA203" i="42"/>
  <c r="AZ203" i="42"/>
  <c r="AY203" i="42"/>
  <c r="BA202" i="42"/>
  <c r="AZ202" i="42"/>
  <c r="AY202" i="42"/>
  <c r="BA201" i="42"/>
  <c r="AZ201" i="42"/>
  <c r="AY201" i="42"/>
  <c r="BA199" i="42"/>
  <c r="AZ199" i="42"/>
  <c r="AY199" i="42"/>
  <c r="BA198" i="42"/>
  <c r="AZ198" i="42"/>
  <c r="AY198" i="42"/>
  <c r="BA197" i="42"/>
  <c r="AZ197" i="42"/>
  <c r="AY197" i="42"/>
  <c r="BA196" i="42"/>
  <c r="AZ196" i="42"/>
  <c r="AY196" i="42"/>
  <c r="BA195" i="42"/>
  <c r="AZ195" i="42"/>
  <c r="AY195" i="42"/>
  <c r="BA194" i="42"/>
  <c r="BA205" i="42" s="1"/>
  <c r="AZ194" i="42"/>
  <c r="AY194" i="42"/>
  <c r="BA191" i="42"/>
  <c r="AZ191" i="42"/>
  <c r="AY191" i="42"/>
  <c r="AX191" i="42"/>
  <c r="BA190" i="42"/>
  <c r="AZ190" i="42"/>
  <c r="AY190" i="42"/>
  <c r="AX190" i="42"/>
  <c r="BA189" i="42"/>
  <c r="AZ189" i="42"/>
  <c r="AY189" i="42"/>
  <c r="AX189" i="42"/>
  <c r="BA188" i="42"/>
  <c r="AZ188" i="42"/>
  <c r="AY188" i="42"/>
  <c r="AX188" i="42"/>
  <c r="BA187" i="42"/>
  <c r="AZ187" i="42"/>
  <c r="AY187" i="42"/>
  <c r="AX187" i="42"/>
  <c r="BA186" i="42"/>
  <c r="AZ186" i="42"/>
  <c r="AY186" i="42"/>
  <c r="BA185" i="42"/>
  <c r="AZ185" i="42"/>
  <c r="AY185" i="42"/>
  <c r="AX185" i="42"/>
  <c r="BA184" i="42"/>
  <c r="AZ184" i="42"/>
  <c r="AY184" i="42"/>
  <c r="AX184" i="42"/>
  <c r="AZ183" i="42"/>
  <c r="AZ192" i="42" s="1"/>
  <c r="AY183" i="42"/>
  <c r="BB182" i="42"/>
  <c r="BB193" i="42" s="1"/>
  <c r="BA182" i="42"/>
  <c r="BA193" i="42" s="1"/>
  <c r="AZ182" i="42"/>
  <c r="AZ193" i="42" s="1"/>
  <c r="AY182" i="42"/>
  <c r="AY193" i="42" s="1"/>
  <c r="AX182" i="42"/>
  <c r="AX193" i="42" s="1"/>
  <c r="BA180" i="42"/>
  <c r="AZ180" i="42"/>
  <c r="AY180" i="42"/>
  <c r="BA179" i="42"/>
  <c r="AZ179" i="42"/>
  <c r="AY179" i="42"/>
  <c r="BA178" i="42"/>
  <c r="BA181" i="42" s="1"/>
  <c r="AZ178" i="42"/>
  <c r="AY178" i="42"/>
  <c r="BA174" i="42"/>
  <c r="AZ174" i="42"/>
  <c r="AY174" i="42"/>
  <c r="BA173" i="42"/>
  <c r="AZ173" i="42"/>
  <c r="AY173" i="42"/>
  <c r="BA172" i="42"/>
  <c r="AZ172" i="42"/>
  <c r="AY172" i="42"/>
  <c r="AX172" i="42"/>
  <c r="BA171" i="42"/>
  <c r="AZ171" i="42"/>
  <c r="AY171" i="42"/>
  <c r="AX171" i="42"/>
  <c r="BA170" i="42"/>
  <c r="AZ170" i="42"/>
  <c r="AY170" i="42"/>
  <c r="BA169" i="42"/>
  <c r="BA176" i="42" s="1"/>
  <c r="AZ169" i="42"/>
  <c r="AY169" i="42"/>
  <c r="BA166" i="42"/>
  <c r="AZ166" i="42"/>
  <c r="AY166" i="42"/>
  <c r="AX166" i="42"/>
  <c r="BA165" i="42"/>
  <c r="AZ165" i="42"/>
  <c r="AY165" i="42"/>
  <c r="BA164" i="42"/>
  <c r="AZ164" i="42"/>
  <c r="AY164" i="42"/>
  <c r="BA163" i="42"/>
  <c r="AZ163" i="42"/>
  <c r="AY163" i="42"/>
  <c r="BA162" i="42"/>
  <c r="AZ162" i="42"/>
  <c r="AY162" i="42"/>
  <c r="AX162" i="42"/>
  <c r="BB162" i="42" s="1"/>
  <c r="BA160" i="42"/>
  <c r="AZ160" i="42"/>
  <c r="AY160" i="42"/>
  <c r="AX160" i="42"/>
  <c r="BA159" i="42"/>
  <c r="AZ159" i="42"/>
  <c r="AY159" i="42"/>
  <c r="BA157" i="42"/>
  <c r="AZ157" i="42"/>
  <c r="AY157" i="42"/>
  <c r="BA156" i="42"/>
  <c r="AZ156" i="42"/>
  <c r="AY156" i="42"/>
  <c r="BA155" i="42"/>
  <c r="AZ155" i="42"/>
  <c r="AY155" i="42"/>
  <c r="BA154" i="42"/>
  <c r="AY154" i="42"/>
  <c r="AX154" i="42"/>
  <c r="BA153" i="42"/>
  <c r="AZ153" i="42"/>
  <c r="AX153" i="42"/>
  <c r="BB152" i="42"/>
  <c r="BB168" i="42" s="1"/>
  <c r="BA152" i="42"/>
  <c r="BA168" i="42" s="1"/>
  <c r="AZ152" i="42"/>
  <c r="AZ168" i="42" s="1"/>
  <c r="AY152" i="42"/>
  <c r="AY168" i="42" s="1"/>
  <c r="AX152" i="42"/>
  <c r="AX168" i="42" s="1"/>
  <c r="BA150" i="42"/>
  <c r="AZ150" i="42"/>
  <c r="AY150" i="42"/>
  <c r="AX150" i="42"/>
  <c r="BA149" i="42"/>
  <c r="BA148" i="42"/>
  <c r="AZ148" i="42"/>
  <c r="BA147" i="42"/>
  <c r="AZ147" i="42"/>
  <c r="BA146" i="42"/>
  <c r="AZ146" i="42"/>
  <c r="AY146" i="42"/>
  <c r="BA145" i="42"/>
  <c r="AZ145" i="42"/>
  <c r="BA144" i="42"/>
  <c r="AZ144" i="42"/>
  <c r="AY144" i="42"/>
  <c r="BA143" i="42"/>
  <c r="AZ143" i="42"/>
  <c r="AY143" i="42"/>
  <c r="AX143" i="42"/>
  <c r="BA142" i="42"/>
  <c r="AZ142" i="42"/>
  <c r="AY142" i="42"/>
  <c r="BA141" i="42"/>
  <c r="AZ141" i="42"/>
  <c r="AY141" i="42"/>
  <c r="BB140" i="42"/>
  <c r="BA140" i="42"/>
  <c r="AZ140" i="42"/>
  <c r="AY140" i="42"/>
  <c r="AX140" i="42"/>
  <c r="AZ126" i="42"/>
  <c r="AY126" i="42"/>
  <c r="AX126" i="42"/>
  <c r="BA125" i="42"/>
  <c r="AZ125" i="42"/>
  <c r="AY125" i="42"/>
  <c r="AX125" i="42"/>
  <c r="BA118" i="42"/>
  <c r="AZ118" i="42"/>
  <c r="AY118" i="42"/>
  <c r="AX118" i="42"/>
  <c r="BB117" i="42"/>
  <c r="BA117" i="42"/>
  <c r="AZ117" i="42"/>
  <c r="AY117" i="42"/>
  <c r="AX117" i="42"/>
  <c r="BA115" i="42"/>
  <c r="AZ115" i="42"/>
  <c r="BA114" i="42"/>
  <c r="AY114" i="42"/>
  <c r="BA112" i="42"/>
  <c r="AZ112" i="42"/>
  <c r="AY112" i="42"/>
  <c r="BA111" i="42"/>
  <c r="AZ111" i="42"/>
  <c r="AY111" i="42"/>
  <c r="BA110" i="42"/>
  <c r="AY110" i="42"/>
  <c r="AX110" i="42"/>
  <c r="BA109" i="42"/>
  <c r="AZ109" i="42"/>
  <c r="AY109" i="42"/>
  <c r="AX109" i="42"/>
  <c r="AZ108" i="42"/>
  <c r="BA107" i="42"/>
  <c r="AZ107" i="42"/>
  <c r="BA106" i="42"/>
  <c r="AZ106" i="42"/>
  <c r="BA105" i="42"/>
  <c r="AZ105" i="42"/>
  <c r="BA104" i="42"/>
  <c r="AZ104" i="42"/>
  <c r="BA103" i="42"/>
  <c r="AZ103" i="42"/>
  <c r="BB101" i="42"/>
  <c r="BA101" i="42"/>
  <c r="AZ101" i="42"/>
  <c r="AY101" i="42"/>
  <c r="AX101" i="42"/>
  <c r="BA84" i="42"/>
  <c r="AZ84" i="42"/>
  <c r="AY84" i="42"/>
  <c r="AX84" i="42"/>
  <c r="BA83" i="42"/>
  <c r="AZ83" i="42"/>
  <c r="AY83" i="42"/>
  <c r="AX83" i="42"/>
  <c r="BA82" i="42"/>
  <c r="AZ82" i="42"/>
  <c r="AY82" i="42"/>
  <c r="BA81" i="42"/>
  <c r="AZ81" i="42"/>
  <c r="BA80" i="42"/>
  <c r="AZ80" i="42"/>
  <c r="BA79" i="42"/>
  <c r="AZ79" i="42"/>
  <c r="BA78" i="42"/>
  <c r="BA77" i="42"/>
  <c r="AZ76" i="42"/>
  <c r="BA75" i="42"/>
  <c r="AZ75" i="42"/>
  <c r="AY75" i="42"/>
  <c r="BA74" i="42"/>
  <c r="AZ74" i="42"/>
  <c r="AY74" i="42"/>
  <c r="BB73" i="42"/>
  <c r="BA73" i="42"/>
  <c r="AY73" i="42"/>
  <c r="AX73" i="42"/>
  <c r="BA61" i="42"/>
  <c r="AZ61" i="42"/>
  <c r="AY61" i="42"/>
  <c r="AX61" i="42"/>
  <c r="BA60" i="42"/>
  <c r="AZ60" i="42"/>
  <c r="AY60" i="42"/>
  <c r="AX60" i="42"/>
  <c r="BA59" i="42"/>
  <c r="AZ59" i="42"/>
  <c r="AY59" i="42"/>
  <c r="AX59" i="42"/>
  <c r="BA58" i="42"/>
  <c r="AZ58" i="42"/>
  <c r="AY58" i="42"/>
  <c r="AX58" i="42"/>
  <c r="BA57" i="42"/>
  <c r="AZ57" i="42"/>
  <c r="AY57" i="42"/>
  <c r="AX57" i="42"/>
  <c r="BA56" i="42"/>
  <c r="AZ56" i="42"/>
  <c r="AY56" i="42"/>
  <c r="AX56" i="42"/>
  <c r="BA55" i="42"/>
  <c r="AZ55" i="42"/>
  <c r="AY55" i="42"/>
  <c r="AX55" i="42"/>
  <c r="BA54" i="42"/>
  <c r="AZ54" i="42"/>
  <c r="AY54" i="42"/>
  <c r="AX54" i="42"/>
  <c r="BA53" i="42"/>
  <c r="AZ53" i="42"/>
  <c r="AY53" i="42"/>
  <c r="AX53" i="42"/>
  <c r="BA52" i="42"/>
  <c r="AZ52" i="42"/>
  <c r="AY52" i="42"/>
  <c r="AX52" i="42"/>
  <c r="BA51" i="42"/>
  <c r="AZ51" i="42"/>
  <c r="AY51" i="42"/>
  <c r="AX51" i="42"/>
  <c r="BA50" i="42"/>
  <c r="AZ50" i="42"/>
  <c r="AY50" i="42"/>
  <c r="AX50" i="42"/>
  <c r="BA49" i="42"/>
  <c r="AZ49" i="42"/>
  <c r="AY49" i="42"/>
  <c r="AX49" i="42"/>
  <c r="BA48" i="42"/>
  <c r="AZ48" i="42"/>
  <c r="AY48" i="42"/>
  <c r="AX48" i="42"/>
  <c r="BA47" i="42"/>
  <c r="AZ47" i="42"/>
  <c r="AY47" i="42"/>
  <c r="AX47" i="42"/>
  <c r="BA46" i="42"/>
  <c r="AZ46" i="42"/>
  <c r="AY46" i="42"/>
  <c r="AX46" i="42"/>
  <c r="BA45" i="42"/>
  <c r="AZ45" i="42"/>
  <c r="AY45" i="42"/>
  <c r="AX45" i="42"/>
  <c r="BA44" i="42"/>
  <c r="AZ44" i="42"/>
  <c r="AY44" i="42"/>
  <c r="AX44" i="42"/>
  <c r="BA43" i="42"/>
  <c r="AZ43" i="42"/>
  <c r="AY43" i="42"/>
  <c r="AX43" i="42"/>
  <c r="BA42" i="42"/>
  <c r="AZ42" i="42"/>
  <c r="AY42" i="42"/>
  <c r="AX42" i="42"/>
  <c r="BB41" i="42"/>
  <c r="BA41" i="42"/>
  <c r="AZ41" i="42"/>
  <c r="AY41" i="42"/>
  <c r="AX41" i="42"/>
  <c r="BA38" i="42"/>
  <c r="AZ38" i="42"/>
  <c r="AY38" i="42"/>
  <c r="AX38" i="42"/>
  <c r="BA37" i="42"/>
  <c r="AZ37" i="42"/>
  <c r="AY37" i="42"/>
  <c r="AX37" i="42"/>
  <c r="BA36" i="42"/>
  <c r="AZ36" i="42"/>
  <c r="AY36" i="42"/>
  <c r="AX36" i="42"/>
  <c r="BA35" i="42"/>
  <c r="AZ35" i="42"/>
  <c r="AY35" i="42"/>
  <c r="AX35" i="42"/>
  <c r="BA34" i="42"/>
  <c r="AZ34" i="42"/>
  <c r="AY34" i="42"/>
  <c r="AX34" i="42"/>
  <c r="BA33" i="42"/>
  <c r="AZ33" i="42"/>
  <c r="AY33" i="42"/>
  <c r="AX33" i="42"/>
  <c r="BA32" i="42"/>
  <c r="AZ32" i="42"/>
  <c r="AY32" i="42"/>
  <c r="AX32" i="42"/>
  <c r="BA31" i="42"/>
  <c r="AZ31" i="42"/>
  <c r="AY31" i="42"/>
  <c r="AX31" i="42"/>
  <c r="BA30" i="42"/>
  <c r="AZ30" i="42"/>
  <c r="AY30" i="42"/>
  <c r="AX30" i="42"/>
  <c r="BA29" i="42"/>
  <c r="AZ29" i="42"/>
  <c r="AY29" i="42"/>
  <c r="AX29" i="42"/>
  <c r="BB27" i="42"/>
  <c r="BA26" i="42"/>
  <c r="AZ26" i="42"/>
  <c r="AX26" i="42"/>
  <c r="AZ25" i="42"/>
  <c r="AY25" i="42"/>
  <c r="AX25" i="42"/>
  <c r="BA24" i="42"/>
  <c r="AZ24" i="42"/>
  <c r="AX24" i="42"/>
  <c r="BA23" i="42"/>
  <c r="AZ23" i="42"/>
  <c r="AX23" i="42"/>
  <c r="BA22" i="42"/>
  <c r="AY22" i="42"/>
  <c r="AX22" i="42"/>
  <c r="BA19" i="42"/>
  <c r="AZ19" i="42"/>
  <c r="AY19" i="42"/>
  <c r="BA18" i="42"/>
  <c r="AZ18" i="42"/>
  <c r="AY18" i="42"/>
  <c r="AX18" i="42"/>
  <c r="BA17" i="42"/>
  <c r="AZ17" i="42"/>
  <c r="AY17" i="42"/>
  <c r="AX17" i="42"/>
  <c r="BA16" i="42"/>
  <c r="AZ16" i="42"/>
  <c r="AY16" i="42"/>
  <c r="BA15" i="42"/>
  <c r="AZ15" i="42"/>
  <c r="AY15" i="42"/>
  <c r="BA14" i="42"/>
  <c r="AZ14" i="42"/>
  <c r="AY14" i="42"/>
  <c r="BA13" i="42"/>
  <c r="AZ13" i="42"/>
  <c r="AY13" i="42"/>
  <c r="BA12" i="42"/>
  <c r="AZ12" i="42"/>
  <c r="AY12" i="42"/>
  <c r="BA11" i="42"/>
  <c r="AZ11" i="42"/>
  <c r="AY11" i="42"/>
  <c r="BA10" i="42"/>
  <c r="AZ10" i="42"/>
  <c r="AY10" i="42"/>
  <c r="BA9" i="42"/>
  <c r="AZ9" i="42"/>
  <c r="AY9" i="42"/>
  <c r="BA8" i="42"/>
  <c r="AZ8" i="42"/>
  <c r="AY8" i="42"/>
  <c r="BA7" i="42"/>
  <c r="AZ7" i="42"/>
  <c r="AY7" i="42"/>
  <c r="BA6" i="42"/>
  <c r="AZ6" i="42"/>
  <c r="AY6" i="42"/>
  <c r="BA5" i="42"/>
  <c r="AZ5" i="42"/>
  <c r="AY5" i="42"/>
  <c r="BB3" i="42"/>
  <c r="B2" i="42"/>
  <c r="H2" i="42"/>
  <c r="N2" i="42"/>
  <c r="T2" i="42"/>
  <c r="Z2" i="42"/>
  <c r="AF2" i="42"/>
  <c r="AJ2" i="42" s="1"/>
  <c r="G2" i="47" s="1"/>
  <c r="AF2" i="38"/>
  <c r="AF16" i="42"/>
  <c r="AJ223" i="42"/>
  <c r="AI223" i="42"/>
  <c r="AH223" i="42"/>
  <c r="AG223" i="42"/>
  <c r="AF223" i="42"/>
  <c r="AJ218" i="42"/>
  <c r="G218" i="49" s="1"/>
  <c r="AJ217" i="42"/>
  <c r="G217" i="47" s="1"/>
  <c r="G234" i="47" s="1"/>
  <c r="AJ216" i="42"/>
  <c r="G216" i="47" s="1"/>
  <c r="G233" i="47" s="1"/>
  <c r="AJ215" i="42"/>
  <c r="G215" i="47" s="1"/>
  <c r="AJ214" i="42"/>
  <c r="G214" i="47" s="1"/>
  <c r="AJ213" i="42"/>
  <c r="G213" i="47" s="1"/>
  <c r="AJ212" i="42"/>
  <c r="G212" i="47" s="1"/>
  <c r="AJ211" i="42"/>
  <c r="G211" i="47" s="1"/>
  <c r="G232" i="47" s="1"/>
  <c r="AJ210" i="42"/>
  <c r="G210" i="47" s="1"/>
  <c r="G231" i="47" s="1"/>
  <c r="AI205" i="42"/>
  <c r="AH205" i="42"/>
  <c r="AG205" i="42"/>
  <c r="AJ204" i="42"/>
  <c r="G204" i="47" s="1"/>
  <c r="AJ203" i="42"/>
  <c r="G203" i="47" s="1"/>
  <c r="AJ202" i="42"/>
  <c r="G202" i="47" s="1"/>
  <c r="AJ201" i="42"/>
  <c r="G201" i="47" s="1"/>
  <c r="AJ199" i="42"/>
  <c r="G199" i="47" s="1"/>
  <c r="AJ198" i="42"/>
  <c r="G198" i="47" s="1"/>
  <c r="AJ197" i="42"/>
  <c r="G197" i="47" s="1"/>
  <c r="AJ196" i="42"/>
  <c r="G196" i="47" s="1"/>
  <c r="AJ195" i="42"/>
  <c r="G195" i="47" s="1"/>
  <c r="AJ194" i="42"/>
  <c r="G194" i="47" s="1"/>
  <c r="AH192" i="42"/>
  <c r="AG192" i="42"/>
  <c r="AJ191" i="42"/>
  <c r="G191" i="47" s="1"/>
  <c r="AJ190" i="42"/>
  <c r="G190" i="47" s="1"/>
  <c r="AJ189" i="42"/>
  <c r="G189" i="47" s="1"/>
  <c r="AJ188" i="42"/>
  <c r="G188" i="47" s="1"/>
  <c r="AJ187" i="42"/>
  <c r="G187" i="47" s="1"/>
  <c r="AJ186" i="42"/>
  <c r="G186" i="47" s="1"/>
  <c r="AJ185" i="42"/>
  <c r="G185" i="47" s="1"/>
  <c r="AJ184" i="42"/>
  <c r="G184" i="47" s="1"/>
  <c r="AF183" i="42"/>
  <c r="AJ182" i="42"/>
  <c r="AJ193" i="42" s="1"/>
  <c r="AI182" i="42"/>
  <c r="AI193" i="42" s="1"/>
  <c r="AH182" i="42"/>
  <c r="AH193" i="42" s="1"/>
  <c r="AG182" i="42"/>
  <c r="AG193" i="42" s="1"/>
  <c r="AF182" i="42"/>
  <c r="AF193" i="42" s="1"/>
  <c r="AI181" i="42"/>
  <c r="AH181" i="42"/>
  <c r="AG181" i="42"/>
  <c r="AJ180" i="42"/>
  <c r="G180" i="47" s="1"/>
  <c r="AJ179" i="42"/>
  <c r="G179" i="47" s="1"/>
  <c r="AF181" i="42"/>
  <c r="AI176" i="42"/>
  <c r="AH176" i="42"/>
  <c r="AG176" i="42"/>
  <c r="AJ174" i="42"/>
  <c r="G174" i="47" s="1"/>
  <c r="AJ173" i="42"/>
  <c r="G173" i="47" s="1"/>
  <c r="AJ172" i="42"/>
  <c r="G172" i="47" s="1"/>
  <c r="AJ171" i="42"/>
  <c r="G171" i="47" s="1"/>
  <c r="AJ170" i="42"/>
  <c r="G170" i="47" s="1"/>
  <c r="AJ169" i="42"/>
  <c r="AJ162" i="42"/>
  <c r="G162" i="47" s="1"/>
  <c r="AJ160" i="42"/>
  <c r="G160" i="47" s="1"/>
  <c r="AJ159" i="42"/>
  <c r="G159" i="47" s="1"/>
  <c r="AJ156" i="42"/>
  <c r="G156" i="47" s="1"/>
  <c r="AJ155" i="42"/>
  <c r="G155" i="47" s="1"/>
  <c r="AJ152" i="42"/>
  <c r="AJ168" i="42" s="1"/>
  <c r="AI152" i="42"/>
  <c r="AI168" i="42" s="1"/>
  <c r="AH152" i="42"/>
  <c r="AH168" i="42" s="1"/>
  <c r="AG152" i="42"/>
  <c r="AG168" i="42" s="1"/>
  <c r="AF152" i="42"/>
  <c r="AF168" i="42" s="1"/>
  <c r="AI151" i="42"/>
  <c r="AJ150" i="42"/>
  <c r="G150" i="47" s="1"/>
  <c r="AG151" i="42"/>
  <c r="AJ144" i="42"/>
  <c r="G144" i="47" s="1"/>
  <c r="AJ143" i="42"/>
  <c r="G143" i="47" s="1"/>
  <c r="AJ142" i="42"/>
  <c r="G142" i="47" s="1"/>
  <c r="AJ140" i="42"/>
  <c r="AI140" i="42"/>
  <c r="AH140" i="42"/>
  <c r="AG140" i="42"/>
  <c r="AF140" i="42"/>
  <c r="AF128" i="42"/>
  <c r="AJ125" i="42"/>
  <c r="G125" i="47" s="1"/>
  <c r="AI124" i="42"/>
  <c r="AH124" i="42"/>
  <c r="AI123" i="42"/>
  <c r="AH123" i="42"/>
  <c r="AG123" i="42"/>
  <c r="AI122" i="42"/>
  <c r="AH122" i="42"/>
  <c r="AG122" i="42"/>
  <c r="AI121" i="42"/>
  <c r="AH121" i="42"/>
  <c r="AG121" i="42"/>
  <c r="AI120" i="42"/>
  <c r="AH120" i="42"/>
  <c r="AG120" i="42"/>
  <c r="AI119" i="42"/>
  <c r="AG119" i="42"/>
  <c r="AG128" i="42" s="1"/>
  <c r="AJ118" i="42"/>
  <c r="G118" i="47" s="1"/>
  <c r="AJ117" i="42"/>
  <c r="AI117" i="42"/>
  <c r="AH117" i="42"/>
  <c r="AG117" i="42"/>
  <c r="AF117" i="42"/>
  <c r="AG115" i="42"/>
  <c r="AJ115" i="42" s="1"/>
  <c r="G115" i="47" s="1"/>
  <c r="AH114" i="42"/>
  <c r="AH116" i="42" s="1"/>
  <c r="AF113" i="42"/>
  <c r="AJ113" i="42" s="1"/>
  <c r="G113" i="47" s="1"/>
  <c r="AJ112" i="42"/>
  <c r="G112" i="47" s="1"/>
  <c r="AJ110" i="42"/>
  <c r="G110" i="47" s="1"/>
  <c r="AJ109" i="42"/>
  <c r="G109" i="47" s="1"/>
  <c r="AJ107" i="42"/>
  <c r="G107" i="47" s="1"/>
  <c r="AJ106" i="42"/>
  <c r="G106" i="47" s="1"/>
  <c r="AJ105" i="42"/>
  <c r="G105" i="47" s="1"/>
  <c r="AJ104" i="42"/>
  <c r="G104" i="47" s="1"/>
  <c r="AJ103" i="42"/>
  <c r="G103" i="47" s="1"/>
  <c r="AJ101" i="42"/>
  <c r="AI101" i="42"/>
  <c r="AH101" i="42"/>
  <c r="AG101" i="42"/>
  <c r="AF101" i="42"/>
  <c r="AI97" i="42"/>
  <c r="AH97" i="42"/>
  <c r="AG97" i="42"/>
  <c r="AF97" i="42"/>
  <c r="AI96" i="42"/>
  <c r="AH96" i="42"/>
  <c r="AG96" i="42"/>
  <c r="AF96" i="42"/>
  <c r="AI95" i="42"/>
  <c r="AH95" i="42"/>
  <c r="AG95" i="42"/>
  <c r="AF95" i="42"/>
  <c r="AI94" i="42"/>
  <c r="AH94" i="42"/>
  <c r="AI93" i="42"/>
  <c r="AH93" i="42"/>
  <c r="AI92" i="42"/>
  <c r="AH92" i="42"/>
  <c r="AI91" i="42"/>
  <c r="AI90" i="42"/>
  <c r="AH89" i="42"/>
  <c r="AI88" i="42"/>
  <c r="AH88" i="42"/>
  <c r="AG88" i="42"/>
  <c r="AI87" i="42"/>
  <c r="AH87" i="42"/>
  <c r="AG87" i="42"/>
  <c r="AJ84" i="42"/>
  <c r="AJ97" i="42" s="1"/>
  <c r="G97" i="47" s="1"/>
  <c r="AJ83" i="42"/>
  <c r="AJ96" i="42" s="1"/>
  <c r="G96" i="47" s="1"/>
  <c r="AJ82" i="42"/>
  <c r="AJ95" i="42" s="1"/>
  <c r="G95" i="47" s="1"/>
  <c r="AF81" i="42"/>
  <c r="AF80" i="42"/>
  <c r="AF93" i="42" s="1"/>
  <c r="AF79" i="42"/>
  <c r="AG78" i="42"/>
  <c r="AG91" i="42" s="1"/>
  <c r="AF78" i="42"/>
  <c r="AF91" i="42" s="1"/>
  <c r="AG77" i="42"/>
  <c r="AG90" i="42" s="1"/>
  <c r="AF77" i="42"/>
  <c r="AF90" i="42" s="1"/>
  <c r="AG76" i="42"/>
  <c r="AG89" i="42" s="1"/>
  <c r="AF76" i="42"/>
  <c r="AF89" i="42" s="1"/>
  <c r="AJ73" i="42"/>
  <c r="AI73" i="42"/>
  <c r="AG73" i="42"/>
  <c r="AF73" i="42"/>
  <c r="AI62" i="42"/>
  <c r="AI65" i="42" s="1"/>
  <c r="AH62" i="42"/>
  <c r="AH65" i="42" s="1"/>
  <c r="AG62" i="42"/>
  <c r="AG65" i="42" s="1"/>
  <c r="AF62" i="42"/>
  <c r="AF65" i="42" s="1"/>
  <c r="AJ61" i="42"/>
  <c r="G61" i="47" s="1"/>
  <c r="AJ60" i="42"/>
  <c r="G60" i="47" s="1"/>
  <c r="AJ59" i="42"/>
  <c r="G59" i="47" s="1"/>
  <c r="AJ58" i="42"/>
  <c r="G58" i="47" s="1"/>
  <c r="AJ57" i="42"/>
  <c r="G57" i="47" s="1"/>
  <c r="AJ56" i="42"/>
  <c r="G56" i="47" s="1"/>
  <c r="AJ55" i="42"/>
  <c r="G55" i="47" s="1"/>
  <c r="AJ54" i="42"/>
  <c r="G54" i="47" s="1"/>
  <c r="AJ53" i="42"/>
  <c r="G53" i="47" s="1"/>
  <c r="H40" i="44" s="1"/>
  <c r="AJ52" i="42"/>
  <c r="G52" i="47" s="1"/>
  <c r="AJ51" i="42"/>
  <c r="G51" i="47" s="1"/>
  <c r="AJ50" i="42"/>
  <c r="G50" i="47" s="1"/>
  <c r="AJ49" i="42"/>
  <c r="G49" i="47" s="1"/>
  <c r="AJ48" i="42"/>
  <c r="G48" i="47" s="1"/>
  <c r="H36" i="44" s="1"/>
  <c r="AJ47" i="42"/>
  <c r="G47" i="47" s="1"/>
  <c r="AJ46" i="42"/>
  <c r="G46" i="47" s="1"/>
  <c r="H30" i="44" s="1"/>
  <c r="AJ45" i="42"/>
  <c r="G45" i="47" s="1"/>
  <c r="AJ44" i="42"/>
  <c r="G44" i="47" s="1"/>
  <c r="AJ43" i="42"/>
  <c r="G43" i="47" s="1"/>
  <c r="AJ42" i="42"/>
  <c r="G42" i="47" s="1"/>
  <c r="AJ41" i="42"/>
  <c r="AI41" i="42"/>
  <c r="AH41" i="42"/>
  <c r="AG41" i="42"/>
  <c r="AF41" i="42"/>
  <c r="AI39" i="42"/>
  <c r="AH39" i="42"/>
  <c r="AG39" i="42"/>
  <c r="AF39" i="42"/>
  <c r="AJ37" i="42"/>
  <c r="G37" i="47" s="1"/>
  <c r="AJ36" i="42"/>
  <c r="G36" i="47" s="1"/>
  <c r="AJ35" i="42"/>
  <c r="G35" i="47" s="1"/>
  <c r="AJ34" i="42"/>
  <c r="G34" i="47" s="1"/>
  <c r="AJ33" i="42"/>
  <c r="G33" i="47" s="1"/>
  <c r="AJ32" i="42"/>
  <c r="G32" i="47" s="1"/>
  <c r="AJ31" i="42"/>
  <c r="G31" i="47" s="1"/>
  <c r="AJ30" i="42"/>
  <c r="G30" i="47" s="1"/>
  <c r="H37" i="45" s="1"/>
  <c r="AJ29" i="42"/>
  <c r="AJ27" i="42"/>
  <c r="AJ25" i="42"/>
  <c r="G25" i="47" s="1"/>
  <c r="N25" i="47" s="1"/>
  <c r="AJ18" i="42"/>
  <c r="G18" i="47" s="1"/>
  <c r="H50" i="40" s="1"/>
  <c r="AJ17" i="42"/>
  <c r="G17" i="47" s="1"/>
  <c r="H49" i="40" s="1"/>
  <c r="AJ16" i="42"/>
  <c r="G16" i="47" s="1"/>
  <c r="H48" i="40" s="1"/>
  <c r="AF15" i="42"/>
  <c r="AJ15" i="42" s="1"/>
  <c r="AK15" i="42" s="1"/>
  <c r="N15" i="47" s="1"/>
  <c r="AJ14" i="42"/>
  <c r="AK14" i="42" s="1"/>
  <c r="N14" i="47" s="1"/>
  <c r="AF14" i="42"/>
  <c r="AF13" i="42"/>
  <c r="AJ13" i="42" s="1"/>
  <c r="AK13" i="42" s="1"/>
  <c r="N13" i="47" s="1"/>
  <c r="AF12" i="42"/>
  <c r="AJ12" i="42" s="1"/>
  <c r="AF11" i="42"/>
  <c r="AJ11" i="42" s="1"/>
  <c r="AK11" i="42" s="1"/>
  <c r="N11" i="47" s="1"/>
  <c r="AF10" i="42"/>
  <c r="AJ10" i="42" s="1"/>
  <c r="AK10" i="42" s="1"/>
  <c r="N10" i="47" s="1"/>
  <c r="AF9" i="42"/>
  <c r="AJ9" i="42" s="1"/>
  <c r="AK9" i="42" s="1"/>
  <c r="N9" i="47" s="1"/>
  <c r="AF8" i="42"/>
  <c r="AJ8" i="42" s="1"/>
  <c r="AF7" i="42"/>
  <c r="AJ7" i="42" s="1"/>
  <c r="AK7" i="42" s="1"/>
  <c r="N7" i="47" s="1"/>
  <c r="AF6" i="42"/>
  <c r="AJ6" i="42" s="1"/>
  <c r="AK6" i="42" s="1"/>
  <c r="N6" i="47" s="1"/>
  <c r="AJ3" i="42"/>
  <c r="BB223" i="38"/>
  <c r="BA223" i="38"/>
  <c r="AZ223" i="38"/>
  <c r="AY223" i="38"/>
  <c r="AX223" i="38"/>
  <c r="BA219" i="38"/>
  <c r="AZ219" i="38"/>
  <c r="AY219" i="38"/>
  <c r="AX219" i="38"/>
  <c r="BA218" i="38"/>
  <c r="AZ218" i="38"/>
  <c r="AY218" i="38"/>
  <c r="AX218" i="38"/>
  <c r="BA217" i="38"/>
  <c r="AZ217" i="38"/>
  <c r="AY217" i="38"/>
  <c r="AX217" i="38"/>
  <c r="BA216" i="38"/>
  <c r="AZ216" i="38"/>
  <c r="AY216" i="38"/>
  <c r="AX216" i="38"/>
  <c r="BA215" i="38"/>
  <c r="AZ215" i="38"/>
  <c r="AY215" i="38"/>
  <c r="AX215" i="38"/>
  <c r="BA214" i="38"/>
  <c r="AZ214" i="38"/>
  <c r="AY214" i="38"/>
  <c r="AX214" i="38"/>
  <c r="BA213" i="38"/>
  <c r="AZ213" i="38"/>
  <c r="AY213" i="38"/>
  <c r="AX213" i="38"/>
  <c r="BA212" i="38"/>
  <c r="AZ212" i="38"/>
  <c r="AY212" i="38"/>
  <c r="AX212" i="38"/>
  <c r="BA211" i="38"/>
  <c r="AZ211" i="38"/>
  <c r="AY211" i="38"/>
  <c r="AX211" i="38"/>
  <c r="BA210" i="38"/>
  <c r="AZ210" i="38"/>
  <c r="AY210" i="38"/>
  <c r="AX210" i="38"/>
  <c r="BA209" i="38"/>
  <c r="AZ209" i="38"/>
  <c r="AY209" i="38"/>
  <c r="BA204" i="38"/>
  <c r="AZ204" i="38"/>
  <c r="AY204" i="38"/>
  <c r="BA203" i="38"/>
  <c r="AZ203" i="38"/>
  <c r="AY203" i="38"/>
  <c r="BA202" i="38"/>
  <c r="AZ202" i="38"/>
  <c r="AY202" i="38"/>
  <c r="BA201" i="38"/>
  <c r="AZ201" i="38"/>
  <c r="AY201" i="38"/>
  <c r="BA199" i="38"/>
  <c r="AZ199" i="38"/>
  <c r="AY199" i="38"/>
  <c r="BA198" i="38"/>
  <c r="AZ198" i="38"/>
  <c r="AY198" i="38"/>
  <c r="BA197" i="38"/>
  <c r="AZ197" i="38"/>
  <c r="AY197" i="38"/>
  <c r="BA196" i="38"/>
  <c r="AZ196" i="38"/>
  <c r="AY196" i="38"/>
  <c r="BA195" i="38"/>
  <c r="AZ195" i="38"/>
  <c r="AY195" i="38"/>
  <c r="BA194" i="38"/>
  <c r="BA205" i="38" s="1"/>
  <c r="AZ194" i="38"/>
  <c r="AY194" i="38"/>
  <c r="BA191" i="38"/>
  <c r="AZ191" i="38"/>
  <c r="AY191" i="38"/>
  <c r="AX191" i="38"/>
  <c r="BB191" i="38" s="1"/>
  <c r="BA190" i="38"/>
  <c r="AZ190" i="38"/>
  <c r="AY190" i="38"/>
  <c r="BA189" i="38"/>
  <c r="AZ189" i="38"/>
  <c r="AY189" i="38"/>
  <c r="AX189" i="38"/>
  <c r="BB189" i="38" s="1"/>
  <c r="BA188" i="38"/>
  <c r="AZ188" i="38"/>
  <c r="AY188" i="38"/>
  <c r="AX188" i="38"/>
  <c r="BA187" i="38"/>
  <c r="AZ187" i="38"/>
  <c r="AY187" i="38"/>
  <c r="AX187" i="38"/>
  <c r="BA186" i="38"/>
  <c r="AZ186" i="38"/>
  <c r="AY186" i="38"/>
  <c r="BA185" i="38"/>
  <c r="AZ185" i="38"/>
  <c r="AY185" i="38"/>
  <c r="AX185" i="38"/>
  <c r="BB185" i="38" s="1"/>
  <c r="BA184" i="38"/>
  <c r="AZ184" i="38"/>
  <c r="AY184" i="38"/>
  <c r="AX184" i="38"/>
  <c r="AZ183" i="38"/>
  <c r="AY183" i="38"/>
  <c r="BB182" i="38"/>
  <c r="BB193" i="38" s="1"/>
  <c r="BA182" i="38"/>
  <c r="BA193" i="38" s="1"/>
  <c r="AZ182" i="38"/>
  <c r="AZ193" i="38" s="1"/>
  <c r="AY182" i="38"/>
  <c r="AY193" i="38" s="1"/>
  <c r="AX182" i="38"/>
  <c r="AX193" i="38" s="1"/>
  <c r="BA180" i="38"/>
  <c r="AZ180" i="38"/>
  <c r="AY180" i="38"/>
  <c r="BA179" i="38"/>
  <c r="AZ179" i="38"/>
  <c r="AY179" i="38"/>
  <c r="BA178" i="38"/>
  <c r="BA181" i="38" s="1"/>
  <c r="AZ178" i="38"/>
  <c r="AZ181" i="38" s="1"/>
  <c r="AY178" i="38"/>
  <c r="AY181" i="38" s="1"/>
  <c r="BA174" i="38"/>
  <c r="AZ174" i="38"/>
  <c r="AY174" i="38"/>
  <c r="BA173" i="38"/>
  <c r="AZ173" i="38"/>
  <c r="AY173" i="38"/>
  <c r="BA172" i="38"/>
  <c r="AZ172" i="38"/>
  <c r="AY172" i="38"/>
  <c r="AX172" i="38"/>
  <c r="BA171" i="38"/>
  <c r="AZ171" i="38"/>
  <c r="AY171" i="38"/>
  <c r="AX171" i="38"/>
  <c r="BA170" i="38"/>
  <c r="AZ170" i="38"/>
  <c r="AY170" i="38"/>
  <c r="BA169" i="38"/>
  <c r="AZ169" i="38"/>
  <c r="AZ176" i="38" s="1"/>
  <c r="AY169" i="38"/>
  <c r="BA166" i="38"/>
  <c r="AZ166" i="38"/>
  <c r="AY166" i="38"/>
  <c r="AX166" i="38"/>
  <c r="BA165" i="38"/>
  <c r="AZ165" i="38"/>
  <c r="AY165" i="38"/>
  <c r="BA164" i="38"/>
  <c r="AZ164" i="38"/>
  <c r="AY164" i="38"/>
  <c r="BA163" i="38"/>
  <c r="AZ163" i="38"/>
  <c r="AY163" i="38"/>
  <c r="BA162" i="38"/>
  <c r="AZ162" i="38"/>
  <c r="AY162" i="38"/>
  <c r="AX162" i="38"/>
  <c r="BB162" i="38" s="1"/>
  <c r="BA160" i="38"/>
  <c r="AZ160" i="38"/>
  <c r="AY160" i="38"/>
  <c r="AX160" i="38"/>
  <c r="BA159" i="38"/>
  <c r="AZ159" i="38"/>
  <c r="AY159" i="38"/>
  <c r="BA157" i="38"/>
  <c r="AZ157" i="38"/>
  <c r="AY157" i="38"/>
  <c r="BA156" i="38"/>
  <c r="AZ156" i="38"/>
  <c r="AY156" i="38"/>
  <c r="BA155" i="38"/>
  <c r="AZ155" i="38"/>
  <c r="AY155" i="38"/>
  <c r="BA154" i="38"/>
  <c r="AY154" i="38"/>
  <c r="AX154" i="38"/>
  <c r="BA153" i="38"/>
  <c r="AZ153" i="38"/>
  <c r="AX153" i="38"/>
  <c r="BB152" i="38"/>
  <c r="BB168" i="38" s="1"/>
  <c r="BA152" i="38"/>
  <c r="BA168" i="38" s="1"/>
  <c r="AZ152" i="38"/>
  <c r="AZ168" i="38" s="1"/>
  <c r="AY152" i="38"/>
  <c r="AY168" i="38" s="1"/>
  <c r="AX152" i="38"/>
  <c r="AX168" i="38" s="1"/>
  <c r="BA150" i="38"/>
  <c r="AZ150" i="38"/>
  <c r="AY150" i="38"/>
  <c r="AX150" i="38"/>
  <c r="BA149" i="38"/>
  <c r="BA148" i="38"/>
  <c r="AZ148" i="38"/>
  <c r="BA147" i="38"/>
  <c r="AZ147" i="38"/>
  <c r="BA146" i="38"/>
  <c r="AZ146" i="38"/>
  <c r="AY146" i="38"/>
  <c r="BA145" i="38"/>
  <c r="AZ145" i="38"/>
  <c r="BA144" i="38"/>
  <c r="AZ144" i="38"/>
  <c r="AY144" i="38"/>
  <c r="BA143" i="38"/>
  <c r="AZ143" i="38"/>
  <c r="AY143" i="38"/>
  <c r="AX143" i="38"/>
  <c r="BA142" i="38"/>
  <c r="AZ142" i="38"/>
  <c r="AY142" i="38"/>
  <c r="BA141" i="38"/>
  <c r="AZ141" i="38"/>
  <c r="AY141" i="38"/>
  <c r="BB140" i="38"/>
  <c r="BA140" i="38"/>
  <c r="AZ140" i="38"/>
  <c r="AY140" i="38"/>
  <c r="AX140" i="38"/>
  <c r="AZ126" i="38"/>
  <c r="AY126" i="38"/>
  <c r="AX126" i="38"/>
  <c r="BA125" i="38"/>
  <c r="AZ125" i="38"/>
  <c r="AY125" i="38"/>
  <c r="AX125" i="38"/>
  <c r="AX124" i="38"/>
  <c r="AX123" i="38"/>
  <c r="AX122" i="38"/>
  <c r="AX121" i="38"/>
  <c r="AX120" i="38"/>
  <c r="AX119" i="38"/>
  <c r="BA118" i="38"/>
  <c r="AZ118" i="38"/>
  <c r="AY118" i="38"/>
  <c r="AX118" i="38"/>
  <c r="BB117" i="38"/>
  <c r="BA117" i="38"/>
  <c r="AZ117" i="38"/>
  <c r="AY117" i="38"/>
  <c r="AX117" i="38"/>
  <c r="BA115" i="38"/>
  <c r="AZ115" i="38"/>
  <c r="BA114" i="38"/>
  <c r="AY114" i="38"/>
  <c r="BA112" i="38"/>
  <c r="AZ112" i="38"/>
  <c r="AY112" i="38"/>
  <c r="BA111" i="38"/>
  <c r="AZ111" i="38"/>
  <c r="AY111" i="38"/>
  <c r="BA110" i="38"/>
  <c r="AY110" i="38"/>
  <c r="AX110" i="38"/>
  <c r="BA109" i="38"/>
  <c r="AZ109" i="38"/>
  <c r="AY109" i="38"/>
  <c r="AX109" i="38"/>
  <c r="AZ108" i="38"/>
  <c r="BA107" i="38"/>
  <c r="AZ107" i="38"/>
  <c r="BA106" i="38"/>
  <c r="AZ106" i="38"/>
  <c r="BA105" i="38"/>
  <c r="AZ105" i="38"/>
  <c r="BA104" i="38"/>
  <c r="AZ104" i="38"/>
  <c r="BA103" i="38"/>
  <c r="AZ103" i="38"/>
  <c r="BB101" i="38"/>
  <c r="BA101" i="38"/>
  <c r="AZ101" i="38"/>
  <c r="AY101" i="38"/>
  <c r="AX101" i="38"/>
  <c r="BA84" i="38"/>
  <c r="AZ84" i="38"/>
  <c r="AY84" i="38"/>
  <c r="AX84" i="38"/>
  <c r="BA83" i="38"/>
  <c r="AZ83" i="38"/>
  <c r="AY83" i="38"/>
  <c r="AX83" i="38"/>
  <c r="BA82" i="38"/>
  <c r="AZ82" i="38"/>
  <c r="AY82" i="38"/>
  <c r="BA78" i="38"/>
  <c r="BA77" i="38"/>
  <c r="AZ76" i="38"/>
  <c r="BA75" i="38"/>
  <c r="AZ75" i="38"/>
  <c r="AY75" i="38"/>
  <c r="BA74" i="38"/>
  <c r="AZ74" i="38"/>
  <c r="AY74" i="38"/>
  <c r="BB73" i="38"/>
  <c r="BA73" i="38"/>
  <c r="AY73" i="38"/>
  <c r="AX73" i="38"/>
  <c r="BA61" i="38"/>
  <c r="AZ61" i="38"/>
  <c r="AY61" i="38"/>
  <c r="AX61" i="38"/>
  <c r="BA60" i="38"/>
  <c r="AZ60" i="38"/>
  <c r="AY60" i="38"/>
  <c r="AX60" i="38"/>
  <c r="BA59" i="38"/>
  <c r="AZ59" i="38"/>
  <c r="AY59" i="38"/>
  <c r="AX59" i="38"/>
  <c r="BA58" i="38"/>
  <c r="AZ58" i="38"/>
  <c r="AY58" i="38"/>
  <c r="AX58" i="38"/>
  <c r="BA57" i="38"/>
  <c r="AZ57" i="38"/>
  <c r="AY57" i="38"/>
  <c r="AX57" i="38"/>
  <c r="BA56" i="38"/>
  <c r="AZ56" i="38"/>
  <c r="AY56" i="38"/>
  <c r="AX56" i="38"/>
  <c r="BA55" i="38"/>
  <c r="AZ55" i="38"/>
  <c r="AY55" i="38"/>
  <c r="AX55" i="38"/>
  <c r="BA54" i="38"/>
  <c r="AZ54" i="38"/>
  <c r="AY54" i="38"/>
  <c r="AX54" i="38"/>
  <c r="BA53" i="38"/>
  <c r="AZ53" i="38"/>
  <c r="AY53" i="38"/>
  <c r="AX53" i="38"/>
  <c r="BA52" i="38"/>
  <c r="AZ52" i="38"/>
  <c r="AY52" i="38"/>
  <c r="AX52" i="38"/>
  <c r="BA51" i="38"/>
  <c r="AZ51" i="38"/>
  <c r="AY51" i="38"/>
  <c r="AX51" i="38"/>
  <c r="BA50" i="38"/>
  <c r="AZ50" i="38"/>
  <c r="AY50" i="38"/>
  <c r="AX50" i="38"/>
  <c r="BA49" i="38"/>
  <c r="AZ49" i="38"/>
  <c r="AY49" i="38"/>
  <c r="AX49" i="38"/>
  <c r="BA48" i="38"/>
  <c r="AZ48" i="38"/>
  <c r="AY48" i="38"/>
  <c r="AX48" i="38"/>
  <c r="BA47" i="38"/>
  <c r="AZ47" i="38"/>
  <c r="AY47" i="38"/>
  <c r="AX47" i="38"/>
  <c r="BA46" i="38"/>
  <c r="AZ46" i="38"/>
  <c r="AY46" i="38"/>
  <c r="AX46" i="38"/>
  <c r="BA45" i="38"/>
  <c r="AZ45" i="38"/>
  <c r="AY45" i="38"/>
  <c r="AX45" i="38"/>
  <c r="BA44" i="38"/>
  <c r="AZ44" i="38"/>
  <c r="AY44" i="38"/>
  <c r="AX44" i="38"/>
  <c r="BA43" i="38"/>
  <c r="AZ43" i="38"/>
  <c r="AY43" i="38"/>
  <c r="AX43" i="38"/>
  <c r="BA42" i="38"/>
  <c r="AZ42" i="38"/>
  <c r="AY42" i="38"/>
  <c r="AX42" i="38"/>
  <c r="BB41" i="38"/>
  <c r="BA41" i="38"/>
  <c r="AZ41" i="38"/>
  <c r="AY41" i="38"/>
  <c r="AX41" i="38"/>
  <c r="BA38" i="38"/>
  <c r="AZ38" i="38"/>
  <c r="AY38" i="38"/>
  <c r="AX38" i="38"/>
  <c r="BA37" i="38"/>
  <c r="AZ37" i="38"/>
  <c r="AY37" i="38"/>
  <c r="AX37" i="38"/>
  <c r="BA36" i="38"/>
  <c r="AZ36" i="38"/>
  <c r="AY36" i="38"/>
  <c r="AX36" i="38"/>
  <c r="BA35" i="38"/>
  <c r="AZ35" i="38"/>
  <c r="AY35" i="38"/>
  <c r="AX35" i="38"/>
  <c r="BA34" i="38"/>
  <c r="AZ34" i="38"/>
  <c r="AY34" i="38"/>
  <c r="AX34" i="38"/>
  <c r="BA33" i="38"/>
  <c r="AZ33" i="38"/>
  <c r="AY33" i="38"/>
  <c r="AX33" i="38"/>
  <c r="BA32" i="38"/>
  <c r="AZ32" i="38"/>
  <c r="AY32" i="38"/>
  <c r="AX32" i="38"/>
  <c r="BA31" i="38"/>
  <c r="AZ31" i="38"/>
  <c r="AY31" i="38"/>
  <c r="AX31" i="38"/>
  <c r="BA30" i="38"/>
  <c r="AZ30" i="38"/>
  <c r="AY30" i="38"/>
  <c r="AX30" i="38"/>
  <c r="BA29" i="38"/>
  <c r="AZ29" i="38"/>
  <c r="AY29" i="38"/>
  <c r="AX29" i="38"/>
  <c r="BB27" i="38"/>
  <c r="BA26" i="38"/>
  <c r="AZ26" i="38"/>
  <c r="AX26" i="38"/>
  <c r="AZ25" i="38"/>
  <c r="AY25" i="38"/>
  <c r="AX25" i="38"/>
  <c r="BA24" i="38"/>
  <c r="AZ24" i="38"/>
  <c r="AX24" i="38"/>
  <c r="BA23" i="38"/>
  <c r="AZ23" i="38"/>
  <c r="AX23" i="38"/>
  <c r="BA22" i="38"/>
  <c r="AY22" i="38"/>
  <c r="AX22" i="38"/>
  <c r="BA19" i="38"/>
  <c r="AZ19" i="38"/>
  <c r="AY19" i="38"/>
  <c r="BA18" i="38"/>
  <c r="AZ18" i="38"/>
  <c r="AY18" i="38"/>
  <c r="AX18" i="38"/>
  <c r="BA17" i="38"/>
  <c r="AZ17" i="38"/>
  <c r="AY17" i="38"/>
  <c r="AX17" i="38"/>
  <c r="BA16" i="38"/>
  <c r="AZ16" i="38"/>
  <c r="AY16" i="38"/>
  <c r="BA15" i="38"/>
  <c r="AZ15" i="38"/>
  <c r="AY15" i="38"/>
  <c r="BA14" i="38"/>
  <c r="AZ14" i="38"/>
  <c r="AY14" i="38"/>
  <c r="BA13" i="38"/>
  <c r="AZ13" i="38"/>
  <c r="AY13" i="38"/>
  <c r="BA12" i="38"/>
  <c r="AZ12" i="38"/>
  <c r="AY12" i="38"/>
  <c r="BA11" i="38"/>
  <c r="AZ11" i="38"/>
  <c r="AY11" i="38"/>
  <c r="BA10" i="38"/>
  <c r="AZ10" i="38"/>
  <c r="AY10" i="38"/>
  <c r="BA9" i="38"/>
  <c r="AZ9" i="38"/>
  <c r="AY9" i="38"/>
  <c r="BA8" i="38"/>
  <c r="AZ8" i="38"/>
  <c r="AY8" i="38"/>
  <c r="BA7" i="38"/>
  <c r="AZ7" i="38"/>
  <c r="AY7" i="38"/>
  <c r="BA6" i="38"/>
  <c r="AZ6" i="38"/>
  <c r="AY6" i="38"/>
  <c r="BA5" i="38"/>
  <c r="AZ5" i="38"/>
  <c r="AY5" i="38"/>
  <c r="BB3" i="38"/>
  <c r="F3" i="47" s="1"/>
  <c r="AF15" i="38"/>
  <c r="AJ223" i="38"/>
  <c r="AI223" i="38"/>
  <c r="AH223" i="38"/>
  <c r="AG223" i="38"/>
  <c r="AF223" i="38"/>
  <c r="AJ218" i="38"/>
  <c r="F218" i="49" s="1"/>
  <c r="AJ217" i="38"/>
  <c r="F217" i="47" s="1"/>
  <c r="F234" i="47" s="1"/>
  <c r="AJ216" i="38"/>
  <c r="F216" i="47" s="1"/>
  <c r="F233" i="47" s="1"/>
  <c r="AJ215" i="38"/>
  <c r="F215" i="47" s="1"/>
  <c r="AJ214" i="38"/>
  <c r="F214" i="47" s="1"/>
  <c r="AJ213" i="38"/>
  <c r="F213" i="47" s="1"/>
  <c r="AJ212" i="38"/>
  <c r="F212" i="47" s="1"/>
  <c r="AJ211" i="38"/>
  <c r="F211" i="47" s="1"/>
  <c r="F232" i="47" s="1"/>
  <c r="AJ210" i="38"/>
  <c r="F210" i="47" s="1"/>
  <c r="F231" i="47" s="1"/>
  <c r="AI205" i="38"/>
  <c r="AH205" i="38"/>
  <c r="AG205" i="38"/>
  <c r="AJ204" i="38"/>
  <c r="F204" i="47" s="1"/>
  <c r="AJ203" i="38"/>
  <c r="F203" i="47" s="1"/>
  <c r="AJ202" i="38"/>
  <c r="F202" i="47" s="1"/>
  <c r="AJ201" i="38"/>
  <c r="F201" i="47" s="1"/>
  <c r="AJ199" i="38"/>
  <c r="F199" i="47" s="1"/>
  <c r="AJ198" i="38"/>
  <c r="F198" i="47" s="1"/>
  <c r="AJ197" i="38"/>
  <c r="F197" i="47" s="1"/>
  <c r="AJ196" i="38"/>
  <c r="F196" i="47" s="1"/>
  <c r="AJ195" i="38"/>
  <c r="F195" i="47" s="1"/>
  <c r="AJ194" i="38"/>
  <c r="F194" i="47" s="1"/>
  <c r="AH192" i="38"/>
  <c r="AG192" i="38"/>
  <c r="AJ191" i="38"/>
  <c r="F191" i="47" s="1"/>
  <c r="AJ190" i="38"/>
  <c r="F190" i="47" s="1"/>
  <c r="AJ189" i="38"/>
  <c r="F189" i="47" s="1"/>
  <c r="AJ188" i="38"/>
  <c r="F188" i="47" s="1"/>
  <c r="AJ187" i="38"/>
  <c r="F187" i="47" s="1"/>
  <c r="AJ186" i="38"/>
  <c r="F186" i="47" s="1"/>
  <c r="AJ185" i="38"/>
  <c r="F185" i="47" s="1"/>
  <c r="AJ184" i="38"/>
  <c r="F184" i="47" s="1"/>
  <c r="AF183" i="38"/>
  <c r="AJ182" i="38"/>
  <c r="AJ193" i="38" s="1"/>
  <c r="AI182" i="38"/>
  <c r="AI193" i="38" s="1"/>
  <c r="AH182" i="38"/>
  <c r="AH193" i="38" s="1"/>
  <c r="AG182" i="38"/>
  <c r="AG193" i="38" s="1"/>
  <c r="AF182" i="38"/>
  <c r="AF193" i="38" s="1"/>
  <c r="AI181" i="38"/>
  <c r="AH181" i="38"/>
  <c r="AG181" i="38"/>
  <c r="AJ180" i="38"/>
  <c r="F180" i="47" s="1"/>
  <c r="AJ179" i="38"/>
  <c r="F179" i="47" s="1"/>
  <c r="AI176" i="38"/>
  <c r="AH176" i="38"/>
  <c r="AG176" i="38"/>
  <c r="AJ174" i="38"/>
  <c r="F174" i="47" s="1"/>
  <c r="AJ173" i="38"/>
  <c r="F173" i="47" s="1"/>
  <c r="AJ172" i="38"/>
  <c r="F172" i="47" s="1"/>
  <c r="AJ171" i="38"/>
  <c r="F171" i="47" s="1"/>
  <c r="AJ170" i="38"/>
  <c r="F170" i="47" s="1"/>
  <c r="AJ169" i="38"/>
  <c r="F169" i="47" s="1"/>
  <c r="AJ162" i="38"/>
  <c r="F162" i="47" s="1"/>
  <c r="AJ160" i="38"/>
  <c r="F160" i="47" s="1"/>
  <c r="AJ159" i="38"/>
  <c r="F159" i="47" s="1"/>
  <c r="AJ156" i="38"/>
  <c r="F156" i="47" s="1"/>
  <c r="AJ155" i="38"/>
  <c r="F155" i="47" s="1"/>
  <c r="AJ152" i="38"/>
  <c r="AJ168" i="38" s="1"/>
  <c r="AI152" i="38"/>
  <c r="AI168" i="38" s="1"/>
  <c r="AH152" i="38"/>
  <c r="AH168" i="38" s="1"/>
  <c r="AG152" i="38"/>
  <c r="AG168" i="38" s="1"/>
  <c r="AF152" i="38"/>
  <c r="AF168" i="38" s="1"/>
  <c r="AI151" i="38"/>
  <c r="AJ150" i="38"/>
  <c r="F150" i="47" s="1"/>
  <c r="AG151" i="38"/>
  <c r="AJ144" i="38"/>
  <c r="F144" i="47" s="1"/>
  <c r="AJ143" i="38"/>
  <c r="F143" i="47" s="1"/>
  <c r="AJ142" i="38"/>
  <c r="F142" i="47" s="1"/>
  <c r="AJ140" i="38"/>
  <c r="AI140" i="38"/>
  <c r="AH140" i="38"/>
  <c r="AG140" i="38"/>
  <c r="AF140" i="38"/>
  <c r="AF128" i="38"/>
  <c r="AJ126" i="38"/>
  <c r="F126" i="47" s="1"/>
  <c r="AJ125" i="38"/>
  <c r="F125" i="47" s="1"/>
  <c r="AI124" i="38"/>
  <c r="AH124" i="38"/>
  <c r="AI123" i="38"/>
  <c r="AH123" i="38"/>
  <c r="AG123" i="38"/>
  <c r="AI122" i="38"/>
  <c r="AH122" i="38"/>
  <c r="AG122" i="38"/>
  <c r="AI121" i="38"/>
  <c r="AH121" i="38"/>
  <c r="AG121" i="38"/>
  <c r="AI120" i="38"/>
  <c r="AH120" i="38"/>
  <c r="AG120" i="38"/>
  <c r="AI119" i="38"/>
  <c r="AH119" i="38"/>
  <c r="AG119" i="38"/>
  <c r="AJ118" i="38"/>
  <c r="F118" i="47" s="1"/>
  <c r="AJ117" i="38"/>
  <c r="AI117" i="38"/>
  <c r="AH117" i="38"/>
  <c r="AG117" i="38"/>
  <c r="AF117" i="38"/>
  <c r="AG115" i="38"/>
  <c r="AJ115" i="38" s="1"/>
  <c r="F115" i="47" s="1"/>
  <c r="AH114" i="38"/>
  <c r="AJ114" i="38"/>
  <c r="F114" i="47" s="1"/>
  <c r="AJ113" i="38"/>
  <c r="F113" i="47" s="1"/>
  <c r="AJ112" i="38"/>
  <c r="F112" i="47" s="1"/>
  <c r="AH116" i="38"/>
  <c r="AJ109" i="38"/>
  <c r="F109" i="47" s="1"/>
  <c r="AJ107" i="38"/>
  <c r="F107" i="47" s="1"/>
  <c r="F106" i="47"/>
  <c r="AJ105" i="38"/>
  <c r="F105" i="47" s="1"/>
  <c r="AJ104" i="38"/>
  <c r="F104" i="47" s="1"/>
  <c r="AJ103" i="38"/>
  <c r="F103" i="47" s="1"/>
  <c r="AJ101" i="38"/>
  <c r="AI101" i="38"/>
  <c r="AH101" i="38"/>
  <c r="AG101" i="38"/>
  <c r="AF101" i="38"/>
  <c r="AI97" i="38"/>
  <c r="AH97" i="38"/>
  <c r="AG97" i="38"/>
  <c r="AF97" i="38"/>
  <c r="AI96" i="38"/>
  <c r="AH96" i="38"/>
  <c r="AG96" i="38"/>
  <c r="AF96" i="38"/>
  <c r="AI95" i="38"/>
  <c r="AH95" i="38"/>
  <c r="AG95" i="38"/>
  <c r="AF95" i="38"/>
  <c r="AI94" i="38"/>
  <c r="AH94" i="38"/>
  <c r="AF94" i="38"/>
  <c r="AI93" i="38"/>
  <c r="AH93" i="38"/>
  <c r="AI92" i="38"/>
  <c r="AH92" i="38"/>
  <c r="AI91" i="38"/>
  <c r="AI90" i="38"/>
  <c r="AH89" i="38"/>
  <c r="AI88" i="38"/>
  <c r="AH88" i="38"/>
  <c r="AG88" i="38"/>
  <c r="AI87" i="38"/>
  <c r="AH87" i="38"/>
  <c r="AG87" i="38"/>
  <c r="AJ84" i="38"/>
  <c r="AJ97" i="38" s="1"/>
  <c r="F97" i="47" s="1"/>
  <c r="AJ83" i="38"/>
  <c r="AJ96" i="38" s="1"/>
  <c r="F96" i="47" s="1"/>
  <c r="AJ82" i="38"/>
  <c r="AJ95" i="38" s="1"/>
  <c r="F95" i="47" s="1"/>
  <c r="AF93" i="38"/>
  <c r="AF92" i="38"/>
  <c r="AG91" i="38"/>
  <c r="AF78" i="38"/>
  <c r="AF91" i="38" s="1"/>
  <c r="AG77" i="38"/>
  <c r="AG90" i="38" s="1"/>
  <c r="AF77" i="38"/>
  <c r="AF90" i="38" s="1"/>
  <c r="AG76" i="38"/>
  <c r="AG89" i="38" s="1"/>
  <c r="AF76" i="38"/>
  <c r="AF89" i="38" s="1"/>
  <c r="AJ73" i="38"/>
  <c r="AI73" i="38"/>
  <c r="AG73" i="38"/>
  <c r="AF73" i="38"/>
  <c r="AI62" i="38"/>
  <c r="AI65" i="38" s="1"/>
  <c r="AH62" i="38"/>
  <c r="AH65" i="38" s="1"/>
  <c r="AG62" i="38"/>
  <c r="AG65" i="38" s="1"/>
  <c r="AF62" i="38"/>
  <c r="AF65" i="38" s="1"/>
  <c r="AJ61" i="38"/>
  <c r="F61" i="47" s="1"/>
  <c r="AJ60" i="38"/>
  <c r="F60" i="47" s="1"/>
  <c r="AJ59" i="38"/>
  <c r="F59" i="47" s="1"/>
  <c r="AJ58" i="38"/>
  <c r="F58" i="47" s="1"/>
  <c r="AJ57" i="38"/>
  <c r="F57" i="47" s="1"/>
  <c r="AJ56" i="38"/>
  <c r="F56" i="47" s="1"/>
  <c r="AJ55" i="38"/>
  <c r="F55" i="47" s="1"/>
  <c r="AJ54" i="38"/>
  <c r="F54" i="47" s="1"/>
  <c r="AJ53" i="38"/>
  <c r="F53" i="47" s="1"/>
  <c r="G40" i="44" s="1"/>
  <c r="AJ52" i="38"/>
  <c r="F52" i="47" s="1"/>
  <c r="AJ51" i="38"/>
  <c r="F51" i="47" s="1"/>
  <c r="G43" i="45" s="1"/>
  <c r="AJ50" i="38"/>
  <c r="F50" i="47" s="1"/>
  <c r="AJ49" i="38"/>
  <c r="F49" i="47" s="1"/>
  <c r="AJ48" i="38"/>
  <c r="F48" i="47" s="1"/>
  <c r="AJ47" i="38"/>
  <c r="F47" i="47" s="1"/>
  <c r="G35" i="44" s="1"/>
  <c r="AJ46" i="38"/>
  <c r="F46" i="47" s="1"/>
  <c r="G30" i="44" s="1"/>
  <c r="AJ45" i="38"/>
  <c r="F45" i="47" s="1"/>
  <c r="AJ44" i="38"/>
  <c r="F44" i="47" s="1"/>
  <c r="AJ43" i="38"/>
  <c r="F43" i="47" s="1"/>
  <c r="AJ42" i="38"/>
  <c r="F42" i="47" s="1"/>
  <c r="G26" i="44" s="1"/>
  <c r="AJ41" i="38"/>
  <c r="AI41" i="38"/>
  <c r="AH41" i="38"/>
  <c r="AG41" i="38"/>
  <c r="AF41" i="38"/>
  <c r="AI39" i="38"/>
  <c r="AH39" i="38"/>
  <c r="AH64" i="38" s="1"/>
  <c r="AG39" i="38"/>
  <c r="AF39" i="38"/>
  <c r="AJ38" i="38"/>
  <c r="F38" i="47" s="1"/>
  <c r="AJ37" i="38"/>
  <c r="F37" i="47" s="1"/>
  <c r="AJ36" i="38"/>
  <c r="F36" i="47" s="1"/>
  <c r="AJ35" i="38"/>
  <c r="F35" i="47" s="1"/>
  <c r="AJ34" i="38"/>
  <c r="F34" i="47" s="1"/>
  <c r="AJ33" i="38"/>
  <c r="F33" i="47" s="1"/>
  <c r="AJ32" i="38"/>
  <c r="F32" i="47" s="1"/>
  <c r="AJ31" i="38"/>
  <c r="F31" i="47" s="1"/>
  <c r="AJ30" i="38"/>
  <c r="F30" i="47" s="1"/>
  <c r="G37" i="45" s="1"/>
  <c r="AJ29" i="38"/>
  <c r="AJ27" i="38"/>
  <c r="AJ25" i="38"/>
  <c r="F25" i="47" s="1"/>
  <c r="M25" i="47" s="1"/>
  <c r="AJ18" i="38"/>
  <c r="F18" i="47" s="1"/>
  <c r="G50" i="40" s="1"/>
  <c r="AJ17" i="38"/>
  <c r="F17" i="47" s="1"/>
  <c r="G49" i="40" s="1"/>
  <c r="AJ16" i="38"/>
  <c r="F16" i="47" s="1"/>
  <c r="G48" i="40" s="1"/>
  <c r="AJ15" i="38"/>
  <c r="F15" i="47" s="1"/>
  <c r="G47" i="40" s="1"/>
  <c r="AF14" i="38"/>
  <c r="AJ14" i="38" s="1"/>
  <c r="AK14" i="38" s="1"/>
  <c r="M14" i="47" s="1"/>
  <c r="AF13" i="38"/>
  <c r="AJ13" i="38" s="1"/>
  <c r="AF12" i="38"/>
  <c r="AJ12" i="38" s="1"/>
  <c r="AF11" i="38"/>
  <c r="AJ11" i="38" s="1"/>
  <c r="AK11" i="38" s="1"/>
  <c r="M11" i="47" s="1"/>
  <c r="AF10" i="38"/>
  <c r="AJ10" i="38" s="1"/>
  <c r="AJ9" i="38"/>
  <c r="AK9" i="38" s="1"/>
  <c r="M9" i="47" s="1"/>
  <c r="AF9" i="38"/>
  <c r="AF8" i="38"/>
  <c r="AJ8" i="38" s="1"/>
  <c r="AK8" i="38" s="1"/>
  <c r="M8" i="47" s="1"/>
  <c r="AF7" i="38"/>
  <c r="AF6" i="38"/>
  <c r="AJ6" i="38" s="1"/>
  <c r="AK6" i="38" s="1"/>
  <c r="M6" i="47" s="1"/>
  <c r="AJ3" i="38"/>
  <c r="Z2" i="38"/>
  <c r="T2" i="38"/>
  <c r="N2" i="38"/>
  <c r="H2" i="38"/>
  <c r="B2" i="38"/>
  <c r="BB223" i="37"/>
  <c r="BA223" i="37"/>
  <c r="AZ223" i="37"/>
  <c r="AY223" i="37"/>
  <c r="AX223" i="37"/>
  <c r="BA219" i="37"/>
  <c r="AZ219" i="37"/>
  <c r="AY219" i="37"/>
  <c r="AX219" i="37"/>
  <c r="BA218" i="37"/>
  <c r="AZ218" i="37"/>
  <c r="AY218" i="37"/>
  <c r="AX218" i="37"/>
  <c r="BA217" i="37"/>
  <c r="AZ217" i="37"/>
  <c r="AY217" i="37"/>
  <c r="AX217" i="37"/>
  <c r="BA216" i="37"/>
  <c r="AZ216" i="37"/>
  <c r="AY216" i="37"/>
  <c r="AX216" i="37"/>
  <c r="BB216" i="37" s="1"/>
  <c r="BA215" i="37"/>
  <c r="AZ215" i="37"/>
  <c r="AY215" i="37"/>
  <c r="AX215" i="37"/>
  <c r="BA214" i="37"/>
  <c r="AZ214" i="37"/>
  <c r="AY214" i="37"/>
  <c r="AX214" i="37"/>
  <c r="BB214" i="37" s="1"/>
  <c r="BA213" i="37"/>
  <c r="AZ213" i="37"/>
  <c r="AY213" i="37"/>
  <c r="AX213" i="37"/>
  <c r="BA212" i="37"/>
  <c r="AZ212" i="37"/>
  <c r="AY212" i="37"/>
  <c r="AX212" i="37"/>
  <c r="BB212" i="37" s="1"/>
  <c r="BA211" i="37"/>
  <c r="AZ211" i="37"/>
  <c r="AY211" i="37"/>
  <c r="AX211" i="37"/>
  <c r="BA210" i="37"/>
  <c r="AZ210" i="37"/>
  <c r="AY210" i="37"/>
  <c r="AX210" i="37"/>
  <c r="BB210" i="37" s="1"/>
  <c r="BA209" i="37"/>
  <c r="AZ209" i="37"/>
  <c r="AY209" i="37"/>
  <c r="BA204" i="37"/>
  <c r="AZ204" i="37"/>
  <c r="AY204" i="37"/>
  <c r="BA203" i="37"/>
  <c r="AZ203" i="37"/>
  <c r="AY203" i="37"/>
  <c r="BA202" i="37"/>
  <c r="AZ202" i="37"/>
  <c r="AY202" i="37"/>
  <c r="BA201" i="37"/>
  <c r="AZ201" i="37"/>
  <c r="AY201" i="37"/>
  <c r="BA199" i="37"/>
  <c r="AZ199" i="37"/>
  <c r="AY199" i="37"/>
  <c r="BA198" i="37"/>
  <c r="AZ198" i="37"/>
  <c r="AY198" i="37"/>
  <c r="BA197" i="37"/>
  <c r="AZ197" i="37"/>
  <c r="AY197" i="37"/>
  <c r="BA196" i="37"/>
  <c r="AZ196" i="37"/>
  <c r="AY196" i="37"/>
  <c r="BA195" i="37"/>
  <c r="AZ195" i="37"/>
  <c r="AY195" i="37"/>
  <c r="BA194" i="37"/>
  <c r="AZ194" i="37"/>
  <c r="AZ205" i="37" s="1"/>
  <c r="AY194" i="37"/>
  <c r="BA191" i="37"/>
  <c r="AZ191" i="37"/>
  <c r="AY191" i="37"/>
  <c r="AX191" i="37"/>
  <c r="BA190" i="37"/>
  <c r="AZ190" i="37"/>
  <c r="AY190" i="37"/>
  <c r="BA189" i="37"/>
  <c r="AZ189" i="37"/>
  <c r="AY189" i="37"/>
  <c r="AX189" i="37"/>
  <c r="BA188" i="37"/>
  <c r="AZ188" i="37"/>
  <c r="AY188" i="37"/>
  <c r="AX188" i="37"/>
  <c r="BA187" i="37"/>
  <c r="AZ187" i="37"/>
  <c r="AY187" i="37"/>
  <c r="AX187" i="37"/>
  <c r="BA186" i="37"/>
  <c r="AZ186" i="37"/>
  <c r="AY186" i="37"/>
  <c r="BA185" i="37"/>
  <c r="AZ185" i="37"/>
  <c r="AY185" i="37"/>
  <c r="AX185" i="37"/>
  <c r="BA184" i="37"/>
  <c r="AZ184" i="37"/>
  <c r="AY184" i="37"/>
  <c r="AX184" i="37"/>
  <c r="AZ183" i="37"/>
  <c r="AZ192" i="37" s="1"/>
  <c r="AY183" i="37"/>
  <c r="BB182" i="37"/>
  <c r="BB193" i="37" s="1"/>
  <c r="BA182" i="37"/>
  <c r="BA193" i="37" s="1"/>
  <c r="AZ182" i="37"/>
  <c r="AZ193" i="37" s="1"/>
  <c r="AY182" i="37"/>
  <c r="AY193" i="37" s="1"/>
  <c r="AX182" i="37"/>
  <c r="AX193" i="37" s="1"/>
  <c r="BA180" i="37"/>
  <c r="AZ180" i="37"/>
  <c r="AY180" i="37"/>
  <c r="BA179" i="37"/>
  <c r="AZ179" i="37"/>
  <c r="AY179" i="37"/>
  <c r="BA178" i="37"/>
  <c r="BA181" i="37" s="1"/>
  <c r="AZ178" i="37"/>
  <c r="AY178" i="37"/>
  <c r="AY181" i="37" s="1"/>
  <c r="BA174" i="37"/>
  <c r="AZ174" i="37"/>
  <c r="AY174" i="37"/>
  <c r="BA173" i="37"/>
  <c r="AZ173" i="37"/>
  <c r="AY173" i="37"/>
  <c r="BA172" i="37"/>
  <c r="AZ172" i="37"/>
  <c r="AY172" i="37"/>
  <c r="AX172" i="37"/>
  <c r="BA171" i="37"/>
  <c r="AZ171" i="37"/>
  <c r="AY171" i="37"/>
  <c r="AX171" i="37"/>
  <c r="BA170" i="37"/>
  <c r="AZ170" i="37"/>
  <c r="AY170" i="37"/>
  <c r="BA169" i="37"/>
  <c r="AZ169" i="37"/>
  <c r="AY169" i="37"/>
  <c r="AY176" i="37" s="1"/>
  <c r="BA166" i="37"/>
  <c r="AZ166" i="37"/>
  <c r="AY166" i="37"/>
  <c r="AX166" i="37"/>
  <c r="BA165" i="37"/>
  <c r="AZ165" i="37"/>
  <c r="AY165" i="37"/>
  <c r="BA164" i="37"/>
  <c r="AZ164" i="37"/>
  <c r="AY164" i="37"/>
  <c r="BA163" i="37"/>
  <c r="AZ163" i="37"/>
  <c r="AY163" i="37"/>
  <c r="BA162" i="37"/>
  <c r="AZ162" i="37"/>
  <c r="AY162" i="37"/>
  <c r="AX162" i="37"/>
  <c r="BA160" i="37"/>
  <c r="AZ160" i="37"/>
  <c r="AY160" i="37"/>
  <c r="AX160" i="37"/>
  <c r="BA159" i="37"/>
  <c r="AZ159" i="37"/>
  <c r="AY159" i="37"/>
  <c r="BA157" i="37"/>
  <c r="AZ157" i="37"/>
  <c r="AY157" i="37"/>
  <c r="BA156" i="37"/>
  <c r="AZ156" i="37"/>
  <c r="AY156" i="37"/>
  <c r="BA155" i="37"/>
  <c r="AZ155" i="37"/>
  <c r="AY155" i="37"/>
  <c r="BA154" i="37"/>
  <c r="AY154" i="37"/>
  <c r="AX154" i="37"/>
  <c r="BA153" i="37"/>
  <c r="AZ153" i="37"/>
  <c r="AX153" i="37"/>
  <c r="BB152" i="37"/>
  <c r="BB168" i="37" s="1"/>
  <c r="BA152" i="37"/>
  <c r="BA168" i="37" s="1"/>
  <c r="AZ152" i="37"/>
  <c r="AZ168" i="37" s="1"/>
  <c r="AY152" i="37"/>
  <c r="AY168" i="37" s="1"/>
  <c r="AX152" i="37"/>
  <c r="AX168" i="37" s="1"/>
  <c r="BA150" i="37"/>
  <c r="AZ150" i="37"/>
  <c r="AY150" i="37"/>
  <c r="AX150" i="37"/>
  <c r="BB150" i="37" s="1"/>
  <c r="BA149" i="37"/>
  <c r="BA148" i="37"/>
  <c r="AZ148" i="37"/>
  <c r="BA147" i="37"/>
  <c r="AZ147" i="37"/>
  <c r="BA146" i="37"/>
  <c r="AZ146" i="37"/>
  <c r="AY146" i="37"/>
  <c r="BA145" i="37"/>
  <c r="AZ145" i="37"/>
  <c r="BA144" i="37"/>
  <c r="AZ144" i="37"/>
  <c r="AY144" i="37"/>
  <c r="BA143" i="37"/>
  <c r="AZ143" i="37"/>
  <c r="AY143" i="37"/>
  <c r="AX143" i="37"/>
  <c r="BA142" i="37"/>
  <c r="AZ142" i="37"/>
  <c r="AY142" i="37"/>
  <c r="BA141" i="37"/>
  <c r="AZ141" i="37"/>
  <c r="AY141" i="37"/>
  <c r="BB140" i="37"/>
  <c r="BA140" i="37"/>
  <c r="AZ140" i="37"/>
  <c r="AY140" i="37"/>
  <c r="AX140" i="37"/>
  <c r="AZ126" i="37"/>
  <c r="AY126" i="37"/>
  <c r="AX126" i="37"/>
  <c r="BA125" i="37"/>
  <c r="AZ125" i="37"/>
  <c r="AY125" i="37"/>
  <c r="AX125" i="37"/>
  <c r="AX124" i="37"/>
  <c r="AX123" i="37"/>
  <c r="AX122" i="37"/>
  <c r="AX121" i="37"/>
  <c r="AX120" i="37"/>
  <c r="AX119" i="37"/>
  <c r="BA118" i="37"/>
  <c r="AZ118" i="37"/>
  <c r="AY118" i="37"/>
  <c r="AX118" i="37"/>
  <c r="AX128" i="37" s="1"/>
  <c r="BB117" i="37"/>
  <c r="BA117" i="37"/>
  <c r="AZ117" i="37"/>
  <c r="AY117" i="37"/>
  <c r="AX117" i="37"/>
  <c r="BA115" i="37"/>
  <c r="AZ115" i="37"/>
  <c r="BA114" i="37"/>
  <c r="AY114" i="37"/>
  <c r="BA112" i="37"/>
  <c r="AZ112" i="37"/>
  <c r="AY112" i="37"/>
  <c r="BA111" i="37"/>
  <c r="AZ111" i="37"/>
  <c r="AY111" i="37"/>
  <c r="BA110" i="37"/>
  <c r="AY110" i="37"/>
  <c r="AX110" i="37"/>
  <c r="BA109" i="37"/>
  <c r="AZ109" i="37"/>
  <c r="AY109" i="37"/>
  <c r="AX109" i="37"/>
  <c r="AZ108" i="37"/>
  <c r="BA107" i="37"/>
  <c r="AZ107" i="37"/>
  <c r="BA106" i="37"/>
  <c r="AZ106" i="37"/>
  <c r="BA105" i="37"/>
  <c r="AZ105" i="37"/>
  <c r="BA104" i="37"/>
  <c r="AZ104" i="37"/>
  <c r="BA103" i="37"/>
  <c r="AZ103" i="37"/>
  <c r="BB101" i="37"/>
  <c r="BA101" i="37"/>
  <c r="AZ101" i="37"/>
  <c r="AY101" i="37"/>
  <c r="AX101" i="37"/>
  <c r="BA84" i="37"/>
  <c r="AZ84" i="37"/>
  <c r="AY84" i="37"/>
  <c r="AX84" i="37"/>
  <c r="BA83" i="37"/>
  <c r="AZ83" i="37"/>
  <c r="AY83" i="37"/>
  <c r="AX83" i="37"/>
  <c r="BA82" i="37"/>
  <c r="AZ82" i="37"/>
  <c r="AY82" i="37"/>
  <c r="BA78" i="37"/>
  <c r="BA77" i="37"/>
  <c r="AZ76" i="37"/>
  <c r="BA75" i="37"/>
  <c r="AZ75" i="37"/>
  <c r="AY75" i="37"/>
  <c r="BA74" i="37"/>
  <c r="AZ74" i="37"/>
  <c r="AY74" i="37"/>
  <c r="BB73" i="37"/>
  <c r="BA73" i="37"/>
  <c r="AY73" i="37"/>
  <c r="AX73" i="37"/>
  <c r="BA61" i="37"/>
  <c r="AZ61" i="37"/>
  <c r="AY61" i="37"/>
  <c r="AX61" i="37"/>
  <c r="BA60" i="37"/>
  <c r="AZ60" i="37"/>
  <c r="AY60" i="37"/>
  <c r="AX60" i="37"/>
  <c r="BA59" i="37"/>
  <c r="AZ59" i="37"/>
  <c r="AY59" i="37"/>
  <c r="AX59" i="37"/>
  <c r="BA58" i="37"/>
  <c r="AZ58" i="37"/>
  <c r="AY58" i="37"/>
  <c r="AX58" i="37"/>
  <c r="BA57" i="37"/>
  <c r="AZ57" i="37"/>
  <c r="AY57" i="37"/>
  <c r="AX57" i="37"/>
  <c r="BA56" i="37"/>
  <c r="AZ56" i="37"/>
  <c r="AY56" i="37"/>
  <c r="AX56" i="37"/>
  <c r="BA55" i="37"/>
  <c r="AZ55" i="37"/>
  <c r="AY55" i="37"/>
  <c r="AX55" i="37"/>
  <c r="BA54" i="37"/>
  <c r="AZ54" i="37"/>
  <c r="AY54" i="37"/>
  <c r="AX54" i="37"/>
  <c r="BA53" i="37"/>
  <c r="AZ53" i="37"/>
  <c r="AY53" i="37"/>
  <c r="AX53" i="37"/>
  <c r="BA52" i="37"/>
  <c r="AZ52" i="37"/>
  <c r="AY52" i="37"/>
  <c r="AX52" i="37"/>
  <c r="BA51" i="37"/>
  <c r="AZ51" i="37"/>
  <c r="AY51" i="37"/>
  <c r="AX51" i="37"/>
  <c r="BA50" i="37"/>
  <c r="AZ50" i="37"/>
  <c r="AY50" i="37"/>
  <c r="AX50" i="37"/>
  <c r="BA49" i="37"/>
  <c r="AZ49" i="37"/>
  <c r="AY49" i="37"/>
  <c r="AX49" i="37"/>
  <c r="BA48" i="37"/>
  <c r="AZ48" i="37"/>
  <c r="AY48" i="37"/>
  <c r="AX48" i="37"/>
  <c r="BA47" i="37"/>
  <c r="AZ47" i="37"/>
  <c r="AY47" i="37"/>
  <c r="AX47" i="37"/>
  <c r="BA46" i="37"/>
  <c r="AZ46" i="37"/>
  <c r="AY46" i="37"/>
  <c r="AX46" i="37"/>
  <c r="BA45" i="37"/>
  <c r="AZ45" i="37"/>
  <c r="AY45" i="37"/>
  <c r="AX45" i="37"/>
  <c r="BA44" i="37"/>
  <c r="AZ44" i="37"/>
  <c r="AY44" i="37"/>
  <c r="AX44" i="37"/>
  <c r="BA43" i="37"/>
  <c r="AZ43" i="37"/>
  <c r="AY43" i="37"/>
  <c r="AX43" i="37"/>
  <c r="BA42" i="37"/>
  <c r="BA62" i="37" s="1"/>
  <c r="BA65" i="37" s="1"/>
  <c r="AZ42" i="37"/>
  <c r="AY42" i="37"/>
  <c r="AX42" i="37"/>
  <c r="BB41" i="37"/>
  <c r="BA41" i="37"/>
  <c r="AZ41" i="37"/>
  <c r="AY41" i="37"/>
  <c r="AX41" i="37"/>
  <c r="BA38" i="37"/>
  <c r="AZ38" i="37"/>
  <c r="AY38" i="37"/>
  <c r="AX38" i="37"/>
  <c r="BB38" i="37" s="1"/>
  <c r="BA37" i="37"/>
  <c r="AZ37" i="37"/>
  <c r="AY37" i="37"/>
  <c r="AX37" i="37"/>
  <c r="BB37" i="37" s="1"/>
  <c r="BA36" i="37"/>
  <c r="AZ36" i="37"/>
  <c r="AY36" i="37"/>
  <c r="AX36" i="37"/>
  <c r="BB36" i="37" s="1"/>
  <c r="BA35" i="37"/>
  <c r="AZ35" i="37"/>
  <c r="AY35" i="37"/>
  <c r="AX35" i="37"/>
  <c r="BB35" i="37" s="1"/>
  <c r="BA34" i="37"/>
  <c r="AZ34" i="37"/>
  <c r="AY34" i="37"/>
  <c r="AX34" i="37"/>
  <c r="BB34" i="37" s="1"/>
  <c r="BA33" i="37"/>
  <c r="AZ33" i="37"/>
  <c r="AY33" i="37"/>
  <c r="AX33" i="37"/>
  <c r="BB33" i="37" s="1"/>
  <c r="BA32" i="37"/>
  <c r="AZ32" i="37"/>
  <c r="AY32" i="37"/>
  <c r="AX32" i="37"/>
  <c r="BB32" i="37" s="1"/>
  <c r="BA31" i="37"/>
  <c r="AZ31" i="37"/>
  <c r="AY31" i="37"/>
  <c r="AX31" i="37"/>
  <c r="BB31" i="37" s="1"/>
  <c r="BA30" i="37"/>
  <c r="AZ30" i="37"/>
  <c r="AY30" i="37"/>
  <c r="AX30" i="37"/>
  <c r="BB30" i="37" s="1"/>
  <c r="BA29" i="37"/>
  <c r="AZ29" i="37"/>
  <c r="AY29" i="37"/>
  <c r="AY39" i="37" s="1"/>
  <c r="AY64" i="37" s="1"/>
  <c r="AX29" i="37"/>
  <c r="BB27" i="37"/>
  <c r="BA26" i="37"/>
  <c r="AZ26" i="37"/>
  <c r="AX26" i="37"/>
  <c r="AZ25" i="37"/>
  <c r="AY25" i="37"/>
  <c r="AX25" i="37"/>
  <c r="BA24" i="37"/>
  <c r="AZ24" i="37"/>
  <c r="AX24" i="37"/>
  <c r="BA23" i="37"/>
  <c r="AZ23" i="37"/>
  <c r="AX23" i="37"/>
  <c r="BA22" i="37"/>
  <c r="AY22" i="37"/>
  <c r="AX22" i="37"/>
  <c r="BA19" i="37"/>
  <c r="AZ19" i="37"/>
  <c r="AY19" i="37"/>
  <c r="BA18" i="37"/>
  <c r="AZ18" i="37"/>
  <c r="AY18" i="37"/>
  <c r="AX18" i="37"/>
  <c r="BB18" i="37" s="1"/>
  <c r="BA17" i="37"/>
  <c r="AZ17" i="37"/>
  <c r="AY17" i="37"/>
  <c r="AX17" i="37"/>
  <c r="BB17" i="37" s="1"/>
  <c r="BA16" i="37"/>
  <c r="AZ16" i="37"/>
  <c r="AY16" i="37"/>
  <c r="BA15" i="37"/>
  <c r="AZ15" i="37"/>
  <c r="AY15" i="37"/>
  <c r="BA14" i="37"/>
  <c r="AZ14" i="37"/>
  <c r="AY14" i="37"/>
  <c r="BA13" i="37"/>
  <c r="AZ13" i="37"/>
  <c r="AY13" i="37"/>
  <c r="BA12" i="37"/>
  <c r="AZ12" i="37"/>
  <c r="AY12" i="37"/>
  <c r="BA11" i="37"/>
  <c r="AZ11" i="37"/>
  <c r="AY11" i="37"/>
  <c r="BA10" i="37"/>
  <c r="AZ10" i="37"/>
  <c r="AY10" i="37"/>
  <c r="BA9" i="37"/>
  <c r="AZ9" i="37"/>
  <c r="AY9" i="37"/>
  <c r="BA8" i="37"/>
  <c r="AZ8" i="37"/>
  <c r="AY8" i="37"/>
  <c r="BA7" i="37"/>
  <c r="AZ7" i="37"/>
  <c r="AY7" i="37"/>
  <c r="BA6" i="37"/>
  <c r="AZ6" i="37"/>
  <c r="AY6" i="37"/>
  <c r="BA5" i="37"/>
  <c r="AZ5" i="37"/>
  <c r="AY5" i="37"/>
  <c r="BB3" i="37"/>
  <c r="AF14" i="37"/>
  <c r="AF11" i="37"/>
  <c r="AJ11" i="37" s="1"/>
  <c r="AF2" i="37"/>
  <c r="AJ223" i="37"/>
  <c r="AI223" i="37"/>
  <c r="AH223" i="37"/>
  <c r="AG223" i="37"/>
  <c r="AF223" i="37"/>
  <c r="AJ218" i="37"/>
  <c r="E218" i="49" s="1"/>
  <c r="AJ217" i="37"/>
  <c r="E217" i="47" s="1"/>
  <c r="E234" i="47" s="1"/>
  <c r="AJ216" i="37"/>
  <c r="E216" i="47" s="1"/>
  <c r="E233" i="47" s="1"/>
  <c r="AJ215" i="37"/>
  <c r="E215" i="47" s="1"/>
  <c r="AJ214" i="37"/>
  <c r="E214" i="47" s="1"/>
  <c r="AJ213" i="37"/>
  <c r="E213" i="47" s="1"/>
  <c r="AJ212" i="37"/>
  <c r="E212" i="47" s="1"/>
  <c r="AJ211" i="37"/>
  <c r="E211" i="47" s="1"/>
  <c r="E232" i="47" s="1"/>
  <c r="AJ210" i="37"/>
  <c r="E210" i="47" s="1"/>
  <c r="E231" i="47" s="1"/>
  <c r="AI205" i="37"/>
  <c r="AH205" i="37"/>
  <c r="AG205" i="37"/>
  <c r="AJ204" i="37"/>
  <c r="E204" i="47" s="1"/>
  <c r="AJ203" i="37"/>
  <c r="E203" i="47" s="1"/>
  <c r="AJ202" i="37"/>
  <c r="E202" i="47" s="1"/>
  <c r="AJ201" i="37"/>
  <c r="E201" i="47" s="1"/>
  <c r="AJ199" i="37"/>
  <c r="E199" i="47" s="1"/>
  <c r="AJ198" i="37"/>
  <c r="E198" i="47" s="1"/>
  <c r="AJ197" i="37"/>
  <c r="E197" i="47" s="1"/>
  <c r="AJ196" i="37"/>
  <c r="E196" i="47" s="1"/>
  <c r="AJ194" i="37"/>
  <c r="E194" i="47" s="1"/>
  <c r="AH192" i="37"/>
  <c r="AG192" i="37"/>
  <c r="AJ191" i="37"/>
  <c r="E191" i="47" s="1"/>
  <c r="AJ190" i="37"/>
  <c r="E190" i="47" s="1"/>
  <c r="AJ189" i="37"/>
  <c r="E189" i="47" s="1"/>
  <c r="AJ188" i="37"/>
  <c r="E188" i="47" s="1"/>
  <c r="AJ187" i="37"/>
  <c r="E187" i="47" s="1"/>
  <c r="AJ186" i="37"/>
  <c r="E186" i="47" s="1"/>
  <c r="AJ185" i="37"/>
  <c r="E185" i="47" s="1"/>
  <c r="AJ184" i="37"/>
  <c r="E184" i="47" s="1"/>
  <c r="AF183" i="37"/>
  <c r="AF192" i="37" s="1"/>
  <c r="AJ182" i="37"/>
  <c r="AJ193" i="37" s="1"/>
  <c r="AI182" i="37"/>
  <c r="AI193" i="37" s="1"/>
  <c r="AH182" i="37"/>
  <c r="AH193" i="37" s="1"/>
  <c r="AG182" i="37"/>
  <c r="AG193" i="37" s="1"/>
  <c r="AF182" i="37"/>
  <c r="AF193" i="37" s="1"/>
  <c r="AI181" i="37"/>
  <c r="AH181" i="37"/>
  <c r="AG181" i="37"/>
  <c r="AJ180" i="37"/>
  <c r="E180" i="47" s="1"/>
  <c r="AJ179" i="37"/>
  <c r="E179" i="47" s="1"/>
  <c r="AI176" i="37"/>
  <c r="AH176" i="37"/>
  <c r="AG176" i="37"/>
  <c r="AJ174" i="37"/>
  <c r="E174" i="47" s="1"/>
  <c r="AJ173" i="37"/>
  <c r="E173" i="47" s="1"/>
  <c r="AJ172" i="37"/>
  <c r="E172" i="47" s="1"/>
  <c r="AJ171" i="37"/>
  <c r="E171" i="47" s="1"/>
  <c r="AJ170" i="37"/>
  <c r="E170" i="47" s="1"/>
  <c r="AJ169" i="37"/>
  <c r="E169" i="47" s="1"/>
  <c r="AJ162" i="37"/>
  <c r="E162" i="47" s="1"/>
  <c r="AJ160" i="37"/>
  <c r="E160" i="47" s="1"/>
  <c r="AJ159" i="37"/>
  <c r="E159" i="47" s="1"/>
  <c r="AJ156" i="37"/>
  <c r="E156" i="47" s="1"/>
  <c r="AJ155" i="37"/>
  <c r="E155" i="47" s="1"/>
  <c r="AJ152" i="37"/>
  <c r="AJ168" i="37" s="1"/>
  <c r="AI152" i="37"/>
  <c r="AI168" i="37" s="1"/>
  <c r="AH152" i="37"/>
  <c r="AH168" i="37" s="1"/>
  <c r="AG152" i="37"/>
  <c r="AG168" i="37" s="1"/>
  <c r="AF152" i="37"/>
  <c r="AF168" i="37" s="1"/>
  <c r="AI151" i="37"/>
  <c r="AJ150" i="37"/>
  <c r="E150" i="47" s="1"/>
  <c r="AJ144" i="37"/>
  <c r="E144" i="47" s="1"/>
  <c r="AJ143" i="37"/>
  <c r="E143" i="47" s="1"/>
  <c r="AJ142" i="37"/>
  <c r="E142" i="47" s="1"/>
  <c r="AJ140" i="37"/>
  <c r="AI140" i="37"/>
  <c r="AH140" i="37"/>
  <c r="AG140" i="37"/>
  <c r="AF140" i="37"/>
  <c r="AF128" i="37"/>
  <c r="AJ126" i="37"/>
  <c r="E126" i="47" s="1"/>
  <c r="AJ125" i="37"/>
  <c r="E125" i="47" s="1"/>
  <c r="AI124" i="37"/>
  <c r="AH124" i="37"/>
  <c r="AI123" i="37"/>
  <c r="AH123" i="37"/>
  <c r="AG123" i="37"/>
  <c r="AI122" i="37"/>
  <c r="AH122" i="37"/>
  <c r="AG122" i="37"/>
  <c r="AI121" i="37"/>
  <c r="AH121" i="37"/>
  <c r="AG121" i="37"/>
  <c r="AI120" i="37"/>
  <c r="AH120" i="37"/>
  <c r="AG120" i="37"/>
  <c r="AI119" i="37"/>
  <c r="AH119" i="37"/>
  <c r="AG119" i="37"/>
  <c r="AJ118" i="37"/>
  <c r="E118" i="47" s="1"/>
  <c r="AJ117" i="37"/>
  <c r="AI117" i="37"/>
  <c r="AH117" i="37"/>
  <c r="AG117" i="37"/>
  <c r="AF117" i="37"/>
  <c r="AG115" i="37"/>
  <c r="AJ115" i="37" s="1"/>
  <c r="E115" i="47" s="1"/>
  <c r="AH114" i="37"/>
  <c r="AJ114" i="37" s="1"/>
  <c r="E114" i="47" s="1"/>
  <c r="AH113" i="37"/>
  <c r="AG113" i="37"/>
  <c r="AF113" i="37"/>
  <c r="AJ112" i="37"/>
  <c r="E112" i="47" s="1"/>
  <c r="AJ111" i="37"/>
  <c r="E111" i="47" s="1"/>
  <c r="AJ109" i="37"/>
  <c r="E109" i="47" s="1"/>
  <c r="AJ107" i="37"/>
  <c r="E107" i="47" s="1"/>
  <c r="AJ106" i="37"/>
  <c r="E106" i="47" s="1"/>
  <c r="AJ104" i="37"/>
  <c r="E104" i="47" s="1"/>
  <c r="AJ103" i="37"/>
  <c r="E103" i="47" s="1"/>
  <c r="AJ101" i="37"/>
  <c r="AI101" i="37"/>
  <c r="AH101" i="37"/>
  <c r="AG101" i="37"/>
  <c r="AF101" i="37"/>
  <c r="AI97" i="37"/>
  <c r="AH97" i="37"/>
  <c r="AG97" i="37"/>
  <c r="AF97" i="37"/>
  <c r="AI96" i="37"/>
  <c r="AH96" i="37"/>
  <c r="AG96" i="37"/>
  <c r="AF96" i="37"/>
  <c r="AI95" i="37"/>
  <c r="AH95" i="37"/>
  <c r="AG95" i="37"/>
  <c r="AF95" i="37"/>
  <c r="AI94" i="37"/>
  <c r="AH94" i="37"/>
  <c r="AF94" i="37"/>
  <c r="AI93" i="37"/>
  <c r="AH93" i="37"/>
  <c r="AI92" i="37"/>
  <c r="AH92" i="37"/>
  <c r="AI91" i="37"/>
  <c r="AI90" i="37"/>
  <c r="AH89" i="37"/>
  <c r="AI88" i="37"/>
  <c r="AH88" i="37"/>
  <c r="AG88" i="37"/>
  <c r="AI87" i="37"/>
  <c r="AH87" i="37"/>
  <c r="AG87" i="37"/>
  <c r="AJ84" i="37"/>
  <c r="AJ97" i="37" s="1"/>
  <c r="E97" i="47" s="1"/>
  <c r="AJ83" i="37"/>
  <c r="AJ96" i="37" s="1"/>
  <c r="E96" i="47" s="1"/>
  <c r="AJ82" i="37"/>
  <c r="AJ95" i="37" s="1"/>
  <c r="E95" i="47" s="1"/>
  <c r="AF93" i="37"/>
  <c r="AG78" i="37"/>
  <c r="AG91" i="37" s="1"/>
  <c r="AF78" i="37"/>
  <c r="AF91" i="37" s="1"/>
  <c r="AG77" i="37"/>
  <c r="AG90" i="37" s="1"/>
  <c r="AF77" i="37"/>
  <c r="AF90" i="37" s="1"/>
  <c r="AG76" i="37"/>
  <c r="AG89" i="37" s="1"/>
  <c r="AF76" i="37"/>
  <c r="AJ73" i="37"/>
  <c r="AI73" i="37"/>
  <c r="AG73" i="37"/>
  <c r="AF73" i="37"/>
  <c r="AI62" i="37"/>
  <c r="AI65" i="37" s="1"/>
  <c r="AH62" i="37"/>
  <c r="AH65" i="37" s="1"/>
  <c r="AG62" i="37"/>
  <c r="AG65" i="37" s="1"/>
  <c r="AF62" i="37"/>
  <c r="AF65" i="37" s="1"/>
  <c r="AJ61" i="37"/>
  <c r="E61" i="47" s="1"/>
  <c r="AJ60" i="37"/>
  <c r="E60" i="47" s="1"/>
  <c r="AJ59" i="37"/>
  <c r="E59" i="47" s="1"/>
  <c r="AJ58" i="37"/>
  <c r="E58" i="47" s="1"/>
  <c r="AJ57" i="37"/>
  <c r="E57" i="47" s="1"/>
  <c r="AJ56" i="37"/>
  <c r="E56" i="47" s="1"/>
  <c r="AJ55" i="37"/>
  <c r="E55" i="47" s="1"/>
  <c r="F34" i="44" s="1"/>
  <c r="AJ54" i="37"/>
  <c r="E54" i="47" s="1"/>
  <c r="AJ53" i="37"/>
  <c r="E53" i="47" s="1"/>
  <c r="F40" i="44" s="1"/>
  <c r="AJ52" i="37"/>
  <c r="E52" i="47" s="1"/>
  <c r="AJ51" i="37"/>
  <c r="E51" i="47" s="1"/>
  <c r="AJ50" i="37"/>
  <c r="E50" i="47" s="1"/>
  <c r="AJ49" i="37"/>
  <c r="E49" i="47" s="1"/>
  <c r="AJ48" i="37"/>
  <c r="E48" i="47" s="1"/>
  <c r="AJ47" i="37"/>
  <c r="E47" i="47" s="1"/>
  <c r="AJ46" i="37"/>
  <c r="E46" i="47" s="1"/>
  <c r="F30" i="44" s="1"/>
  <c r="AJ45" i="37"/>
  <c r="E45" i="47" s="1"/>
  <c r="AJ44" i="37"/>
  <c r="E44" i="47" s="1"/>
  <c r="AJ43" i="37"/>
  <c r="E43" i="47" s="1"/>
  <c r="F27" i="44" s="1"/>
  <c r="AJ42" i="37"/>
  <c r="E42" i="47" s="1"/>
  <c r="AJ41" i="37"/>
  <c r="AI41" i="37"/>
  <c r="AH41" i="37"/>
  <c r="AG41" i="37"/>
  <c r="AF41" i="37"/>
  <c r="AI39" i="37"/>
  <c r="AI64" i="37" s="1"/>
  <c r="AH39" i="37"/>
  <c r="AG39" i="37"/>
  <c r="AF39" i="37"/>
  <c r="AJ38" i="37"/>
  <c r="E38" i="47" s="1"/>
  <c r="AJ37" i="37"/>
  <c r="E37" i="47" s="1"/>
  <c r="AJ36" i="37"/>
  <c r="E36" i="47" s="1"/>
  <c r="AJ35" i="37"/>
  <c r="E35" i="47" s="1"/>
  <c r="AJ34" i="37"/>
  <c r="E34" i="47" s="1"/>
  <c r="AJ33" i="37"/>
  <c r="E33" i="47" s="1"/>
  <c r="AJ32" i="37"/>
  <c r="E32" i="47" s="1"/>
  <c r="AJ31" i="37"/>
  <c r="E31" i="47" s="1"/>
  <c r="AJ30" i="37"/>
  <c r="E30" i="47" s="1"/>
  <c r="AJ29" i="37"/>
  <c r="E29" i="47" s="1"/>
  <c r="F35" i="45" s="1"/>
  <c r="AJ27" i="37"/>
  <c r="AJ25" i="37"/>
  <c r="E25" i="47" s="1"/>
  <c r="L25" i="47" s="1"/>
  <c r="AJ18" i="37"/>
  <c r="E18" i="47" s="1"/>
  <c r="F50" i="40" s="1"/>
  <c r="AJ17" i="37"/>
  <c r="E17" i="47" s="1"/>
  <c r="F49" i="40" s="1"/>
  <c r="AJ16" i="37"/>
  <c r="E16" i="47" s="1"/>
  <c r="F48" i="40" s="1"/>
  <c r="AJ15" i="37"/>
  <c r="E15" i="47" s="1"/>
  <c r="F47" i="40" s="1"/>
  <c r="AJ14" i="37"/>
  <c r="AK14" i="37" s="1"/>
  <c r="L14" i="47" s="1"/>
  <c r="AF13" i="37"/>
  <c r="AJ13" i="37" s="1"/>
  <c r="AK13" i="37" s="1"/>
  <c r="L13" i="47" s="1"/>
  <c r="AF12" i="37"/>
  <c r="AJ12" i="37" s="1"/>
  <c r="AK12" i="37" s="1"/>
  <c r="L12" i="47" s="1"/>
  <c r="AF10" i="37"/>
  <c r="AJ10" i="37" s="1"/>
  <c r="AF9" i="37"/>
  <c r="AJ9" i="37" s="1"/>
  <c r="AF8" i="37"/>
  <c r="AJ8" i="37" s="1"/>
  <c r="AK8" i="37" s="1"/>
  <c r="L8" i="47" s="1"/>
  <c r="AF7" i="37"/>
  <c r="AJ7" i="37" s="1"/>
  <c r="AK7" i="37" s="1"/>
  <c r="L7" i="47" s="1"/>
  <c r="AF6" i="37"/>
  <c r="AJ6" i="37" s="1"/>
  <c r="E6" i="47" s="1"/>
  <c r="F38" i="40" s="1"/>
  <c r="AF5" i="37"/>
  <c r="AJ3" i="37"/>
  <c r="AJ2" i="37"/>
  <c r="E2" i="47" s="1"/>
  <c r="Z2" i="37"/>
  <c r="T2" i="37"/>
  <c r="N2" i="37"/>
  <c r="H2" i="37"/>
  <c r="B2" i="37"/>
  <c r="AF2" i="36"/>
  <c r="Z2" i="36"/>
  <c r="T2" i="36"/>
  <c r="N2" i="36"/>
  <c r="H2" i="36"/>
  <c r="B2" i="36"/>
  <c r="AF13" i="36"/>
  <c r="AF10" i="36"/>
  <c r="AJ10" i="36" s="1"/>
  <c r="AF11" i="36"/>
  <c r="BB223" i="36"/>
  <c r="BA223" i="36"/>
  <c r="AZ223" i="36"/>
  <c r="AY223" i="36"/>
  <c r="AX223" i="36"/>
  <c r="BA219" i="36"/>
  <c r="AZ219" i="36"/>
  <c r="AY219" i="36"/>
  <c r="AX219" i="36"/>
  <c r="BA218" i="36"/>
  <c r="AZ218" i="36"/>
  <c r="AY218" i="36"/>
  <c r="AX218" i="36"/>
  <c r="BA217" i="36"/>
  <c r="AZ217" i="36"/>
  <c r="AY217" i="36"/>
  <c r="AX217" i="36"/>
  <c r="BA216" i="36"/>
  <c r="AZ216" i="36"/>
  <c r="AY216" i="36"/>
  <c r="AX216" i="36"/>
  <c r="BA215" i="36"/>
  <c r="AZ215" i="36"/>
  <c r="AY215" i="36"/>
  <c r="AX215" i="36"/>
  <c r="BA214" i="36"/>
  <c r="AZ214" i="36"/>
  <c r="AY214" i="36"/>
  <c r="AX214" i="36"/>
  <c r="BA213" i="36"/>
  <c r="AZ213" i="36"/>
  <c r="AY213" i="36"/>
  <c r="AX213" i="36"/>
  <c r="BA212" i="36"/>
  <c r="AZ212" i="36"/>
  <c r="AY212" i="36"/>
  <c r="AX212" i="36"/>
  <c r="BA211" i="36"/>
  <c r="AZ211" i="36"/>
  <c r="AY211" i="36"/>
  <c r="AX211" i="36"/>
  <c r="BA210" i="36"/>
  <c r="AZ210" i="36"/>
  <c r="AY210" i="36"/>
  <c r="AX210" i="36"/>
  <c r="BA209" i="36"/>
  <c r="AZ209" i="36"/>
  <c r="AY209" i="36"/>
  <c r="BA204" i="36"/>
  <c r="AZ204" i="36"/>
  <c r="AY204" i="36"/>
  <c r="BA203" i="36"/>
  <c r="AZ203" i="36"/>
  <c r="AY203" i="36"/>
  <c r="BA202" i="36"/>
  <c r="AZ202" i="36"/>
  <c r="AY202" i="36"/>
  <c r="BA201" i="36"/>
  <c r="AZ201" i="36"/>
  <c r="AY201" i="36"/>
  <c r="BA199" i="36"/>
  <c r="AZ199" i="36"/>
  <c r="AY199" i="36"/>
  <c r="BA198" i="36"/>
  <c r="AZ198" i="36"/>
  <c r="AY198" i="36"/>
  <c r="BA197" i="36"/>
  <c r="AZ197" i="36"/>
  <c r="AY197" i="36"/>
  <c r="BA196" i="36"/>
  <c r="AZ196" i="36"/>
  <c r="AY196" i="36"/>
  <c r="BA195" i="36"/>
  <c r="AZ195" i="36"/>
  <c r="AY195" i="36"/>
  <c r="BA194" i="36"/>
  <c r="BA205" i="36" s="1"/>
  <c r="AZ194" i="36"/>
  <c r="AY194" i="36"/>
  <c r="BA191" i="36"/>
  <c r="AZ191" i="36"/>
  <c r="AY191" i="36"/>
  <c r="AX191" i="36"/>
  <c r="BB191" i="36" s="1"/>
  <c r="BA190" i="36"/>
  <c r="AZ190" i="36"/>
  <c r="AY190" i="36"/>
  <c r="BA189" i="36"/>
  <c r="AZ189" i="36"/>
  <c r="AY189" i="36"/>
  <c r="AX189" i="36"/>
  <c r="BB189" i="36" s="1"/>
  <c r="BA188" i="36"/>
  <c r="AZ188" i="36"/>
  <c r="AY188" i="36"/>
  <c r="AX188" i="36"/>
  <c r="BA187" i="36"/>
  <c r="AZ187" i="36"/>
  <c r="AY187" i="36"/>
  <c r="AX187" i="36"/>
  <c r="BA186" i="36"/>
  <c r="AZ186" i="36"/>
  <c r="AY186" i="36"/>
  <c r="BA185" i="36"/>
  <c r="AZ185" i="36"/>
  <c r="AY185" i="36"/>
  <c r="AX185" i="36"/>
  <c r="BA184" i="36"/>
  <c r="AZ184" i="36"/>
  <c r="AY184" i="36"/>
  <c r="AX184" i="36"/>
  <c r="AZ183" i="36"/>
  <c r="AY183" i="36"/>
  <c r="BB182" i="36"/>
  <c r="BB193" i="36" s="1"/>
  <c r="BA182" i="36"/>
  <c r="BA193" i="36" s="1"/>
  <c r="AZ182" i="36"/>
  <c r="AZ193" i="36" s="1"/>
  <c r="AY182" i="36"/>
  <c r="AY193" i="36" s="1"/>
  <c r="AX182" i="36"/>
  <c r="AX193" i="36" s="1"/>
  <c r="BA180" i="36"/>
  <c r="AZ180" i="36"/>
  <c r="AY180" i="36"/>
  <c r="BA179" i="36"/>
  <c r="AZ179" i="36"/>
  <c r="AY179" i="36"/>
  <c r="BA178" i="36"/>
  <c r="BA181" i="36" s="1"/>
  <c r="AZ178" i="36"/>
  <c r="AY178" i="36"/>
  <c r="BA174" i="36"/>
  <c r="AZ174" i="36"/>
  <c r="AY174" i="36"/>
  <c r="BA173" i="36"/>
  <c r="AZ173" i="36"/>
  <c r="AY173" i="36"/>
  <c r="BA172" i="36"/>
  <c r="AZ172" i="36"/>
  <c r="AY172" i="36"/>
  <c r="AX172" i="36"/>
  <c r="BB172" i="36" s="1"/>
  <c r="BA171" i="36"/>
  <c r="AZ171" i="36"/>
  <c r="AY171" i="36"/>
  <c r="AX171" i="36"/>
  <c r="BA170" i="36"/>
  <c r="AZ170" i="36"/>
  <c r="AY170" i="36"/>
  <c r="BA169" i="36"/>
  <c r="BA176" i="36" s="1"/>
  <c r="AZ169" i="36"/>
  <c r="AY169" i="36"/>
  <c r="BA166" i="36"/>
  <c r="AZ166" i="36"/>
  <c r="AY166" i="36"/>
  <c r="AX166" i="36"/>
  <c r="BA165" i="36"/>
  <c r="AZ165" i="36"/>
  <c r="AY165" i="36"/>
  <c r="BA164" i="36"/>
  <c r="AZ164" i="36"/>
  <c r="AY164" i="36"/>
  <c r="BA163" i="36"/>
  <c r="AZ163" i="36"/>
  <c r="AY163" i="36"/>
  <c r="BA162" i="36"/>
  <c r="AZ162" i="36"/>
  <c r="AY162" i="36"/>
  <c r="AX162" i="36"/>
  <c r="BA160" i="36"/>
  <c r="AZ160" i="36"/>
  <c r="AY160" i="36"/>
  <c r="AX160" i="36"/>
  <c r="BA159" i="36"/>
  <c r="AZ159" i="36"/>
  <c r="AY159" i="36"/>
  <c r="BA157" i="36"/>
  <c r="AZ157" i="36"/>
  <c r="AY157" i="36"/>
  <c r="BA156" i="36"/>
  <c r="AZ156" i="36"/>
  <c r="AY156" i="36"/>
  <c r="BA155" i="36"/>
  <c r="AZ155" i="36"/>
  <c r="AY155" i="36"/>
  <c r="BA154" i="36"/>
  <c r="AY154" i="36"/>
  <c r="AX154" i="36"/>
  <c r="BA153" i="36"/>
  <c r="AZ153" i="36"/>
  <c r="AX153" i="36"/>
  <c r="BB152" i="36"/>
  <c r="BB168" i="36" s="1"/>
  <c r="BA152" i="36"/>
  <c r="BA168" i="36" s="1"/>
  <c r="AZ152" i="36"/>
  <c r="AZ168" i="36" s="1"/>
  <c r="AY152" i="36"/>
  <c r="AY168" i="36" s="1"/>
  <c r="AX152" i="36"/>
  <c r="AX168" i="36" s="1"/>
  <c r="BA150" i="36"/>
  <c r="AZ150" i="36"/>
  <c r="AY150" i="36"/>
  <c r="AX150" i="36"/>
  <c r="BA149" i="36"/>
  <c r="BA148" i="36"/>
  <c r="AZ148" i="36"/>
  <c r="BA147" i="36"/>
  <c r="AZ147" i="36"/>
  <c r="BA146" i="36"/>
  <c r="AZ146" i="36"/>
  <c r="AY146" i="36"/>
  <c r="BA145" i="36"/>
  <c r="AZ145" i="36"/>
  <c r="BA144" i="36"/>
  <c r="AZ144" i="36"/>
  <c r="AY144" i="36"/>
  <c r="BA143" i="36"/>
  <c r="AZ143" i="36"/>
  <c r="AY143" i="36"/>
  <c r="AX143" i="36"/>
  <c r="BA142" i="36"/>
  <c r="AZ142" i="36"/>
  <c r="AY142" i="36"/>
  <c r="BA141" i="36"/>
  <c r="AZ141" i="36"/>
  <c r="AY141" i="36"/>
  <c r="BB140" i="36"/>
  <c r="BA140" i="36"/>
  <c r="AZ140" i="36"/>
  <c r="AY140" i="36"/>
  <c r="AX140" i="36"/>
  <c r="AZ126" i="36"/>
  <c r="AY126" i="36"/>
  <c r="AX126" i="36"/>
  <c r="BA125" i="36"/>
  <c r="AZ125" i="36"/>
  <c r="AY125" i="36"/>
  <c r="AX125" i="36"/>
  <c r="AX124" i="36"/>
  <c r="AX123" i="36"/>
  <c r="AX122" i="36"/>
  <c r="AX121" i="36"/>
  <c r="AX120" i="36"/>
  <c r="AX119" i="36"/>
  <c r="BA118" i="36"/>
  <c r="AZ118" i="36"/>
  <c r="AY118" i="36"/>
  <c r="AX118" i="36"/>
  <c r="BB117" i="36"/>
  <c r="BA117" i="36"/>
  <c r="AZ117" i="36"/>
  <c r="AY117" i="36"/>
  <c r="AX117" i="36"/>
  <c r="BA115" i="36"/>
  <c r="AZ115" i="36"/>
  <c r="BA114" i="36"/>
  <c r="AY114" i="36"/>
  <c r="BA112" i="36"/>
  <c r="AZ112" i="36"/>
  <c r="AY112" i="36"/>
  <c r="BA111" i="36"/>
  <c r="AZ111" i="36"/>
  <c r="AY111" i="36"/>
  <c r="BA110" i="36"/>
  <c r="AZ110" i="36"/>
  <c r="AY110" i="36"/>
  <c r="AX110" i="36"/>
  <c r="BA109" i="36"/>
  <c r="AZ109" i="36"/>
  <c r="AY109" i="36"/>
  <c r="AX109" i="36"/>
  <c r="AZ108" i="36"/>
  <c r="BA107" i="36"/>
  <c r="AZ107" i="36"/>
  <c r="BA106" i="36"/>
  <c r="AZ106" i="36"/>
  <c r="BA105" i="36"/>
  <c r="AZ105" i="36"/>
  <c r="BA104" i="36"/>
  <c r="AZ104" i="36"/>
  <c r="BA103" i="36"/>
  <c r="AZ103" i="36"/>
  <c r="BB101" i="36"/>
  <c r="BA101" i="36"/>
  <c r="AZ101" i="36"/>
  <c r="AY101" i="36"/>
  <c r="AX101" i="36"/>
  <c r="BA84" i="36"/>
  <c r="AZ84" i="36"/>
  <c r="AY84" i="36"/>
  <c r="AX84" i="36"/>
  <c r="BA83" i="36"/>
  <c r="AZ83" i="36"/>
  <c r="AY83" i="36"/>
  <c r="AX83" i="36"/>
  <c r="BA82" i="36"/>
  <c r="AZ82" i="36"/>
  <c r="AY82" i="36"/>
  <c r="BA78" i="36"/>
  <c r="BA77" i="36"/>
  <c r="AZ76" i="36"/>
  <c r="BA75" i="36"/>
  <c r="AZ75" i="36"/>
  <c r="AY75" i="36"/>
  <c r="BA74" i="36"/>
  <c r="AZ74" i="36"/>
  <c r="AY74" i="36"/>
  <c r="BB73" i="36"/>
  <c r="BA73" i="36"/>
  <c r="AY73" i="36"/>
  <c r="AX73" i="36"/>
  <c r="BA61" i="36"/>
  <c r="AZ61" i="36"/>
  <c r="AY61" i="36"/>
  <c r="AX61" i="36"/>
  <c r="BA60" i="36"/>
  <c r="AZ60" i="36"/>
  <c r="AY60" i="36"/>
  <c r="AX60" i="36"/>
  <c r="BA59" i="36"/>
  <c r="AZ59" i="36"/>
  <c r="AY59" i="36"/>
  <c r="AX59" i="36"/>
  <c r="BA58" i="36"/>
  <c r="AZ58" i="36"/>
  <c r="AY58" i="36"/>
  <c r="AX58" i="36"/>
  <c r="BA57" i="36"/>
  <c r="AZ57" i="36"/>
  <c r="AY57" i="36"/>
  <c r="AX57" i="36"/>
  <c r="BA56" i="36"/>
  <c r="AZ56" i="36"/>
  <c r="AY56" i="36"/>
  <c r="AX56" i="36"/>
  <c r="BA55" i="36"/>
  <c r="AZ55" i="36"/>
  <c r="AY55" i="36"/>
  <c r="AX55" i="36"/>
  <c r="BA54" i="36"/>
  <c r="AZ54" i="36"/>
  <c r="AY54" i="36"/>
  <c r="AX54" i="36"/>
  <c r="BA53" i="36"/>
  <c r="AZ53" i="36"/>
  <c r="AY53" i="36"/>
  <c r="AX53" i="36"/>
  <c r="BA52" i="36"/>
  <c r="AZ52" i="36"/>
  <c r="AY52" i="36"/>
  <c r="AX52" i="36"/>
  <c r="BA51" i="36"/>
  <c r="AZ51" i="36"/>
  <c r="AY51" i="36"/>
  <c r="AX51" i="36"/>
  <c r="BA50" i="36"/>
  <c r="AZ50" i="36"/>
  <c r="AY50" i="36"/>
  <c r="AX50" i="36"/>
  <c r="BA49" i="36"/>
  <c r="AZ49" i="36"/>
  <c r="AY49" i="36"/>
  <c r="AX49" i="36"/>
  <c r="BA48" i="36"/>
  <c r="AZ48" i="36"/>
  <c r="AY48" i="36"/>
  <c r="AX48" i="36"/>
  <c r="BA47" i="36"/>
  <c r="AZ47" i="36"/>
  <c r="AY47" i="36"/>
  <c r="AX47" i="36"/>
  <c r="BA46" i="36"/>
  <c r="AZ46" i="36"/>
  <c r="AY46" i="36"/>
  <c r="AX46" i="36"/>
  <c r="BA45" i="36"/>
  <c r="AZ45" i="36"/>
  <c r="AY45" i="36"/>
  <c r="AX45" i="36"/>
  <c r="BA44" i="36"/>
  <c r="AZ44" i="36"/>
  <c r="AY44" i="36"/>
  <c r="AX44" i="36"/>
  <c r="BA43" i="36"/>
  <c r="AZ43" i="36"/>
  <c r="AY43" i="36"/>
  <c r="AX43" i="36"/>
  <c r="BA42" i="36"/>
  <c r="AZ42" i="36"/>
  <c r="AY42" i="36"/>
  <c r="AX42" i="36"/>
  <c r="BB41" i="36"/>
  <c r="BA41" i="36"/>
  <c r="AZ41" i="36"/>
  <c r="AY41" i="36"/>
  <c r="AX41" i="36"/>
  <c r="BA38" i="36"/>
  <c r="AZ38" i="36"/>
  <c r="AY38" i="36"/>
  <c r="AX38" i="36"/>
  <c r="BB38" i="36" s="1"/>
  <c r="BA37" i="36"/>
  <c r="AZ37" i="36"/>
  <c r="AY37" i="36"/>
  <c r="AX37" i="36"/>
  <c r="BB37" i="36" s="1"/>
  <c r="BA36" i="36"/>
  <c r="AZ36" i="36"/>
  <c r="AY36" i="36"/>
  <c r="AX36" i="36"/>
  <c r="BA35" i="36"/>
  <c r="AZ35" i="36"/>
  <c r="AY35" i="36"/>
  <c r="AX35" i="36"/>
  <c r="BB35" i="36" s="1"/>
  <c r="BA34" i="36"/>
  <c r="AZ34" i="36"/>
  <c r="AY34" i="36"/>
  <c r="AX34" i="36"/>
  <c r="BB34" i="36" s="1"/>
  <c r="BA33" i="36"/>
  <c r="AZ33" i="36"/>
  <c r="AY33" i="36"/>
  <c r="AX33" i="36"/>
  <c r="BA32" i="36"/>
  <c r="AZ32" i="36"/>
  <c r="AY32" i="36"/>
  <c r="AX32" i="36"/>
  <c r="BA31" i="36"/>
  <c r="AZ31" i="36"/>
  <c r="AY31" i="36"/>
  <c r="AX31" i="36"/>
  <c r="BB31" i="36" s="1"/>
  <c r="BA30" i="36"/>
  <c r="AZ30" i="36"/>
  <c r="AY30" i="36"/>
  <c r="AX30" i="36"/>
  <c r="BA29" i="36"/>
  <c r="AZ29" i="36"/>
  <c r="AY29" i="36"/>
  <c r="AX29" i="36"/>
  <c r="BB29" i="36" s="1"/>
  <c r="BB27" i="36"/>
  <c r="BA26" i="36"/>
  <c r="AZ26" i="36"/>
  <c r="AX26" i="36"/>
  <c r="AZ25" i="36"/>
  <c r="AY25" i="36"/>
  <c r="AX25" i="36"/>
  <c r="BA24" i="36"/>
  <c r="AZ24" i="36"/>
  <c r="AX24" i="36"/>
  <c r="BA23" i="36"/>
  <c r="AZ23" i="36"/>
  <c r="AX23" i="36"/>
  <c r="BA22" i="36"/>
  <c r="AY22" i="36"/>
  <c r="AX22" i="36"/>
  <c r="BA19" i="36"/>
  <c r="AZ19" i="36"/>
  <c r="AY19" i="36"/>
  <c r="BA18" i="36"/>
  <c r="AZ18" i="36"/>
  <c r="AY18" i="36"/>
  <c r="AX18" i="36"/>
  <c r="BA17" i="36"/>
  <c r="AZ17" i="36"/>
  <c r="AY17" i="36"/>
  <c r="AX17" i="36"/>
  <c r="BA16" i="36"/>
  <c r="AZ16" i="36"/>
  <c r="AY16" i="36"/>
  <c r="BA15" i="36"/>
  <c r="AZ15" i="36"/>
  <c r="AY15" i="36"/>
  <c r="BA14" i="36"/>
  <c r="AZ14" i="36"/>
  <c r="AY14" i="36"/>
  <c r="BA13" i="36"/>
  <c r="AZ13" i="36"/>
  <c r="AY13" i="36"/>
  <c r="BA12" i="36"/>
  <c r="AZ12" i="36"/>
  <c r="AY12" i="36"/>
  <c r="BA11" i="36"/>
  <c r="AZ11" i="36"/>
  <c r="AY11" i="36"/>
  <c r="BA10" i="36"/>
  <c r="AZ10" i="36"/>
  <c r="AY10" i="36"/>
  <c r="BA9" i="36"/>
  <c r="AZ9" i="36"/>
  <c r="AY9" i="36"/>
  <c r="BA8" i="36"/>
  <c r="AZ8" i="36"/>
  <c r="AY8" i="36"/>
  <c r="BA7" i="36"/>
  <c r="AZ7" i="36"/>
  <c r="AY7" i="36"/>
  <c r="BA6" i="36"/>
  <c r="AZ6" i="36"/>
  <c r="AY6" i="36"/>
  <c r="BA5" i="36"/>
  <c r="AZ5" i="36"/>
  <c r="AY5" i="36"/>
  <c r="BB3" i="36"/>
  <c r="AJ223" i="36"/>
  <c r="AI223" i="36"/>
  <c r="AH223" i="36"/>
  <c r="AG223" i="36"/>
  <c r="AF223" i="36"/>
  <c r="AJ218" i="36"/>
  <c r="D218" i="49" s="1"/>
  <c r="AJ217" i="36"/>
  <c r="D217" i="47" s="1"/>
  <c r="D234" i="47" s="1"/>
  <c r="AJ216" i="36"/>
  <c r="D216" i="47" s="1"/>
  <c r="D233" i="47" s="1"/>
  <c r="AJ215" i="36"/>
  <c r="D215" i="47" s="1"/>
  <c r="AJ214" i="36"/>
  <c r="D214" i="47" s="1"/>
  <c r="AJ213" i="36"/>
  <c r="D213" i="47" s="1"/>
  <c r="AJ212" i="36"/>
  <c r="D212" i="47" s="1"/>
  <c r="AJ211" i="36"/>
  <c r="D211" i="47" s="1"/>
  <c r="D232" i="47" s="1"/>
  <c r="AJ210" i="36"/>
  <c r="D210" i="47" s="1"/>
  <c r="D231" i="47" s="1"/>
  <c r="AI205" i="36"/>
  <c r="AH205" i="36"/>
  <c r="AG205" i="36"/>
  <c r="AJ204" i="36"/>
  <c r="D204" i="47" s="1"/>
  <c r="AJ203" i="36"/>
  <c r="D203" i="47" s="1"/>
  <c r="AJ202" i="36"/>
  <c r="D202" i="47" s="1"/>
  <c r="AJ201" i="36"/>
  <c r="D201" i="47" s="1"/>
  <c r="AJ199" i="36"/>
  <c r="D199" i="47" s="1"/>
  <c r="AJ198" i="36"/>
  <c r="D198" i="47" s="1"/>
  <c r="AJ197" i="36"/>
  <c r="D197" i="47" s="1"/>
  <c r="AJ196" i="36"/>
  <c r="D196" i="47" s="1"/>
  <c r="AJ195" i="36"/>
  <c r="D195" i="47" s="1"/>
  <c r="AJ194" i="36"/>
  <c r="D194" i="47" s="1"/>
  <c r="AH192" i="36"/>
  <c r="AG192" i="36"/>
  <c r="AJ191" i="36"/>
  <c r="D191" i="47" s="1"/>
  <c r="AJ190" i="36"/>
  <c r="D190" i="47" s="1"/>
  <c r="AJ189" i="36"/>
  <c r="D189" i="47" s="1"/>
  <c r="AJ188" i="36"/>
  <c r="D188" i="47" s="1"/>
  <c r="AJ187" i="36"/>
  <c r="D187" i="47" s="1"/>
  <c r="AJ185" i="36"/>
  <c r="D185" i="47" s="1"/>
  <c r="AJ184" i="36"/>
  <c r="D184" i="47" s="1"/>
  <c r="AF183" i="36"/>
  <c r="AJ182" i="36"/>
  <c r="AJ193" i="36" s="1"/>
  <c r="AI182" i="36"/>
  <c r="AI193" i="36" s="1"/>
  <c r="AH182" i="36"/>
  <c r="AH193" i="36" s="1"/>
  <c r="AG182" i="36"/>
  <c r="AG193" i="36" s="1"/>
  <c r="AF182" i="36"/>
  <c r="AF193" i="36" s="1"/>
  <c r="AI181" i="36"/>
  <c r="AH181" i="36"/>
  <c r="AG181" i="36"/>
  <c r="AJ180" i="36"/>
  <c r="D180" i="47" s="1"/>
  <c r="AJ179" i="36"/>
  <c r="D179" i="47" s="1"/>
  <c r="AF181" i="36"/>
  <c r="AI176" i="36"/>
  <c r="AH176" i="36"/>
  <c r="AG176" i="36"/>
  <c r="AJ174" i="36"/>
  <c r="D174" i="47" s="1"/>
  <c r="AJ173" i="36"/>
  <c r="D173" i="47" s="1"/>
  <c r="AJ172" i="36"/>
  <c r="D172" i="47" s="1"/>
  <c r="AJ171" i="36"/>
  <c r="D171" i="47" s="1"/>
  <c r="AJ170" i="36"/>
  <c r="D170" i="47" s="1"/>
  <c r="AJ169" i="36"/>
  <c r="D169" i="47" s="1"/>
  <c r="AJ162" i="36"/>
  <c r="D162" i="47" s="1"/>
  <c r="AJ160" i="36"/>
  <c r="D160" i="47" s="1"/>
  <c r="AJ159" i="36"/>
  <c r="D159" i="47" s="1"/>
  <c r="AJ156" i="36"/>
  <c r="D156" i="47" s="1"/>
  <c r="AJ155" i="36"/>
  <c r="D155" i="47" s="1"/>
  <c r="AJ152" i="36"/>
  <c r="AJ168" i="36" s="1"/>
  <c r="AI152" i="36"/>
  <c r="AI168" i="36" s="1"/>
  <c r="AH152" i="36"/>
  <c r="AH168" i="36" s="1"/>
  <c r="AG152" i="36"/>
  <c r="AG168" i="36" s="1"/>
  <c r="AF152" i="36"/>
  <c r="AF168" i="36" s="1"/>
  <c r="AI151" i="36"/>
  <c r="AJ150" i="36"/>
  <c r="D150" i="47" s="1"/>
  <c r="AG151" i="36"/>
  <c r="AJ144" i="36"/>
  <c r="D144" i="47" s="1"/>
  <c r="AJ143" i="36"/>
  <c r="D143" i="47" s="1"/>
  <c r="AJ142" i="36"/>
  <c r="D142" i="47" s="1"/>
  <c r="AJ140" i="36"/>
  <c r="AI140" i="36"/>
  <c r="AH140" i="36"/>
  <c r="AG140" i="36"/>
  <c r="AF140" i="36"/>
  <c r="AF128" i="36"/>
  <c r="AJ126" i="36"/>
  <c r="D126" i="47" s="1"/>
  <c r="AJ125" i="36"/>
  <c r="D125" i="47" s="1"/>
  <c r="AI124" i="36"/>
  <c r="AH124" i="36"/>
  <c r="AI123" i="36"/>
  <c r="AH123" i="36"/>
  <c r="AG123" i="36"/>
  <c r="AI122" i="36"/>
  <c r="AH122" i="36"/>
  <c r="AG122" i="36"/>
  <c r="AI121" i="36"/>
  <c r="AH121" i="36"/>
  <c r="AG121" i="36"/>
  <c r="AI120" i="36"/>
  <c r="AH120" i="36"/>
  <c r="AG120" i="36"/>
  <c r="AI119" i="36"/>
  <c r="AI128" i="36" s="1"/>
  <c r="AH119" i="36"/>
  <c r="AG119" i="36"/>
  <c r="AJ118" i="36"/>
  <c r="D118" i="47" s="1"/>
  <c r="AJ117" i="36"/>
  <c r="AI117" i="36"/>
  <c r="AH117" i="36"/>
  <c r="AG117" i="36"/>
  <c r="AF117" i="36"/>
  <c r="AG115" i="36"/>
  <c r="AJ115" i="36" s="1"/>
  <c r="D115" i="47" s="1"/>
  <c r="AJ114" i="36"/>
  <c r="D114" i="47" s="1"/>
  <c r="AJ113" i="36"/>
  <c r="D113" i="47" s="1"/>
  <c r="AJ112" i="36"/>
  <c r="D112" i="47" s="1"/>
  <c r="AJ111" i="36"/>
  <c r="D111" i="47" s="1"/>
  <c r="AH116" i="36"/>
  <c r="AJ109" i="36"/>
  <c r="D109" i="47" s="1"/>
  <c r="AJ106" i="36"/>
  <c r="D106" i="47" s="1"/>
  <c r="AJ104" i="36"/>
  <c r="D104" i="47" s="1"/>
  <c r="AJ103" i="36"/>
  <c r="D103" i="47" s="1"/>
  <c r="AJ101" i="36"/>
  <c r="AI101" i="36"/>
  <c r="AH101" i="36"/>
  <c r="AG101" i="36"/>
  <c r="AF101" i="36"/>
  <c r="AI97" i="36"/>
  <c r="AH97" i="36"/>
  <c r="AG97" i="36"/>
  <c r="AF97" i="36"/>
  <c r="AI96" i="36"/>
  <c r="AH96" i="36"/>
  <c r="AG96" i="36"/>
  <c r="AF96" i="36"/>
  <c r="AI95" i="36"/>
  <c r="AH95" i="36"/>
  <c r="AG95" i="36"/>
  <c r="AF95" i="36"/>
  <c r="AI94" i="36"/>
  <c r="AH94" i="36"/>
  <c r="AF94" i="36"/>
  <c r="AI93" i="36"/>
  <c r="AH93" i="36"/>
  <c r="AI92" i="36"/>
  <c r="AH92" i="36"/>
  <c r="AI91" i="36"/>
  <c r="AI90" i="36"/>
  <c r="AH89" i="36"/>
  <c r="AI88" i="36"/>
  <c r="AH88" i="36"/>
  <c r="AG88" i="36"/>
  <c r="AI87" i="36"/>
  <c r="AH87" i="36"/>
  <c r="AG87" i="36"/>
  <c r="AJ84" i="36"/>
  <c r="AJ97" i="36" s="1"/>
  <c r="D97" i="47" s="1"/>
  <c r="AJ83" i="36"/>
  <c r="AJ96" i="36" s="1"/>
  <c r="D96" i="47" s="1"/>
  <c r="AJ82" i="36"/>
  <c r="AJ95" i="36" s="1"/>
  <c r="D95" i="47" s="1"/>
  <c r="AF93" i="36"/>
  <c r="AF92" i="36"/>
  <c r="AG78" i="36"/>
  <c r="AG91" i="36" s="1"/>
  <c r="AF78" i="36"/>
  <c r="AF91" i="36" s="1"/>
  <c r="AG77" i="36"/>
  <c r="AG90" i="36" s="1"/>
  <c r="AF77" i="36"/>
  <c r="AF90" i="36" s="1"/>
  <c r="AG76" i="36"/>
  <c r="AG89" i="36" s="1"/>
  <c r="AF76" i="36"/>
  <c r="AF89" i="36" s="1"/>
  <c r="AJ73" i="36"/>
  <c r="AI73" i="36"/>
  <c r="AG73" i="36"/>
  <c r="AF73" i="36"/>
  <c r="AI62" i="36"/>
  <c r="AI65" i="36" s="1"/>
  <c r="AH62" i="36"/>
  <c r="AH65" i="36" s="1"/>
  <c r="AG62" i="36"/>
  <c r="AG65" i="36" s="1"/>
  <c r="AF62" i="36"/>
  <c r="AF65" i="36" s="1"/>
  <c r="AJ61" i="36"/>
  <c r="D61" i="47" s="1"/>
  <c r="AJ60" i="36"/>
  <c r="D60" i="47" s="1"/>
  <c r="AJ59" i="36"/>
  <c r="D59" i="47" s="1"/>
  <c r="AJ58" i="36"/>
  <c r="D58" i="47" s="1"/>
  <c r="AJ57" i="36"/>
  <c r="D57" i="47" s="1"/>
  <c r="AJ56" i="36"/>
  <c r="D56" i="47" s="1"/>
  <c r="AJ55" i="36"/>
  <c r="D55" i="47" s="1"/>
  <c r="AJ54" i="36"/>
  <c r="D54" i="47" s="1"/>
  <c r="AJ53" i="36"/>
  <c r="D53" i="47" s="1"/>
  <c r="E40" i="44" s="1"/>
  <c r="AJ52" i="36"/>
  <c r="D52" i="47" s="1"/>
  <c r="AJ51" i="36"/>
  <c r="D51" i="47" s="1"/>
  <c r="AJ50" i="36"/>
  <c r="D50" i="47" s="1"/>
  <c r="AJ49" i="36"/>
  <c r="D49" i="47" s="1"/>
  <c r="AJ48" i="36"/>
  <c r="D48" i="47" s="1"/>
  <c r="AJ47" i="36"/>
  <c r="D47" i="47" s="1"/>
  <c r="AJ46" i="36"/>
  <c r="D46" i="47" s="1"/>
  <c r="E30" i="44" s="1"/>
  <c r="AJ45" i="36"/>
  <c r="D45" i="47" s="1"/>
  <c r="AJ44" i="36"/>
  <c r="D44" i="47" s="1"/>
  <c r="AJ43" i="36"/>
  <c r="D43" i="47" s="1"/>
  <c r="AJ42" i="36"/>
  <c r="D42" i="47" s="1"/>
  <c r="AJ41" i="36"/>
  <c r="AI41" i="36"/>
  <c r="AH41" i="36"/>
  <c r="AG41" i="36"/>
  <c r="AF41" i="36"/>
  <c r="AI39" i="36"/>
  <c r="AI108" i="36" s="1"/>
  <c r="AI116" i="36" s="1"/>
  <c r="AH39" i="36"/>
  <c r="AH64" i="36" s="1"/>
  <c r="AG39" i="36"/>
  <c r="AF39" i="36"/>
  <c r="AJ38" i="36"/>
  <c r="D38" i="47" s="1"/>
  <c r="AJ37" i="36"/>
  <c r="D37" i="47" s="1"/>
  <c r="AJ36" i="36"/>
  <c r="D36" i="47" s="1"/>
  <c r="AJ35" i="36"/>
  <c r="D35" i="47" s="1"/>
  <c r="AJ34" i="36"/>
  <c r="D34" i="47" s="1"/>
  <c r="AJ33" i="36"/>
  <c r="D33" i="47" s="1"/>
  <c r="AJ32" i="36"/>
  <c r="D32" i="47" s="1"/>
  <c r="AJ31" i="36"/>
  <c r="D31" i="47" s="1"/>
  <c r="AJ30" i="36"/>
  <c r="D30" i="47" s="1"/>
  <c r="E37" i="45" s="1"/>
  <c r="AJ29" i="36"/>
  <c r="D29" i="47" s="1"/>
  <c r="AJ27" i="36"/>
  <c r="AJ25" i="36"/>
  <c r="D25" i="47" s="1"/>
  <c r="K25" i="47" s="1"/>
  <c r="AJ24" i="36"/>
  <c r="D24" i="47" s="1"/>
  <c r="AJ18" i="36"/>
  <c r="D18" i="47" s="1"/>
  <c r="E50" i="40" s="1"/>
  <c r="AJ17" i="36"/>
  <c r="D17" i="47" s="1"/>
  <c r="E49" i="40" s="1"/>
  <c r="AJ16" i="36"/>
  <c r="D16" i="47" s="1"/>
  <c r="E48" i="40" s="1"/>
  <c r="AJ15" i="36"/>
  <c r="D15" i="47" s="1"/>
  <c r="E47" i="40" s="1"/>
  <c r="AJ14" i="36"/>
  <c r="D14" i="47" s="1"/>
  <c r="E46" i="40" s="1"/>
  <c r="AJ13" i="36"/>
  <c r="D13" i="47" s="1"/>
  <c r="E45" i="40" s="1"/>
  <c r="AF12" i="36"/>
  <c r="AJ11" i="36"/>
  <c r="AK11" i="36" s="1"/>
  <c r="K11" i="47" s="1"/>
  <c r="AF9" i="36"/>
  <c r="AJ9" i="36" s="1"/>
  <c r="AK9" i="36" s="1"/>
  <c r="K9" i="47" s="1"/>
  <c r="AF8" i="36"/>
  <c r="AJ8" i="36" s="1"/>
  <c r="AK8" i="36" s="1"/>
  <c r="K8" i="47" s="1"/>
  <c r="AF7" i="36"/>
  <c r="AJ7" i="36" s="1"/>
  <c r="AK7" i="36" s="1"/>
  <c r="K7" i="47" s="1"/>
  <c r="AF6" i="36"/>
  <c r="AJ3" i="36"/>
  <c r="AY209" i="33"/>
  <c r="AZ209" i="33"/>
  <c r="BA209" i="33"/>
  <c r="AY210" i="33"/>
  <c r="AZ210" i="33"/>
  <c r="BA210" i="33"/>
  <c r="AY211" i="33"/>
  <c r="AZ211" i="33"/>
  <c r="BA211" i="33"/>
  <c r="AY212" i="33"/>
  <c r="AZ212" i="33"/>
  <c r="BA212" i="33"/>
  <c r="AY213" i="33"/>
  <c r="AZ213" i="33"/>
  <c r="BA213" i="33"/>
  <c r="AY214" i="33"/>
  <c r="AZ214" i="33"/>
  <c r="BA214" i="33"/>
  <c r="AY215" i="33"/>
  <c r="AZ215" i="33"/>
  <c r="BA215" i="33"/>
  <c r="AY216" i="33"/>
  <c r="AZ216" i="33"/>
  <c r="BA216" i="33"/>
  <c r="AY217" i="33"/>
  <c r="AZ217" i="33"/>
  <c r="BA217" i="33"/>
  <c r="AX210" i="33"/>
  <c r="AX211" i="33"/>
  <c r="AX212" i="33"/>
  <c r="AX213" i="33"/>
  <c r="AX214" i="33"/>
  <c r="AX215" i="33"/>
  <c r="AX216" i="33"/>
  <c r="AX217" i="33"/>
  <c r="AY194" i="33"/>
  <c r="AZ194" i="33"/>
  <c r="BA194" i="33"/>
  <c r="AY195" i="33"/>
  <c r="AZ195" i="33"/>
  <c r="BA195" i="33"/>
  <c r="AY196" i="33"/>
  <c r="AZ196" i="33"/>
  <c r="BA196" i="33"/>
  <c r="AY197" i="33"/>
  <c r="AZ197" i="33"/>
  <c r="BA197" i="33"/>
  <c r="AY198" i="33"/>
  <c r="AZ198" i="33"/>
  <c r="BA198" i="33"/>
  <c r="AY199" i="33"/>
  <c r="AZ199" i="33"/>
  <c r="BA199" i="33"/>
  <c r="AY200" i="33"/>
  <c r="AZ200" i="33"/>
  <c r="BA200" i="33"/>
  <c r="AY201" i="33"/>
  <c r="AZ201" i="33"/>
  <c r="BA201" i="33"/>
  <c r="AY202" i="33"/>
  <c r="AZ202" i="33"/>
  <c r="BA202" i="33"/>
  <c r="AY203" i="33"/>
  <c r="AZ203" i="33"/>
  <c r="BA203" i="33"/>
  <c r="AY204" i="33"/>
  <c r="AZ204" i="33"/>
  <c r="BA204" i="33"/>
  <c r="AY183" i="33"/>
  <c r="AZ183" i="33"/>
  <c r="AY184" i="33"/>
  <c r="AZ184" i="33"/>
  <c r="BA184" i="33"/>
  <c r="AY185" i="33"/>
  <c r="AZ185" i="33"/>
  <c r="BA185" i="33"/>
  <c r="AY186" i="33"/>
  <c r="AZ186" i="33"/>
  <c r="BA186" i="33"/>
  <c r="AY187" i="33"/>
  <c r="AZ187" i="33"/>
  <c r="BA187" i="33"/>
  <c r="AY188" i="33"/>
  <c r="AZ188" i="33"/>
  <c r="BA188" i="33"/>
  <c r="AY189" i="33"/>
  <c r="AZ189" i="33"/>
  <c r="BA189" i="33"/>
  <c r="AY190" i="33"/>
  <c r="AZ190" i="33"/>
  <c r="BA190" i="33"/>
  <c r="AY191" i="33"/>
  <c r="AZ191" i="33"/>
  <c r="BA191" i="33"/>
  <c r="AX184" i="33"/>
  <c r="AX185" i="33"/>
  <c r="AX187" i="33"/>
  <c r="AX188" i="33"/>
  <c r="AX189" i="33"/>
  <c r="AX191" i="33"/>
  <c r="AY178" i="33"/>
  <c r="AZ178" i="33"/>
  <c r="BA178" i="33"/>
  <c r="AY179" i="33"/>
  <c r="AZ179" i="33"/>
  <c r="BA179" i="33"/>
  <c r="AY180" i="33"/>
  <c r="AZ180" i="33"/>
  <c r="BA180" i="33"/>
  <c r="AY169" i="33"/>
  <c r="AZ169" i="33"/>
  <c r="BA169" i="33"/>
  <c r="AY170" i="33"/>
  <c r="AZ170" i="33"/>
  <c r="BA170" i="33"/>
  <c r="AY171" i="33"/>
  <c r="AZ171" i="33"/>
  <c r="BA171" i="33"/>
  <c r="AY172" i="33"/>
  <c r="AZ172" i="33"/>
  <c r="BA172" i="33"/>
  <c r="AY173" i="33"/>
  <c r="AZ173" i="33"/>
  <c r="BA173" i="33"/>
  <c r="AY174" i="33"/>
  <c r="AZ174" i="33"/>
  <c r="BA174" i="33"/>
  <c r="AY175" i="33"/>
  <c r="AZ175" i="33"/>
  <c r="BA175" i="33"/>
  <c r="AX171" i="33"/>
  <c r="AX172" i="33"/>
  <c r="AZ153" i="33"/>
  <c r="BA153" i="33"/>
  <c r="AY154" i="33"/>
  <c r="BA154" i="33"/>
  <c r="AY155" i="33"/>
  <c r="AZ155" i="33"/>
  <c r="BA155" i="33"/>
  <c r="AY156" i="33"/>
  <c r="AZ156" i="33"/>
  <c r="BA156" i="33"/>
  <c r="AY157" i="33"/>
  <c r="AZ157" i="33"/>
  <c r="BA157" i="33"/>
  <c r="AY159" i="33"/>
  <c r="AZ159" i="33"/>
  <c r="BA159" i="33"/>
  <c r="AY160" i="33"/>
  <c r="AZ160" i="33"/>
  <c r="BA160" i="33"/>
  <c r="AY161" i="33"/>
  <c r="AZ161" i="33"/>
  <c r="BA161" i="33"/>
  <c r="AY162" i="33"/>
  <c r="AZ162" i="33"/>
  <c r="BA162" i="33"/>
  <c r="AY163" i="33"/>
  <c r="AZ163" i="33"/>
  <c r="BA163" i="33"/>
  <c r="AY164" i="33"/>
  <c r="AZ164" i="33"/>
  <c r="BA164" i="33"/>
  <c r="AY165" i="33"/>
  <c r="AZ165" i="33"/>
  <c r="BA165" i="33"/>
  <c r="AY166" i="33"/>
  <c r="AZ166" i="33"/>
  <c r="BA166" i="33"/>
  <c r="AX166" i="33"/>
  <c r="AX154" i="33"/>
  <c r="AX160" i="33"/>
  <c r="AX162" i="33"/>
  <c r="AX153" i="33"/>
  <c r="AY141" i="33"/>
  <c r="AZ141" i="33"/>
  <c r="BA141" i="33"/>
  <c r="AY142" i="33"/>
  <c r="AZ142" i="33"/>
  <c r="BA142" i="33"/>
  <c r="AY143" i="33"/>
  <c r="AZ143" i="33"/>
  <c r="BA143" i="33"/>
  <c r="AY144" i="33"/>
  <c r="AZ144" i="33"/>
  <c r="BA144" i="33"/>
  <c r="AZ145" i="33"/>
  <c r="BA145" i="33"/>
  <c r="AY146" i="33"/>
  <c r="AZ146" i="33"/>
  <c r="BA146" i="33"/>
  <c r="AZ147" i="33"/>
  <c r="BA147" i="33"/>
  <c r="AZ148" i="33"/>
  <c r="BA148" i="33"/>
  <c r="BA149" i="33"/>
  <c r="AY150" i="33"/>
  <c r="AZ150" i="33"/>
  <c r="BA150" i="33"/>
  <c r="AX143" i="33"/>
  <c r="AX150" i="33"/>
  <c r="AY136" i="33"/>
  <c r="AZ136" i="33"/>
  <c r="BA136" i="33"/>
  <c r="AX136" i="33"/>
  <c r="AY118" i="33"/>
  <c r="AZ118" i="33"/>
  <c r="BA118" i="33"/>
  <c r="AY125" i="33"/>
  <c r="AZ125" i="33"/>
  <c r="BA125" i="33"/>
  <c r="AY126" i="33"/>
  <c r="AZ126" i="33"/>
  <c r="AX119" i="33"/>
  <c r="AX120" i="33"/>
  <c r="AX121" i="33"/>
  <c r="AX122" i="33"/>
  <c r="AX123" i="33"/>
  <c r="AX124" i="33"/>
  <c r="AX125" i="33"/>
  <c r="AX126" i="33"/>
  <c r="AX118" i="33"/>
  <c r="AY103" i="33"/>
  <c r="AZ103" i="33"/>
  <c r="BA103" i="33"/>
  <c r="AZ104" i="33"/>
  <c r="BA104" i="33"/>
  <c r="AZ105" i="33"/>
  <c r="BA105" i="33"/>
  <c r="AZ106" i="33"/>
  <c r="BA106" i="33"/>
  <c r="AZ107" i="33"/>
  <c r="BA107" i="33"/>
  <c r="AZ108" i="33"/>
  <c r="AY109" i="33"/>
  <c r="AZ109" i="33"/>
  <c r="BA109" i="33"/>
  <c r="AY110" i="33"/>
  <c r="BA110" i="33"/>
  <c r="AY111" i="33"/>
  <c r="AZ111" i="33"/>
  <c r="BA111" i="33"/>
  <c r="AY112" i="33"/>
  <c r="AZ112" i="33"/>
  <c r="BA112" i="33"/>
  <c r="AY114" i="33"/>
  <c r="BA114" i="33"/>
  <c r="AZ115" i="33"/>
  <c r="BA115" i="33"/>
  <c r="AX109" i="33"/>
  <c r="AX110" i="33"/>
  <c r="AY75" i="33"/>
  <c r="AZ75" i="33"/>
  <c r="BA75" i="33"/>
  <c r="AZ76" i="33"/>
  <c r="BA77" i="33"/>
  <c r="BA78" i="33"/>
  <c r="AZ79" i="33"/>
  <c r="BA79" i="33"/>
  <c r="AZ80" i="33"/>
  <c r="BA80" i="33"/>
  <c r="AZ81" i="33"/>
  <c r="BA81" i="33"/>
  <c r="AY82" i="33"/>
  <c r="AZ82" i="33"/>
  <c r="BA82" i="33"/>
  <c r="AX83" i="33"/>
  <c r="AY83" i="33"/>
  <c r="AZ83" i="33"/>
  <c r="BA83" i="33"/>
  <c r="AX84" i="33"/>
  <c r="AY84" i="33"/>
  <c r="AZ84" i="33"/>
  <c r="BA84" i="33"/>
  <c r="AY74" i="33"/>
  <c r="AZ74" i="33"/>
  <c r="BA74" i="33"/>
  <c r="AY42" i="33"/>
  <c r="AZ42" i="33"/>
  <c r="BA42" i="33"/>
  <c r="AY43" i="33"/>
  <c r="AZ43" i="33"/>
  <c r="BA43" i="33"/>
  <c r="AY44" i="33"/>
  <c r="AZ44" i="33"/>
  <c r="BA44" i="33"/>
  <c r="AY45" i="33"/>
  <c r="AZ45" i="33"/>
  <c r="BA45" i="33"/>
  <c r="AY46" i="33"/>
  <c r="AZ46" i="33"/>
  <c r="BA46" i="33"/>
  <c r="AY47" i="33"/>
  <c r="AZ47" i="33"/>
  <c r="BA47" i="33"/>
  <c r="AY48" i="33"/>
  <c r="AZ48" i="33"/>
  <c r="BA48" i="33"/>
  <c r="AY49" i="33"/>
  <c r="AZ49" i="33"/>
  <c r="BA49" i="33"/>
  <c r="AY50" i="33"/>
  <c r="AZ50" i="33"/>
  <c r="BA50" i="33"/>
  <c r="AY51" i="33"/>
  <c r="AZ51" i="33"/>
  <c r="BA51" i="33"/>
  <c r="AY52" i="33"/>
  <c r="AZ52" i="33"/>
  <c r="BA52" i="33"/>
  <c r="AY53" i="33"/>
  <c r="AZ53" i="33"/>
  <c r="BA53" i="33"/>
  <c r="AY54" i="33"/>
  <c r="AZ54" i="33"/>
  <c r="BA54" i="33"/>
  <c r="AY55" i="33"/>
  <c r="AZ55" i="33"/>
  <c r="BA55" i="33"/>
  <c r="AY56" i="33"/>
  <c r="AZ56" i="33"/>
  <c r="BA56" i="33"/>
  <c r="AY57" i="33"/>
  <c r="AZ57" i="33"/>
  <c r="BA57" i="33"/>
  <c r="AY58" i="33"/>
  <c r="AZ58" i="33"/>
  <c r="BA58" i="33"/>
  <c r="AY59" i="33"/>
  <c r="AZ59" i="33"/>
  <c r="BA59" i="33"/>
  <c r="AY60" i="33"/>
  <c r="AZ60" i="33"/>
  <c r="BA60" i="33"/>
  <c r="AY61" i="33"/>
  <c r="AZ61" i="33"/>
  <c r="BA61" i="33"/>
  <c r="AX43" i="33"/>
  <c r="AX44" i="33"/>
  <c r="AX45" i="33"/>
  <c r="AX46" i="33"/>
  <c r="AX47" i="33"/>
  <c r="AX48" i="33"/>
  <c r="AX49" i="33"/>
  <c r="AX50" i="33"/>
  <c r="AX51" i="33"/>
  <c r="AX52" i="33"/>
  <c r="AX53" i="33"/>
  <c r="AX54" i="33"/>
  <c r="BB54" i="33" s="1"/>
  <c r="AX55" i="33"/>
  <c r="AX56" i="33"/>
  <c r="AX57" i="33"/>
  <c r="AX58" i="33"/>
  <c r="AX59" i="33"/>
  <c r="AX60" i="33"/>
  <c r="AX61" i="33"/>
  <c r="AX42" i="33"/>
  <c r="AX30" i="33"/>
  <c r="AY30" i="33"/>
  <c r="AZ30" i="33"/>
  <c r="BA30" i="33"/>
  <c r="AX31" i="33"/>
  <c r="AY31" i="33"/>
  <c r="AZ31" i="33"/>
  <c r="BA31" i="33"/>
  <c r="AX32" i="33"/>
  <c r="AY32" i="33"/>
  <c r="AZ32" i="33"/>
  <c r="BA32" i="33"/>
  <c r="AX33" i="33"/>
  <c r="AY33" i="33"/>
  <c r="AZ33" i="33"/>
  <c r="BA33" i="33"/>
  <c r="AX34" i="33"/>
  <c r="AY34" i="33"/>
  <c r="AZ34" i="33"/>
  <c r="BA34" i="33"/>
  <c r="AX35" i="33"/>
  <c r="AY35" i="33"/>
  <c r="AZ35" i="33"/>
  <c r="BA35" i="33"/>
  <c r="AX36" i="33"/>
  <c r="AY36" i="33"/>
  <c r="AZ36" i="33"/>
  <c r="BA36" i="33"/>
  <c r="AX37" i="33"/>
  <c r="AY37" i="33"/>
  <c r="AZ37" i="33"/>
  <c r="BA37" i="33"/>
  <c r="AX38" i="33"/>
  <c r="AY38" i="33"/>
  <c r="AZ38" i="33"/>
  <c r="BA38" i="33"/>
  <c r="AY29" i="33"/>
  <c r="AZ29" i="33"/>
  <c r="BA29" i="33"/>
  <c r="AX29" i="33"/>
  <c r="AX23" i="33"/>
  <c r="AZ23" i="33"/>
  <c r="BA23" i="33"/>
  <c r="AX24" i="33"/>
  <c r="AZ24" i="33"/>
  <c r="BA24" i="33"/>
  <c r="AX25" i="33"/>
  <c r="AY25" i="33"/>
  <c r="AZ25" i="33"/>
  <c r="AX26" i="33"/>
  <c r="AZ26" i="33"/>
  <c r="BA26" i="33"/>
  <c r="AY22" i="33"/>
  <c r="BA22" i="33"/>
  <c r="AX22" i="33"/>
  <c r="AX17" i="33"/>
  <c r="AX18" i="33"/>
  <c r="AY7" i="33"/>
  <c r="AZ7" i="33"/>
  <c r="BA7" i="33"/>
  <c r="AY8" i="33"/>
  <c r="AZ8" i="33"/>
  <c r="BA8" i="33"/>
  <c r="AY9" i="33"/>
  <c r="AZ9" i="33"/>
  <c r="BA9" i="33"/>
  <c r="AY10" i="33"/>
  <c r="AZ10" i="33"/>
  <c r="BA10" i="33"/>
  <c r="AY11" i="33"/>
  <c r="AZ11" i="33"/>
  <c r="BA11" i="33"/>
  <c r="AY12" i="33"/>
  <c r="AZ12" i="33"/>
  <c r="BA12" i="33"/>
  <c r="AY13" i="33"/>
  <c r="AZ13" i="33"/>
  <c r="BA13" i="33"/>
  <c r="AY14" i="33"/>
  <c r="AZ14" i="33"/>
  <c r="BA14" i="33"/>
  <c r="AY15" i="33"/>
  <c r="AZ15" i="33"/>
  <c r="BA15" i="33"/>
  <c r="AY16" i="33"/>
  <c r="AZ16" i="33"/>
  <c r="BA16" i="33"/>
  <c r="AY17" i="33"/>
  <c r="AZ17" i="33"/>
  <c r="BA17" i="33"/>
  <c r="AY18" i="33"/>
  <c r="AZ18" i="33"/>
  <c r="BA18" i="33"/>
  <c r="AY6" i="33"/>
  <c r="AZ6" i="33"/>
  <c r="BA6" i="33"/>
  <c r="AS81" i="33"/>
  <c r="AS80" i="33"/>
  <c r="AS79" i="33"/>
  <c r="AG80" i="33"/>
  <c r="AF12" i="33"/>
  <c r="AF11" i="33"/>
  <c r="AJ11" i="33" s="1"/>
  <c r="AF10" i="33"/>
  <c r="AF9" i="33"/>
  <c r="AJ9" i="33" s="1"/>
  <c r="AF8" i="33"/>
  <c r="AF7" i="33"/>
  <c r="AJ7" i="33" s="1"/>
  <c r="AF6" i="33"/>
  <c r="AJ6" i="33" s="1"/>
  <c r="AK6" i="33" s="1"/>
  <c r="J6" i="47" s="1"/>
  <c r="AF2" i="33"/>
  <c r="Z2" i="33"/>
  <c r="T2" i="33"/>
  <c r="N2" i="33"/>
  <c r="H2" i="33"/>
  <c r="B2" i="33"/>
  <c r="AJ223" i="33"/>
  <c r="AI223" i="33"/>
  <c r="AH223" i="33"/>
  <c r="AG223" i="33"/>
  <c r="AF223" i="33"/>
  <c r="AJ218" i="33"/>
  <c r="C218" i="49" s="1"/>
  <c r="AJ217" i="33"/>
  <c r="C217" i="47" s="1"/>
  <c r="C234" i="47" s="1"/>
  <c r="AJ216" i="33"/>
  <c r="C216" i="47" s="1"/>
  <c r="C233" i="47" s="1"/>
  <c r="AJ215" i="33"/>
  <c r="C215" i="47" s="1"/>
  <c r="AJ214" i="33"/>
  <c r="C214" i="47" s="1"/>
  <c r="AJ213" i="33"/>
  <c r="C213" i="47" s="1"/>
  <c r="AJ212" i="33"/>
  <c r="C212" i="47" s="1"/>
  <c r="AJ211" i="33"/>
  <c r="C211" i="47" s="1"/>
  <c r="C232" i="47" s="1"/>
  <c r="AJ210" i="33"/>
  <c r="C210" i="47" s="1"/>
  <c r="C231" i="47" s="1"/>
  <c r="AI205" i="33"/>
  <c r="AH205" i="33"/>
  <c r="AG205" i="33"/>
  <c r="AJ204" i="33"/>
  <c r="C204" i="47" s="1"/>
  <c r="B102" i="54" s="1"/>
  <c r="F102" i="54" s="1"/>
  <c r="AJ203" i="33"/>
  <c r="C203" i="47" s="1"/>
  <c r="B101" i="54" s="1"/>
  <c r="F101" i="54" s="1"/>
  <c r="AJ202" i="33"/>
  <c r="C202" i="47" s="1"/>
  <c r="B100" i="54" s="1"/>
  <c r="F100" i="54" s="1"/>
  <c r="AJ201" i="33"/>
  <c r="C201" i="47" s="1"/>
  <c r="B99" i="54" s="1"/>
  <c r="F99" i="54" s="1"/>
  <c r="AJ199" i="33"/>
  <c r="C199" i="47" s="1"/>
  <c r="B97" i="54" s="1"/>
  <c r="F97" i="54" s="1"/>
  <c r="AJ198" i="33"/>
  <c r="C198" i="47" s="1"/>
  <c r="B96" i="54" s="1"/>
  <c r="AJ197" i="33"/>
  <c r="C197" i="47" s="1"/>
  <c r="B95" i="54" s="1"/>
  <c r="F95" i="54" s="1"/>
  <c r="AJ196" i="33"/>
  <c r="C196" i="47" s="1"/>
  <c r="B94" i="54" s="1"/>
  <c r="F94" i="54" s="1"/>
  <c r="AJ195" i="33"/>
  <c r="C195" i="47" s="1"/>
  <c r="B93" i="54" s="1"/>
  <c r="F93" i="54" s="1"/>
  <c r="AJ194" i="33"/>
  <c r="C194" i="47" s="1"/>
  <c r="B92" i="54" s="1"/>
  <c r="F92" i="54" s="1"/>
  <c r="G92" i="54" s="1"/>
  <c r="H92" i="54" s="1"/>
  <c r="I92" i="54" s="1"/>
  <c r="J92" i="54" s="1"/>
  <c r="K92" i="54" s="1"/>
  <c r="L92" i="54" s="1"/>
  <c r="M92" i="54" s="1"/>
  <c r="N92" i="54" s="1"/>
  <c r="O92" i="54" s="1"/>
  <c r="AH192" i="33"/>
  <c r="AG192" i="33"/>
  <c r="AJ191" i="33"/>
  <c r="C191" i="47" s="1"/>
  <c r="B91" i="54" s="1"/>
  <c r="E91" i="54" s="1"/>
  <c r="AJ190" i="33"/>
  <c r="C190" i="47" s="1"/>
  <c r="B90" i="54" s="1"/>
  <c r="E90" i="54" s="1"/>
  <c r="AJ189" i="33"/>
  <c r="C189" i="47" s="1"/>
  <c r="B89" i="54" s="1"/>
  <c r="E89" i="54" s="1"/>
  <c r="AJ188" i="33"/>
  <c r="C188" i="47" s="1"/>
  <c r="B88" i="54" s="1"/>
  <c r="E88" i="54" s="1"/>
  <c r="AJ187" i="33"/>
  <c r="C187" i="47" s="1"/>
  <c r="B87" i="54" s="1"/>
  <c r="E87" i="54" s="1"/>
  <c r="AJ185" i="33"/>
  <c r="C185" i="47" s="1"/>
  <c r="B85" i="54" s="1"/>
  <c r="E85" i="54" s="1"/>
  <c r="D85" i="54" s="1"/>
  <c r="C85" i="54" s="1"/>
  <c r="AJ184" i="33"/>
  <c r="C184" i="47" s="1"/>
  <c r="B84" i="54" s="1"/>
  <c r="E84" i="54" s="1"/>
  <c r="D84" i="54" s="1"/>
  <c r="C84" i="54" s="1"/>
  <c r="AF183" i="33"/>
  <c r="AJ182" i="33"/>
  <c r="AJ193" i="33" s="1"/>
  <c r="AI182" i="33"/>
  <c r="AI193" i="33" s="1"/>
  <c r="AH182" i="33"/>
  <c r="AH193" i="33" s="1"/>
  <c r="AG182" i="33"/>
  <c r="AG193" i="33" s="1"/>
  <c r="AF182" i="33"/>
  <c r="AF193" i="33" s="1"/>
  <c r="AI181" i="33"/>
  <c r="AH181" i="33"/>
  <c r="AG181" i="33"/>
  <c r="AJ180" i="33"/>
  <c r="C180" i="47" s="1"/>
  <c r="B82" i="54" s="1"/>
  <c r="AJ179" i="33"/>
  <c r="C179" i="47" s="1"/>
  <c r="B81" i="54" s="1"/>
  <c r="AI176" i="33"/>
  <c r="AH176" i="33"/>
  <c r="AG176" i="33"/>
  <c r="AJ174" i="33"/>
  <c r="C174" i="47" s="1"/>
  <c r="B78" i="54" s="1"/>
  <c r="E78" i="54" s="1"/>
  <c r="AJ173" i="33"/>
  <c r="C173" i="47" s="1"/>
  <c r="B77" i="54" s="1"/>
  <c r="E77" i="54" s="1"/>
  <c r="AJ172" i="33"/>
  <c r="C172" i="47" s="1"/>
  <c r="B76" i="54" s="1"/>
  <c r="E76" i="54" s="1"/>
  <c r="AJ171" i="33"/>
  <c r="C171" i="47" s="1"/>
  <c r="B75" i="54" s="1"/>
  <c r="E75" i="54" s="1"/>
  <c r="AJ170" i="33"/>
  <c r="C170" i="47" s="1"/>
  <c r="B74" i="54" s="1"/>
  <c r="E74" i="54" s="1"/>
  <c r="AJ169" i="33"/>
  <c r="C169" i="47" s="1"/>
  <c r="B73" i="54" s="1"/>
  <c r="E73" i="54" s="1"/>
  <c r="F73" i="54" s="1"/>
  <c r="G73" i="54" s="1"/>
  <c r="H73" i="54" s="1"/>
  <c r="I73" i="54" s="1"/>
  <c r="J73" i="54" s="1"/>
  <c r="K73" i="54" s="1"/>
  <c r="L73" i="54" s="1"/>
  <c r="M73" i="54" s="1"/>
  <c r="N73" i="54" s="1"/>
  <c r="AJ162" i="33"/>
  <c r="C162" i="47" s="1"/>
  <c r="B68" i="54" s="1"/>
  <c r="AJ160" i="33"/>
  <c r="C160" i="47" s="1"/>
  <c r="B66" i="54" s="1"/>
  <c r="J66" i="54" s="1"/>
  <c r="D66" i="54" s="1"/>
  <c r="C66" i="54" s="1"/>
  <c r="AF159" i="33"/>
  <c r="AJ159" i="33" s="1"/>
  <c r="C159" i="47" s="1"/>
  <c r="B65" i="54" s="1"/>
  <c r="E65" i="54" s="1"/>
  <c r="AJ156" i="33"/>
  <c r="C156" i="47" s="1"/>
  <c r="B62" i="54" s="1"/>
  <c r="E62" i="54" s="1"/>
  <c r="AJ155" i="33"/>
  <c r="C155" i="47" s="1"/>
  <c r="B61" i="54" s="1"/>
  <c r="E61" i="54" s="1"/>
  <c r="AJ152" i="33"/>
  <c r="AJ168" i="33" s="1"/>
  <c r="AI152" i="33"/>
  <c r="AI168" i="33" s="1"/>
  <c r="AH152" i="33"/>
  <c r="AH168" i="33" s="1"/>
  <c r="AG152" i="33"/>
  <c r="AG168" i="33" s="1"/>
  <c r="AF152" i="33"/>
  <c r="AF168" i="33" s="1"/>
  <c r="AI151" i="33"/>
  <c r="AJ150" i="33"/>
  <c r="C150" i="47" s="1"/>
  <c r="B58" i="54" s="1"/>
  <c r="E58" i="54" s="1"/>
  <c r="AG151" i="33"/>
  <c r="AJ144" i="33"/>
  <c r="C144" i="47" s="1"/>
  <c r="B52" i="54" s="1"/>
  <c r="E52" i="54" s="1"/>
  <c r="AJ143" i="33"/>
  <c r="C143" i="47" s="1"/>
  <c r="B51" i="54" s="1"/>
  <c r="E51" i="54" s="1"/>
  <c r="AJ142" i="33"/>
  <c r="C142" i="47" s="1"/>
  <c r="B50" i="54" s="1"/>
  <c r="E50" i="54" s="1"/>
  <c r="AJ140" i="33"/>
  <c r="AI140" i="33"/>
  <c r="AH140" i="33"/>
  <c r="AG140" i="33"/>
  <c r="AF140" i="33"/>
  <c r="AJ136" i="33"/>
  <c r="C136" i="47" s="1"/>
  <c r="B47" i="54" s="1"/>
  <c r="C47" i="54" s="1"/>
  <c r="AF128" i="33"/>
  <c r="AI126" i="33"/>
  <c r="AJ126" i="33" s="1"/>
  <c r="C126" i="47" s="1"/>
  <c r="B39" i="54" s="1"/>
  <c r="E39" i="54" s="1"/>
  <c r="AJ125" i="33"/>
  <c r="C125" i="47" s="1"/>
  <c r="B38" i="54" s="1"/>
  <c r="E38" i="54" s="1"/>
  <c r="AI124" i="33"/>
  <c r="AJ124" i="33" s="1"/>
  <c r="C124" i="47" s="1"/>
  <c r="B37" i="54" s="1"/>
  <c r="E37" i="54" s="1"/>
  <c r="AI123" i="33"/>
  <c r="AI122" i="33"/>
  <c r="AJ122" i="33" s="1"/>
  <c r="C122" i="47" s="1"/>
  <c r="B35" i="54" s="1"/>
  <c r="E35" i="54" s="1"/>
  <c r="AI121" i="33"/>
  <c r="AJ121" i="33" s="1"/>
  <c r="C121" i="47" s="1"/>
  <c r="B34" i="54" s="1"/>
  <c r="E34" i="54" s="1"/>
  <c r="AI120" i="33"/>
  <c r="AJ120" i="33" s="1"/>
  <c r="C120" i="47" s="1"/>
  <c r="B33" i="54" s="1"/>
  <c r="E33" i="54" s="1"/>
  <c r="AI119" i="33"/>
  <c r="AJ118" i="33"/>
  <c r="C118" i="47" s="1"/>
  <c r="AJ117" i="33"/>
  <c r="AI117" i="33"/>
  <c r="AH117" i="33"/>
  <c r="AG117" i="33"/>
  <c r="AF117" i="33"/>
  <c r="AG115" i="33"/>
  <c r="AJ115" i="33" s="1"/>
  <c r="C115" i="47" s="1"/>
  <c r="B31" i="54" s="1"/>
  <c r="E31" i="54" s="1"/>
  <c r="AH114" i="33"/>
  <c r="AJ114" i="33"/>
  <c r="C114" i="47" s="1"/>
  <c r="B30" i="54" s="1"/>
  <c r="E30" i="54" s="1"/>
  <c r="AF112" i="33"/>
  <c r="AJ112" i="33" s="1"/>
  <c r="C112" i="47" s="1"/>
  <c r="B28" i="54" s="1"/>
  <c r="E28" i="54" s="1"/>
  <c r="AJ111" i="33"/>
  <c r="C111" i="47" s="1"/>
  <c r="B27" i="54" s="1"/>
  <c r="E27" i="54" s="1"/>
  <c r="AJ109" i="33"/>
  <c r="C109" i="47" s="1"/>
  <c r="B25" i="54" s="1"/>
  <c r="E25" i="54" s="1"/>
  <c r="AG107" i="33"/>
  <c r="AG107" i="36" s="1"/>
  <c r="AJ107" i="36" s="1"/>
  <c r="D107" i="47" s="1"/>
  <c r="AF106" i="33"/>
  <c r="AJ106" i="33" s="1"/>
  <c r="C106" i="47" s="1"/>
  <c r="B22" i="54" s="1"/>
  <c r="E22" i="54" s="1"/>
  <c r="AG105" i="33"/>
  <c r="AY105" i="33" s="1"/>
  <c r="AJ104" i="33"/>
  <c r="C104" i="47" s="1"/>
  <c r="B20" i="54" s="1"/>
  <c r="E20" i="54" s="1"/>
  <c r="AJ103" i="33"/>
  <c r="C103" i="47" s="1"/>
  <c r="B19" i="54" s="1"/>
  <c r="E19" i="54" s="1"/>
  <c r="AJ101" i="33"/>
  <c r="AI101" i="33"/>
  <c r="AH101" i="33"/>
  <c r="AG101" i="33"/>
  <c r="AF101" i="33"/>
  <c r="AI97" i="33"/>
  <c r="AH97" i="33"/>
  <c r="AG97" i="33"/>
  <c r="AF97" i="33"/>
  <c r="AI96" i="33"/>
  <c r="AH96" i="33"/>
  <c r="AG96" i="33"/>
  <c r="AF96" i="33"/>
  <c r="AI95" i="33"/>
  <c r="AH95" i="33"/>
  <c r="AG95" i="33"/>
  <c r="AI94" i="33"/>
  <c r="AH94" i="33"/>
  <c r="AI93" i="33"/>
  <c r="AH93" i="33"/>
  <c r="AI92" i="33"/>
  <c r="AH92" i="33"/>
  <c r="AI91" i="33"/>
  <c r="AI90" i="33"/>
  <c r="AH89" i="33"/>
  <c r="AI88" i="33"/>
  <c r="AH88" i="33"/>
  <c r="AG88" i="33"/>
  <c r="AI87" i="33"/>
  <c r="AH87" i="33"/>
  <c r="AG87" i="33"/>
  <c r="AJ84" i="33"/>
  <c r="AJ97" i="33" s="1"/>
  <c r="C97" i="47" s="1"/>
  <c r="AJ83" i="33"/>
  <c r="AJ96" i="33" s="1"/>
  <c r="C96" i="47" s="1"/>
  <c r="AF81" i="33"/>
  <c r="AF94" i="33" s="1"/>
  <c r="AF80" i="33"/>
  <c r="AF93" i="33" s="1"/>
  <c r="AF79" i="33"/>
  <c r="AG78" i="33"/>
  <c r="AG91" i="33" s="1"/>
  <c r="AF78" i="33"/>
  <c r="AG77" i="33"/>
  <c r="AG90" i="33" s="1"/>
  <c r="AF77" i="33"/>
  <c r="AG76" i="33"/>
  <c r="AG89" i="33" s="1"/>
  <c r="AF76" i="33"/>
  <c r="AF89" i="33" s="1"/>
  <c r="AJ73" i="33"/>
  <c r="AI73" i="33"/>
  <c r="AG73" i="33"/>
  <c r="AF73" i="33"/>
  <c r="AI62" i="33"/>
  <c r="AI65" i="33" s="1"/>
  <c r="AH62" i="33"/>
  <c r="AH65" i="33" s="1"/>
  <c r="AG62" i="33"/>
  <c r="AG65" i="33" s="1"/>
  <c r="AF62" i="33"/>
  <c r="AF65" i="33" s="1"/>
  <c r="AJ61" i="33"/>
  <c r="C61" i="47" s="1"/>
  <c r="AJ60" i="33"/>
  <c r="C60" i="47" s="1"/>
  <c r="AJ59" i="33"/>
  <c r="C59" i="47" s="1"/>
  <c r="AJ58" i="33"/>
  <c r="C58" i="47" s="1"/>
  <c r="AJ57" i="33"/>
  <c r="C57" i="47" s="1"/>
  <c r="AJ56" i="33"/>
  <c r="C56" i="47" s="1"/>
  <c r="AJ55" i="33"/>
  <c r="C55" i="47" s="1"/>
  <c r="AJ54" i="33"/>
  <c r="C54" i="47" s="1"/>
  <c r="AJ53" i="33"/>
  <c r="C53" i="47" s="1"/>
  <c r="D40" i="44" s="1"/>
  <c r="AJ52" i="33"/>
  <c r="C52" i="47" s="1"/>
  <c r="AJ51" i="33"/>
  <c r="C51" i="47" s="1"/>
  <c r="AJ50" i="33"/>
  <c r="C50" i="47" s="1"/>
  <c r="AJ49" i="33"/>
  <c r="C49" i="47" s="1"/>
  <c r="AJ48" i="33"/>
  <c r="C48" i="47" s="1"/>
  <c r="AJ47" i="33"/>
  <c r="C47" i="47" s="1"/>
  <c r="AJ46" i="33"/>
  <c r="C46" i="47" s="1"/>
  <c r="D30" i="44" s="1"/>
  <c r="AJ45" i="33"/>
  <c r="C45" i="47" s="1"/>
  <c r="AJ44" i="33"/>
  <c r="C44" i="47" s="1"/>
  <c r="AJ43" i="33"/>
  <c r="C43" i="47" s="1"/>
  <c r="D27" i="44" s="1"/>
  <c r="AJ42" i="33"/>
  <c r="C42" i="47" s="1"/>
  <c r="AJ41" i="33"/>
  <c r="AI41" i="33"/>
  <c r="AH41" i="33"/>
  <c r="AG41" i="33"/>
  <c r="AF41" i="33"/>
  <c r="AI39" i="33"/>
  <c r="AH39" i="33"/>
  <c r="AG39" i="33"/>
  <c r="AF39" i="33"/>
  <c r="AF137" i="33" s="1"/>
  <c r="AJ38" i="33"/>
  <c r="C38" i="47" s="1"/>
  <c r="AJ37" i="33"/>
  <c r="C37" i="47" s="1"/>
  <c r="AJ36" i="33"/>
  <c r="C36" i="47" s="1"/>
  <c r="AJ35" i="33"/>
  <c r="C35" i="47" s="1"/>
  <c r="AJ34" i="33"/>
  <c r="C34" i="47" s="1"/>
  <c r="AJ33" i="33"/>
  <c r="C33" i="47" s="1"/>
  <c r="AJ32" i="33"/>
  <c r="C32" i="47" s="1"/>
  <c r="AJ31" i="33"/>
  <c r="C31" i="47" s="1"/>
  <c r="AJ30" i="33"/>
  <c r="C30" i="47" s="1"/>
  <c r="D37" i="45" s="1"/>
  <c r="AJ29" i="33"/>
  <c r="C29" i="47" s="1"/>
  <c r="D31" i="44" s="1"/>
  <c r="AJ27" i="33"/>
  <c r="AJ25" i="33"/>
  <c r="C25" i="47" s="1"/>
  <c r="J25" i="47" s="1"/>
  <c r="AJ18" i="33"/>
  <c r="C18" i="47" s="1"/>
  <c r="D50" i="40" s="1"/>
  <c r="AJ17" i="33"/>
  <c r="C17" i="47" s="1"/>
  <c r="D49" i="40" s="1"/>
  <c r="AJ16" i="33"/>
  <c r="C16" i="47" s="1"/>
  <c r="D48" i="40" s="1"/>
  <c r="AJ15" i="33"/>
  <c r="C15" i="47" s="1"/>
  <c r="D47" i="40" s="1"/>
  <c r="AJ14" i="33"/>
  <c r="C14" i="47" s="1"/>
  <c r="D46" i="40" s="1"/>
  <c r="AJ13" i="33"/>
  <c r="C13" i="47" s="1"/>
  <c r="D45" i="40" s="1"/>
  <c r="AJ12" i="33"/>
  <c r="C12" i="47" s="1"/>
  <c r="D44" i="40" s="1"/>
  <c r="AJ10" i="33"/>
  <c r="C10" i="47" s="1"/>
  <c r="D42" i="40" s="1"/>
  <c r="AJ8" i="33"/>
  <c r="AK8" i="33" s="1"/>
  <c r="J8" i="47" s="1"/>
  <c r="AJ3" i="33"/>
  <c r="AV61" i="42"/>
  <c r="AP61" i="42"/>
  <c r="AD61" i="42"/>
  <c r="G61" i="51" s="1"/>
  <c r="X61" i="42"/>
  <c r="G61" i="52" s="1"/>
  <c r="R61" i="42"/>
  <c r="G61" i="53" s="1"/>
  <c r="L61" i="42"/>
  <c r="G61" i="50" s="1"/>
  <c r="F61" i="42"/>
  <c r="G61" i="49" s="1"/>
  <c r="AV60" i="42"/>
  <c r="AP60" i="42"/>
  <c r="AD60" i="42"/>
  <c r="G60" i="51" s="1"/>
  <c r="X60" i="42"/>
  <c r="G60" i="52" s="1"/>
  <c r="R60" i="42"/>
  <c r="G60" i="53" s="1"/>
  <c r="L60" i="42"/>
  <c r="G60" i="50" s="1"/>
  <c r="F60" i="42"/>
  <c r="G60" i="49" s="1"/>
  <c r="AV59" i="42"/>
  <c r="AP59" i="42"/>
  <c r="AD59" i="42"/>
  <c r="G59" i="51" s="1"/>
  <c r="X59" i="42"/>
  <c r="G59" i="52" s="1"/>
  <c r="R59" i="42"/>
  <c r="G59" i="53" s="1"/>
  <c r="L59" i="42"/>
  <c r="G59" i="50" s="1"/>
  <c r="F59" i="42"/>
  <c r="G59" i="49" s="1"/>
  <c r="AV58" i="42"/>
  <c r="AP58" i="42"/>
  <c r="AD58" i="42"/>
  <c r="G58" i="51" s="1"/>
  <c r="X58" i="42"/>
  <c r="G58" i="52" s="1"/>
  <c r="R58" i="42"/>
  <c r="G58" i="53" s="1"/>
  <c r="L58" i="42"/>
  <c r="G58" i="50" s="1"/>
  <c r="F58" i="42"/>
  <c r="G58" i="49" s="1"/>
  <c r="AV57" i="42"/>
  <c r="AP57" i="42"/>
  <c r="AD57" i="42"/>
  <c r="G57" i="51" s="1"/>
  <c r="X57" i="42"/>
  <c r="G57" i="52" s="1"/>
  <c r="R57" i="42"/>
  <c r="G57" i="53" s="1"/>
  <c r="L57" i="42"/>
  <c r="G57" i="50" s="1"/>
  <c r="F57" i="42"/>
  <c r="G57" i="49" s="1"/>
  <c r="AV56" i="42"/>
  <c r="AP56" i="42"/>
  <c r="AD56" i="42"/>
  <c r="G56" i="51" s="1"/>
  <c r="X56" i="42"/>
  <c r="G56" i="52" s="1"/>
  <c r="R56" i="42"/>
  <c r="G56" i="53" s="1"/>
  <c r="L56" i="42"/>
  <c r="G56" i="50" s="1"/>
  <c r="F56" i="42"/>
  <c r="G56" i="49" s="1"/>
  <c r="AV55" i="42"/>
  <c r="AP55" i="42"/>
  <c r="AD55" i="42"/>
  <c r="G55" i="51" s="1"/>
  <c r="X55" i="42"/>
  <c r="G55" i="52" s="1"/>
  <c r="R55" i="42"/>
  <c r="G55" i="53" s="1"/>
  <c r="L55" i="42"/>
  <c r="G55" i="50" s="1"/>
  <c r="F55" i="42"/>
  <c r="G55" i="49" s="1"/>
  <c r="AV54" i="42"/>
  <c r="AP54" i="42"/>
  <c r="AD54" i="42"/>
  <c r="G54" i="51" s="1"/>
  <c r="X54" i="42"/>
  <c r="G54" i="52" s="1"/>
  <c r="R54" i="42"/>
  <c r="G54" i="53" s="1"/>
  <c r="L54" i="42"/>
  <c r="G54" i="50" s="1"/>
  <c r="F54" i="42"/>
  <c r="G54" i="49" s="1"/>
  <c r="AV53" i="42"/>
  <c r="AP53" i="42"/>
  <c r="AD53" i="42"/>
  <c r="G53" i="51" s="1"/>
  <c r="X53" i="42"/>
  <c r="G53" i="52" s="1"/>
  <c r="R53" i="42"/>
  <c r="G53" i="53" s="1"/>
  <c r="L53" i="42"/>
  <c r="G53" i="50" s="1"/>
  <c r="F53" i="42"/>
  <c r="G53" i="49" s="1"/>
  <c r="AV52" i="42"/>
  <c r="AP52" i="42"/>
  <c r="AD52" i="42"/>
  <c r="G52" i="51" s="1"/>
  <c r="X52" i="42"/>
  <c r="G52" i="52" s="1"/>
  <c r="R52" i="42"/>
  <c r="G52" i="53" s="1"/>
  <c r="L52" i="42"/>
  <c r="G52" i="50" s="1"/>
  <c r="F52" i="42"/>
  <c r="G52" i="49" s="1"/>
  <c r="AV51" i="42"/>
  <c r="AP51" i="42"/>
  <c r="AD51" i="42"/>
  <c r="G51" i="51" s="1"/>
  <c r="X51" i="42"/>
  <c r="G51" i="52" s="1"/>
  <c r="R51" i="42"/>
  <c r="G51" i="53" s="1"/>
  <c r="L51" i="42"/>
  <c r="G51" i="50" s="1"/>
  <c r="F51" i="42"/>
  <c r="G51" i="49" s="1"/>
  <c r="AV50" i="42"/>
  <c r="AP50" i="42"/>
  <c r="AD50" i="42"/>
  <c r="G50" i="51" s="1"/>
  <c r="X50" i="42"/>
  <c r="G50" i="52" s="1"/>
  <c r="R50" i="42"/>
  <c r="G50" i="53" s="1"/>
  <c r="L50" i="42"/>
  <c r="G50" i="50" s="1"/>
  <c r="F50" i="42"/>
  <c r="G50" i="49" s="1"/>
  <c r="AV49" i="42"/>
  <c r="AP49" i="42"/>
  <c r="AD49" i="42"/>
  <c r="G49" i="51" s="1"/>
  <c r="X49" i="42"/>
  <c r="G49" i="52" s="1"/>
  <c r="R49" i="42"/>
  <c r="G49" i="53" s="1"/>
  <c r="L49" i="42"/>
  <c r="G49" i="50" s="1"/>
  <c r="F49" i="42"/>
  <c r="G49" i="49" s="1"/>
  <c r="AV48" i="42"/>
  <c r="AP48" i="42"/>
  <c r="AD48" i="42"/>
  <c r="G48" i="51" s="1"/>
  <c r="X48" i="42"/>
  <c r="G48" i="52" s="1"/>
  <c r="R48" i="42"/>
  <c r="G48" i="53" s="1"/>
  <c r="L48" i="42"/>
  <c r="G48" i="50" s="1"/>
  <c r="F48" i="42"/>
  <c r="G48" i="49" s="1"/>
  <c r="AV47" i="42"/>
  <c r="AP47" i="42"/>
  <c r="AD47" i="42"/>
  <c r="G47" i="51" s="1"/>
  <c r="X47" i="42"/>
  <c r="G47" i="52" s="1"/>
  <c r="R47" i="42"/>
  <c r="G47" i="53" s="1"/>
  <c r="L47" i="42"/>
  <c r="G47" i="50" s="1"/>
  <c r="F47" i="42"/>
  <c r="G47" i="49" s="1"/>
  <c r="AV46" i="42"/>
  <c r="AP46" i="42"/>
  <c r="AD46" i="42"/>
  <c r="G46" i="51" s="1"/>
  <c r="X46" i="42"/>
  <c r="G46" i="52" s="1"/>
  <c r="R46" i="42"/>
  <c r="G46" i="53" s="1"/>
  <c r="L46" i="42"/>
  <c r="G46" i="50" s="1"/>
  <c r="F46" i="42"/>
  <c r="G46" i="49" s="1"/>
  <c r="AV45" i="42"/>
  <c r="AP45" i="42"/>
  <c r="AD45" i="42"/>
  <c r="G45" i="51" s="1"/>
  <c r="X45" i="42"/>
  <c r="G45" i="52" s="1"/>
  <c r="R45" i="42"/>
  <c r="G45" i="53" s="1"/>
  <c r="L45" i="42"/>
  <c r="G45" i="50" s="1"/>
  <c r="F45" i="42"/>
  <c r="G45" i="49" s="1"/>
  <c r="AV44" i="42"/>
  <c r="AP44" i="42"/>
  <c r="AD44" i="42"/>
  <c r="G44" i="51" s="1"/>
  <c r="X44" i="42"/>
  <c r="G44" i="52" s="1"/>
  <c r="R44" i="42"/>
  <c r="G44" i="53" s="1"/>
  <c r="L44" i="42"/>
  <c r="G44" i="50" s="1"/>
  <c r="F44" i="42"/>
  <c r="G44" i="49" s="1"/>
  <c r="AV43" i="42"/>
  <c r="AP43" i="42"/>
  <c r="AD43" i="42"/>
  <c r="G43" i="51" s="1"/>
  <c r="X43" i="42"/>
  <c r="G43" i="52" s="1"/>
  <c r="R43" i="42"/>
  <c r="G43" i="53" s="1"/>
  <c r="L43" i="42"/>
  <c r="G43" i="50" s="1"/>
  <c r="F43" i="42"/>
  <c r="G43" i="49" s="1"/>
  <c r="AV42" i="42"/>
  <c r="AP42" i="42"/>
  <c r="AD42" i="42"/>
  <c r="G42" i="51" s="1"/>
  <c r="X42" i="42"/>
  <c r="G42" i="52" s="1"/>
  <c r="R42" i="42"/>
  <c r="G42" i="53" s="1"/>
  <c r="L42" i="42"/>
  <c r="G42" i="50" s="1"/>
  <c r="F42" i="42"/>
  <c r="G42" i="49" s="1"/>
  <c r="AV61" i="38"/>
  <c r="AP61" i="38"/>
  <c r="AD61" i="38"/>
  <c r="F61" i="51" s="1"/>
  <c r="X61" i="38"/>
  <c r="F61" i="52" s="1"/>
  <c r="R61" i="38"/>
  <c r="F61" i="53" s="1"/>
  <c r="L61" i="38"/>
  <c r="F61" i="50" s="1"/>
  <c r="F61" i="38"/>
  <c r="F61" i="49" s="1"/>
  <c r="AV60" i="38"/>
  <c r="AP60" i="38"/>
  <c r="AD60" i="38"/>
  <c r="F60" i="51" s="1"/>
  <c r="X60" i="38"/>
  <c r="F60" i="52" s="1"/>
  <c r="R60" i="38"/>
  <c r="F60" i="53" s="1"/>
  <c r="L60" i="38"/>
  <c r="F60" i="50" s="1"/>
  <c r="F60" i="38"/>
  <c r="F60" i="49" s="1"/>
  <c r="AV59" i="38"/>
  <c r="AP59" i="38"/>
  <c r="AD59" i="38"/>
  <c r="F59" i="51" s="1"/>
  <c r="X59" i="38"/>
  <c r="F59" i="52" s="1"/>
  <c r="R59" i="38"/>
  <c r="F59" i="53" s="1"/>
  <c r="L59" i="38"/>
  <c r="F59" i="50" s="1"/>
  <c r="F59" i="38"/>
  <c r="F59" i="49" s="1"/>
  <c r="AV58" i="38"/>
  <c r="AP58" i="38"/>
  <c r="AD58" i="38"/>
  <c r="F58" i="51" s="1"/>
  <c r="X58" i="38"/>
  <c r="F58" i="52" s="1"/>
  <c r="R58" i="38"/>
  <c r="F58" i="53" s="1"/>
  <c r="L58" i="38"/>
  <c r="F58" i="50" s="1"/>
  <c r="F58" i="38"/>
  <c r="F58" i="49" s="1"/>
  <c r="AV57" i="38"/>
  <c r="AP57" i="38"/>
  <c r="AD57" i="38"/>
  <c r="F57" i="51" s="1"/>
  <c r="X57" i="38"/>
  <c r="F57" i="52" s="1"/>
  <c r="R57" i="38"/>
  <c r="F57" i="53" s="1"/>
  <c r="L57" i="38"/>
  <c r="F57" i="50" s="1"/>
  <c r="F57" i="38"/>
  <c r="F57" i="49" s="1"/>
  <c r="AV56" i="38"/>
  <c r="AP56" i="38"/>
  <c r="AD56" i="38"/>
  <c r="F56" i="51" s="1"/>
  <c r="X56" i="38"/>
  <c r="F56" i="52" s="1"/>
  <c r="R56" i="38"/>
  <c r="F56" i="53" s="1"/>
  <c r="L56" i="38"/>
  <c r="F56" i="50" s="1"/>
  <c r="F56" i="38"/>
  <c r="F56" i="49" s="1"/>
  <c r="AV55" i="38"/>
  <c r="AP55" i="38"/>
  <c r="AD55" i="38"/>
  <c r="F55" i="51" s="1"/>
  <c r="X55" i="38"/>
  <c r="F55" i="52" s="1"/>
  <c r="R55" i="38"/>
  <c r="F55" i="53" s="1"/>
  <c r="L55" i="38"/>
  <c r="F55" i="50" s="1"/>
  <c r="F55" i="38"/>
  <c r="F55" i="49" s="1"/>
  <c r="AV54" i="38"/>
  <c r="AP54" i="38"/>
  <c r="AD54" i="38"/>
  <c r="F54" i="51" s="1"/>
  <c r="X54" i="38"/>
  <c r="F54" i="52" s="1"/>
  <c r="R54" i="38"/>
  <c r="F54" i="53" s="1"/>
  <c r="L54" i="38"/>
  <c r="F54" i="50" s="1"/>
  <c r="F54" i="38"/>
  <c r="F54" i="49" s="1"/>
  <c r="AV53" i="38"/>
  <c r="AP53" i="38"/>
  <c r="AD53" i="38"/>
  <c r="F53" i="51" s="1"/>
  <c r="X53" i="38"/>
  <c r="F53" i="52" s="1"/>
  <c r="R53" i="38"/>
  <c r="F53" i="53" s="1"/>
  <c r="L53" i="38"/>
  <c r="F53" i="50" s="1"/>
  <c r="F53" i="38"/>
  <c r="F53" i="49" s="1"/>
  <c r="AV52" i="38"/>
  <c r="AP52" i="38"/>
  <c r="AD52" i="38"/>
  <c r="F52" i="51" s="1"/>
  <c r="X52" i="38"/>
  <c r="F52" i="52" s="1"/>
  <c r="R52" i="38"/>
  <c r="F52" i="53" s="1"/>
  <c r="L52" i="38"/>
  <c r="F52" i="50" s="1"/>
  <c r="F52" i="38"/>
  <c r="F52" i="49" s="1"/>
  <c r="AV51" i="38"/>
  <c r="AP51" i="38"/>
  <c r="AD51" i="38"/>
  <c r="F51" i="51" s="1"/>
  <c r="X51" i="38"/>
  <c r="F51" i="52" s="1"/>
  <c r="R51" i="38"/>
  <c r="F51" i="53" s="1"/>
  <c r="L51" i="38"/>
  <c r="F51" i="50" s="1"/>
  <c r="F51" i="38"/>
  <c r="F51" i="49" s="1"/>
  <c r="AV50" i="38"/>
  <c r="AP50" i="38"/>
  <c r="AD50" i="38"/>
  <c r="F50" i="51" s="1"/>
  <c r="X50" i="38"/>
  <c r="F50" i="52" s="1"/>
  <c r="R50" i="38"/>
  <c r="F50" i="53" s="1"/>
  <c r="L50" i="38"/>
  <c r="F50" i="50" s="1"/>
  <c r="F50" i="38"/>
  <c r="F50" i="49" s="1"/>
  <c r="AV49" i="38"/>
  <c r="AP49" i="38"/>
  <c r="AD49" i="38"/>
  <c r="F49" i="51" s="1"/>
  <c r="X49" i="38"/>
  <c r="F49" i="52" s="1"/>
  <c r="R49" i="38"/>
  <c r="F49" i="53" s="1"/>
  <c r="L49" i="38"/>
  <c r="F49" i="50" s="1"/>
  <c r="F49" i="38"/>
  <c r="F49" i="49" s="1"/>
  <c r="AV48" i="38"/>
  <c r="AP48" i="38"/>
  <c r="AD48" i="38"/>
  <c r="F48" i="51" s="1"/>
  <c r="X48" i="38"/>
  <c r="F48" i="52" s="1"/>
  <c r="R48" i="38"/>
  <c r="F48" i="53" s="1"/>
  <c r="L48" i="38"/>
  <c r="F48" i="50" s="1"/>
  <c r="F48" i="38"/>
  <c r="F48" i="49" s="1"/>
  <c r="AV47" i="38"/>
  <c r="AP47" i="38"/>
  <c r="AD47" i="38"/>
  <c r="F47" i="51" s="1"/>
  <c r="X47" i="38"/>
  <c r="F47" i="52" s="1"/>
  <c r="R47" i="38"/>
  <c r="F47" i="53" s="1"/>
  <c r="L47" i="38"/>
  <c r="F47" i="50" s="1"/>
  <c r="F47" i="38"/>
  <c r="F47" i="49" s="1"/>
  <c r="AV46" i="38"/>
  <c r="AP46" i="38"/>
  <c r="AD46" i="38"/>
  <c r="F46" i="51" s="1"/>
  <c r="X46" i="38"/>
  <c r="F46" i="52" s="1"/>
  <c r="R46" i="38"/>
  <c r="F46" i="53" s="1"/>
  <c r="L46" i="38"/>
  <c r="F46" i="50" s="1"/>
  <c r="F46" i="38"/>
  <c r="F46" i="49" s="1"/>
  <c r="AV45" i="38"/>
  <c r="AP45" i="38"/>
  <c r="AD45" i="38"/>
  <c r="F45" i="51" s="1"/>
  <c r="X45" i="38"/>
  <c r="F45" i="52" s="1"/>
  <c r="R45" i="38"/>
  <c r="F45" i="53" s="1"/>
  <c r="L45" i="38"/>
  <c r="F45" i="50" s="1"/>
  <c r="F45" i="38"/>
  <c r="F45" i="49" s="1"/>
  <c r="AV44" i="38"/>
  <c r="AP44" i="38"/>
  <c r="AD44" i="38"/>
  <c r="F44" i="51" s="1"/>
  <c r="X44" i="38"/>
  <c r="F44" i="52" s="1"/>
  <c r="R44" i="38"/>
  <c r="F44" i="53" s="1"/>
  <c r="L44" i="38"/>
  <c r="F44" i="50" s="1"/>
  <c r="F44" i="38"/>
  <c r="F44" i="49" s="1"/>
  <c r="AV43" i="38"/>
  <c r="AP43" i="38"/>
  <c r="AD43" i="38"/>
  <c r="F43" i="51" s="1"/>
  <c r="X43" i="38"/>
  <c r="F43" i="52" s="1"/>
  <c r="R43" i="38"/>
  <c r="F43" i="53" s="1"/>
  <c r="L43" i="38"/>
  <c r="F43" i="50" s="1"/>
  <c r="F43" i="38"/>
  <c r="F43" i="49" s="1"/>
  <c r="AV42" i="38"/>
  <c r="AP42" i="38"/>
  <c r="AD42" i="38"/>
  <c r="F42" i="51" s="1"/>
  <c r="X42" i="38"/>
  <c r="F42" i="52" s="1"/>
  <c r="R42" i="38"/>
  <c r="F42" i="53" s="1"/>
  <c r="L42" i="38"/>
  <c r="F42" i="50" s="1"/>
  <c r="F42" i="38"/>
  <c r="F42" i="49" s="1"/>
  <c r="AV61" i="37"/>
  <c r="AP61" i="37"/>
  <c r="AD61" i="37"/>
  <c r="E61" i="51" s="1"/>
  <c r="X61" i="37"/>
  <c r="E61" i="52" s="1"/>
  <c r="R61" i="37"/>
  <c r="E61" i="53" s="1"/>
  <c r="L61" i="37"/>
  <c r="E61" i="50" s="1"/>
  <c r="F61" i="37"/>
  <c r="E61" i="49" s="1"/>
  <c r="AV60" i="37"/>
  <c r="AP60" i="37"/>
  <c r="AD60" i="37"/>
  <c r="E60" i="51" s="1"/>
  <c r="X60" i="37"/>
  <c r="E60" i="52" s="1"/>
  <c r="R60" i="37"/>
  <c r="E60" i="53" s="1"/>
  <c r="L60" i="37"/>
  <c r="E60" i="50" s="1"/>
  <c r="F60" i="37"/>
  <c r="E60" i="49" s="1"/>
  <c r="AV59" i="37"/>
  <c r="AP59" i="37"/>
  <c r="AD59" i="37"/>
  <c r="E59" i="51" s="1"/>
  <c r="X59" i="37"/>
  <c r="E59" i="52" s="1"/>
  <c r="R59" i="37"/>
  <c r="E59" i="53" s="1"/>
  <c r="L59" i="37"/>
  <c r="E59" i="50" s="1"/>
  <c r="F59" i="37"/>
  <c r="E59" i="49" s="1"/>
  <c r="AV58" i="37"/>
  <c r="AP58" i="37"/>
  <c r="AD58" i="37"/>
  <c r="E58" i="51" s="1"/>
  <c r="X58" i="37"/>
  <c r="E58" i="52" s="1"/>
  <c r="R58" i="37"/>
  <c r="E58" i="53" s="1"/>
  <c r="L58" i="37"/>
  <c r="E58" i="50" s="1"/>
  <c r="F58" i="37"/>
  <c r="E58" i="49" s="1"/>
  <c r="AV57" i="37"/>
  <c r="AP57" i="37"/>
  <c r="AD57" i="37"/>
  <c r="E57" i="51" s="1"/>
  <c r="X57" i="37"/>
  <c r="E57" i="52" s="1"/>
  <c r="R57" i="37"/>
  <c r="E57" i="53" s="1"/>
  <c r="L57" i="37"/>
  <c r="E57" i="50" s="1"/>
  <c r="F57" i="37"/>
  <c r="E57" i="49" s="1"/>
  <c r="AV56" i="37"/>
  <c r="AP56" i="37"/>
  <c r="AD56" i="37"/>
  <c r="E56" i="51" s="1"/>
  <c r="X56" i="37"/>
  <c r="E56" i="52" s="1"/>
  <c r="R56" i="37"/>
  <c r="E56" i="53" s="1"/>
  <c r="L56" i="37"/>
  <c r="E56" i="50" s="1"/>
  <c r="F56" i="37"/>
  <c r="E56" i="49" s="1"/>
  <c r="AV55" i="37"/>
  <c r="AP55" i="37"/>
  <c r="AD55" i="37"/>
  <c r="E55" i="51" s="1"/>
  <c r="X55" i="37"/>
  <c r="E55" i="52" s="1"/>
  <c r="R55" i="37"/>
  <c r="E55" i="53" s="1"/>
  <c r="L55" i="37"/>
  <c r="E55" i="50" s="1"/>
  <c r="F55" i="37"/>
  <c r="E55" i="49" s="1"/>
  <c r="AV54" i="37"/>
  <c r="AP54" i="37"/>
  <c r="AD54" i="37"/>
  <c r="E54" i="51" s="1"/>
  <c r="X54" i="37"/>
  <c r="E54" i="52" s="1"/>
  <c r="R54" i="37"/>
  <c r="E54" i="53" s="1"/>
  <c r="L54" i="37"/>
  <c r="E54" i="50" s="1"/>
  <c r="F54" i="37"/>
  <c r="E54" i="49" s="1"/>
  <c r="AV53" i="37"/>
  <c r="AP53" i="37"/>
  <c r="AD53" i="37"/>
  <c r="E53" i="51" s="1"/>
  <c r="X53" i="37"/>
  <c r="E53" i="52" s="1"/>
  <c r="R53" i="37"/>
  <c r="E53" i="53" s="1"/>
  <c r="L53" i="37"/>
  <c r="E53" i="50" s="1"/>
  <c r="F53" i="37"/>
  <c r="E53" i="49" s="1"/>
  <c r="AV52" i="37"/>
  <c r="AP52" i="37"/>
  <c r="AD52" i="37"/>
  <c r="E52" i="51" s="1"/>
  <c r="X52" i="37"/>
  <c r="E52" i="52" s="1"/>
  <c r="R52" i="37"/>
  <c r="E52" i="53" s="1"/>
  <c r="L52" i="37"/>
  <c r="E52" i="50" s="1"/>
  <c r="F52" i="37"/>
  <c r="E52" i="49" s="1"/>
  <c r="AV51" i="37"/>
  <c r="AP51" i="37"/>
  <c r="AD51" i="37"/>
  <c r="E51" i="51" s="1"/>
  <c r="X51" i="37"/>
  <c r="E51" i="52" s="1"/>
  <c r="R51" i="37"/>
  <c r="E51" i="53" s="1"/>
  <c r="L51" i="37"/>
  <c r="E51" i="50" s="1"/>
  <c r="F51" i="37"/>
  <c r="E51" i="49" s="1"/>
  <c r="AV50" i="37"/>
  <c r="AP50" i="37"/>
  <c r="AD50" i="37"/>
  <c r="E50" i="51" s="1"/>
  <c r="X50" i="37"/>
  <c r="E50" i="52" s="1"/>
  <c r="R50" i="37"/>
  <c r="E50" i="53" s="1"/>
  <c r="L50" i="37"/>
  <c r="E50" i="50" s="1"/>
  <c r="F50" i="37"/>
  <c r="E50" i="49" s="1"/>
  <c r="AV49" i="37"/>
  <c r="AP49" i="37"/>
  <c r="AD49" i="37"/>
  <c r="E49" i="51" s="1"/>
  <c r="X49" i="37"/>
  <c r="E49" i="52" s="1"/>
  <c r="R49" i="37"/>
  <c r="E49" i="53" s="1"/>
  <c r="L49" i="37"/>
  <c r="E49" i="50" s="1"/>
  <c r="F49" i="37"/>
  <c r="E49" i="49" s="1"/>
  <c r="AV48" i="37"/>
  <c r="AP48" i="37"/>
  <c r="AD48" i="37"/>
  <c r="E48" i="51" s="1"/>
  <c r="X48" i="37"/>
  <c r="E48" i="52" s="1"/>
  <c r="R48" i="37"/>
  <c r="E48" i="53" s="1"/>
  <c r="L48" i="37"/>
  <c r="E48" i="50" s="1"/>
  <c r="F48" i="37"/>
  <c r="E48" i="49" s="1"/>
  <c r="AV47" i="37"/>
  <c r="AP47" i="37"/>
  <c r="AD47" i="37"/>
  <c r="E47" i="51" s="1"/>
  <c r="X47" i="37"/>
  <c r="E47" i="52" s="1"/>
  <c r="R47" i="37"/>
  <c r="E47" i="53" s="1"/>
  <c r="L47" i="37"/>
  <c r="E47" i="50" s="1"/>
  <c r="F47" i="37"/>
  <c r="E47" i="49" s="1"/>
  <c r="AV46" i="37"/>
  <c r="AP46" i="37"/>
  <c r="AD46" i="37"/>
  <c r="E46" i="51" s="1"/>
  <c r="X46" i="37"/>
  <c r="E46" i="52" s="1"/>
  <c r="R46" i="37"/>
  <c r="E46" i="53" s="1"/>
  <c r="L46" i="37"/>
  <c r="E46" i="50" s="1"/>
  <c r="F46" i="37"/>
  <c r="E46" i="49" s="1"/>
  <c r="AV45" i="37"/>
  <c r="AP45" i="37"/>
  <c r="AD45" i="37"/>
  <c r="E45" i="51" s="1"/>
  <c r="X45" i="37"/>
  <c r="E45" i="52" s="1"/>
  <c r="R45" i="37"/>
  <c r="E45" i="53" s="1"/>
  <c r="L45" i="37"/>
  <c r="E45" i="50" s="1"/>
  <c r="F45" i="37"/>
  <c r="E45" i="49" s="1"/>
  <c r="AV44" i="37"/>
  <c r="AP44" i="37"/>
  <c r="AD44" i="37"/>
  <c r="E44" i="51" s="1"/>
  <c r="X44" i="37"/>
  <c r="E44" i="52" s="1"/>
  <c r="R44" i="37"/>
  <c r="E44" i="53" s="1"/>
  <c r="L44" i="37"/>
  <c r="E44" i="50" s="1"/>
  <c r="F44" i="37"/>
  <c r="E44" i="49" s="1"/>
  <c r="AV43" i="37"/>
  <c r="AP43" i="37"/>
  <c r="AD43" i="37"/>
  <c r="E43" i="51" s="1"/>
  <c r="X43" i="37"/>
  <c r="E43" i="52" s="1"/>
  <c r="R43" i="37"/>
  <c r="E43" i="53" s="1"/>
  <c r="L43" i="37"/>
  <c r="E43" i="50" s="1"/>
  <c r="F43" i="37"/>
  <c r="E43" i="49" s="1"/>
  <c r="AV42" i="37"/>
  <c r="AP42" i="37"/>
  <c r="AD42" i="37"/>
  <c r="E42" i="51" s="1"/>
  <c r="X42" i="37"/>
  <c r="E42" i="52" s="1"/>
  <c r="R42" i="37"/>
  <c r="E42" i="53" s="1"/>
  <c r="L42" i="37"/>
  <c r="E42" i="50" s="1"/>
  <c r="F42" i="37"/>
  <c r="E42" i="49" s="1"/>
  <c r="AV61" i="36"/>
  <c r="AP61" i="36"/>
  <c r="AD61" i="36"/>
  <c r="D61" i="51" s="1"/>
  <c r="X61" i="36"/>
  <c r="D61" i="52" s="1"/>
  <c r="R61" i="36"/>
  <c r="D61" i="53" s="1"/>
  <c r="L61" i="36"/>
  <c r="D61" i="50" s="1"/>
  <c r="F61" i="36"/>
  <c r="D61" i="49" s="1"/>
  <c r="AV60" i="36"/>
  <c r="AP60" i="36"/>
  <c r="AD60" i="36"/>
  <c r="D60" i="51" s="1"/>
  <c r="X60" i="36"/>
  <c r="D60" i="52" s="1"/>
  <c r="R60" i="36"/>
  <c r="D60" i="53" s="1"/>
  <c r="L60" i="36"/>
  <c r="D60" i="50" s="1"/>
  <c r="F60" i="36"/>
  <c r="D60" i="49" s="1"/>
  <c r="AV59" i="36"/>
  <c r="AP59" i="36"/>
  <c r="AD59" i="36"/>
  <c r="D59" i="51" s="1"/>
  <c r="X59" i="36"/>
  <c r="D59" i="52" s="1"/>
  <c r="R59" i="36"/>
  <c r="D59" i="53" s="1"/>
  <c r="L59" i="36"/>
  <c r="D59" i="50" s="1"/>
  <c r="F59" i="36"/>
  <c r="D59" i="49" s="1"/>
  <c r="AV58" i="36"/>
  <c r="AP58" i="36"/>
  <c r="AD58" i="36"/>
  <c r="D58" i="51" s="1"/>
  <c r="X58" i="36"/>
  <c r="D58" i="52" s="1"/>
  <c r="R58" i="36"/>
  <c r="D58" i="53" s="1"/>
  <c r="L58" i="36"/>
  <c r="D58" i="50" s="1"/>
  <c r="F58" i="36"/>
  <c r="D58" i="49" s="1"/>
  <c r="AV57" i="36"/>
  <c r="AP57" i="36"/>
  <c r="AD57" i="36"/>
  <c r="D57" i="51" s="1"/>
  <c r="X57" i="36"/>
  <c r="D57" i="52" s="1"/>
  <c r="R57" i="36"/>
  <c r="D57" i="53" s="1"/>
  <c r="L57" i="36"/>
  <c r="D57" i="50" s="1"/>
  <c r="F57" i="36"/>
  <c r="D57" i="49" s="1"/>
  <c r="AV56" i="36"/>
  <c r="AP56" i="36"/>
  <c r="AD56" i="36"/>
  <c r="D56" i="51" s="1"/>
  <c r="X56" i="36"/>
  <c r="D56" i="52" s="1"/>
  <c r="R56" i="36"/>
  <c r="D56" i="53" s="1"/>
  <c r="L56" i="36"/>
  <c r="D56" i="50" s="1"/>
  <c r="F56" i="36"/>
  <c r="D56" i="49" s="1"/>
  <c r="AV55" i="36"/>
  <c r="AP55" i="36"/>
  <c r="AD55" i="36"/>
  <c r="D55" i="51" s="1"/>
  <c r="X55" i="36"/>
  <c r="D55" i="52" s="1"/>
  <c r="R55" i="36"/>
  <c r="D55" i="53" s="1"/>
  <c r="L55" i="36"/>
  <c r="D55" i="50" s="1"/>
  <c r="F55" i="36"/>
  <c r="D55" i="49" s="1"/>
  <c r="AV54" i="36"/>
  <c r="AP54" i="36"/>
  <c r="AD54" i="36"/>
  <c r="D54" i="51" s="1"/>
  <c r="X54" i="36"/>
  <c r="D54" i="52" s="1"/>
  <c r="R54" i="36"/>
  <c r="D54" i="53" s="1"/>
  <c r="L54" i="36"/>
  <c r="D54" i="50" s="1"/>
  <c r="F54" i="36"/>
  <c r="D54" i="49" s="1"/>
  <c r="AV53" i="36"/>
  <c r="AP53" i="36"/>
  <c r="AD53" i="36"/>
  <c r="D53" i="51" s="1"/>
  <c r="X53" i="36"/>
  <c r="D53" i="52" s="1"/>
  <c r="R53" i="36"/>
  <c r="D53" i="53" s="1"/>
  <c r="L53" i="36"/>
  <c r="D53" i="50" s="1"/>
  <c r="F53" i="36"/>
  <c r="D53" i="49" s="1"/>
  <c r="AV52" i="36"/>
  <c r="AP52" i="36"/>
  <c r="AD52" i="36"/>
  <c r="D52" i="51" s="1"/>
  <c r="X52" i="36"/>
  <c r="D52" i="52" s="1"/>
  <c r="R52" i="36"/>
  <c r="D52" i="53" s="1"/>
  <c r="L52" i="36"/>
  <c r="D52" i="50" s="1"/>
  <c r="F52" i="36"/>
  <c r="D52" i="49" s="1"/>
  <c r="AV51" i="36"/>
  <c r="AP51" i="36"/>
  <c r="AD51" i="36"/>
  <c r="D51" i="51" s="1"/>
  <c r="X51" i="36"/>
  <c r="D51" i="52" s="1"/>
  <c r="R51" i="36"/>
  <c r="D51" i="53" s="1"/>
  <c r="L51" i="36"/>
  <c r="D51" i="50" s="1"/>
  <c r="F51" i="36"/>
  <c r="D51" i="49" s="1"/>
  <c r="AV50" i="36"/>
  <c r="AP50" i="36"/>
  <c r="AD50" i="36"/>
  <c r="D50" i="51" s="1"/>
  <c r="X50" i="36"/>
  <c r="D50" i="52" s="1"/>
  <c r="R50" i="36"/>
  <c r="D50" i="53" s="1"/>
  <c r="L50" i="36"/>
  <c r="D50" i="50" s="1"/>
  <c r="F50" i="36"/>
  <c r="D50" i="49" s="1"/>
  <c r="AV49" i="36"/>
  <c r="AP49" i="36"/>
  <c r="AD49" i="36"/>
  <c r="D49" i="51" s="1"/>
  <c r="X49" i="36"/>
  <c r="D49" i="52" s="1"/>
  <c r="R49" i="36"/>
  <c r="D49" i="53" s="1"/>
  <c r="L49" i="36"/>
  <c r="D49" i="50" s="1"/>
  <c r="F49" i="36"/>
  <c r="D49" i="49" s="1"/>
  <c r="AV48" i="36"/>
  <c r="AP48" i="36"/>
  <c r="AD48" i="36"/>
  <c r="D48" i="51" s="1"/>
  <c r="X48" i="36"/>
  <c r="D48" i="52" s="1"/>
  <c r="R48" i="36"/>
  <c r="D48" i="53" s="1"/>
  <c r="L48" i="36"/>
  <c r="D48" i="50" s="1"/>
  <c r="F48" i="36"/>
  <c r="D48" i="49" s="1"/>
  <c r="AV47" i="36"/>
  <c r="AP47" i="36"/>
  <c r="AD47" i="36"/>
  <c r="D47" i="51" s="1"/>
  <c r="X47" i="36"/>
  <c r="D47" i="52" s="1"/>
  <c r="R47" i="36"/>
  <c r="D47" i="53" s="1"/>
  <c r="L47" i="36"/>
  <c r="D47" i="50" s="1"/>
  <c r="F47" i="36"/>
  <c r="D47" i="49" s="1"/>
  <c r="AV46" i="36"/>
  <c r="AP46" i="36"/>
  <c r="AD46" i="36"/>
  <c r="D46" i="51" s="1"/>
  <c r="X46" i="36"/>
  <c r="D46" i="52" s="1"/>
  <c r="R46" i="36"/>
  <c r="D46" i="53" s="1"/>
  <c r="L46" i="36"/>
  <c r="D46" i="50" s="1"/>
  <c r="F46" i="36"/>
  <c r="D46" i="49" s="1"/>
  <c r="AV45" i="36"/>
  <c r="AP45" i="36"/>
  <c r="AD45" i="36"/>
  <c r="D45" i="51" s="1"/>
  <c r="X45" i="36"/>
  <c r="D45" i="52" s="1"/>
  <c r="R45" i="36"/>
  <c r="D45" i="53" s="1"/>
  <c r="L45" i="36"/>
  <c r="D45" i="50" s="1"/>
  <c r="F45" i="36"/>
  <c r="D45" i="49" s="1"/>
  <c r="AV44" i="36"/>
  <c r="AP44" i="36"/>
  <c r="AD44" i="36"/>
  <c r="D44" i="51" s="1"/>
  <c r="X44" i="36"/>
  <c r="D44" i="52" s="1"/>
  <c r="R44" i="36"/>
  <c r="D44" i="53" s="1"/>
  <c r="L44" i="36"/>
  <c r="D44" i="50" s="1"/>
  <c r="F44" i="36"/>
  <c r="D44" i="49" s="1"/>
  <c r="AV43" i="36"/>
  <c r="AP43" i="36"/>
  <c r="AD43" i="36"/>
  <c r="D43" i="51" s="1"/>
  <c r="X43" i="36"/>
  <c r="D43" i="52" s="1"/>
  <c r="R43" i="36"/>
  <c r="D43" i="53" s="1"/>
  <c r="L43" i="36"/>
  <c r="D43" i="50" s="1"/>
  <c r="F43" i="36"/>
  <c r="D43" i="49" s="1"/>
  <c r="AV42" i="36"/>
  <c r="AP42" i="36"/>
  <c r="AD42" i="36"/>
  <c r="D42" i="51" s="1"/>
  <c r="X42" i="36"/>
  <c r="D42" i="52" s="1"/>
  <c r="D62" i="52" s="1"/>
  <c r="D65" i="52" s="1"/>
  <c r="R42" i="36"/>
  <c r="D42" i="53" s="1"/>
  <c r="L42" i="36"/>
  <c r="D42" i="50" s="1"/>
  <c r="F42" i="36"/>
  <c r="D42" i="49" s="1"/>
  <c r="AV61" i="33"/>
  <c r="AP61" i="33"/>
  <c r="AD61" i="33"/>
  <c r="C61" i="51" s="1"/>
  <c r="X61" i="33"/>
  <c r="C61" i="52" s="1"/>
  <c r="R61" i="33"/>
  <c r="C61" i="53" s="1"/>
  <c r="L61" i="33"/>
  <c r="C61" i="50" s="1"/>
  <c r="F61" i="33"/>
  <c r="C61" i="49" s="1"/>
  <c r="AV60" i="33"/>
  <c r="AP60" i="33"/>
  <c r="AD60" i="33"/>
  <c r="C60" i="51" s="1"/>
  <c r="X60" i="33"/>
  <c r="C60" i="52" s="1"/>
  <c r="R60" i="33"/>
  <c r="C60" i="53" s="1"/>
  <c r="L60" i="33"/>
  <c r="C60" i="50" s="1"/>
  <c r="F60" i="33"/>
  <c r="C60" i="49" s="1"/>
  <c r="AV59" i="33"/>
  <c r="AP59" i="33"/>
  <c r="AD59" i="33"/>
  <c r="C59" i="51" s="1"/>
  <c r="X59" i="33"/>
  <c r="C59" i="52" s="1"/>
  <c r="R59" i="33"/>
  <c r="C59" i="53" s="1"/>
  <c r="L59" i="33"/>
  <c r="C59" i="50" s="1"/>
  <c r="F59" i="33"/>
  <c r="C59" i="49" s="1"/>
  <c r="AV58" i="33"/>
  <c r="AP58" i="33"/>
  <c r="AD58" i="33"/>
  <c r="C58" i="51" s="1"/>
  <c r="X58" i="33"/>
  <c r="C58" i="52" s="1"/>
  <c r="R58" i="33"/>
  <c r="C58" i="53" s="1"/>
  <c r="L58" i="33"/>
  <c r="C58" i="50" s="1"/>
  <c r="F58" i="33"/>
  <c r="C58" i="49" s="1"/>
  <c r="AV57" i="33"/>
  <c r="AP57" i="33"/>
  <c r="AD57" i="33"/>
  <c r="C57" i="51" s="1"/>
  <c r="X57" i="33"/>
  <c r="C57" i="52" s="1"/>
  <c r="R57" i="33"/>
  <c r="C57" i="53" s="1"/>
  <c r="L57" i="33"/>
  <c r="C57" i="50" s="1"/>
  <c r="F57" i="33"/>
  <c r="C57" i="49" s="1"/>
  <c r="AV56" i="33"/>
  <c r="AP56" i="33"/>
  <c r="AD56" i="33"/>
  <c r="C56" i="51" s="1"/>
  <c r="X56" i="33"/>
  <c r="C56" i="52" s="1"/>
  <c r="R56" i="33"/>
  <c r="C56" i="53" s="1"/>
  <c r="L56" i="33"/>
  <c r="C56" i="50" s="1"/>
  <c r="F56" i="33"/>
  <c r="C56" i="49" s="1"/>
  <c r="AV55" i="33"/>
  <c r="AP55" i="33"/>
  <c r="AD55" i="33"/>
  <c r="C55" i="51" s="1"/>
  <c r="X55" i="33"/>
  <c r="C55" i="52" s="1"/>
  <c r="R55" i="33"/>
  <c r="C55" i="53" s="1"/>
  <c r="L55" i="33"/>
  <c r="C55" i="50" s="1"/>
  <c r="F55" i="33"/>
  <c r="C55" i="49" s="1"/>
  <c r="AV54" i="33"/>
  <c r="AP54" i="33"/>
  <c r="AD54" i="33"/>
  <c r="C54" i="51" s="1"/>
  <c r="X54" i="33"/>
  <c r="C54" i="52" s="1"/>
  <c r="R54" i="33"/>
  <c r="C54" i="53" s="1"/>
  <c r="L54" i="33"/>
  <c r="C54" i="50" s="1"/>
  <c r="F54" i="33"/>
  <c r="C54" i="49" s="1"/>
  <c r="AV53" i="33"/>
  <c r="AP53" i="33"/>
  <c r="AD53" i="33"/>
  <c r="C53" i="51" s="1"/>
  <c r="X53" i="33"/>
  <c r="C53" i="52" s="1"/>
  <c r="R53" i="33"/>
  <c r="C53" i="53" s="1"/>
  <c r="L53" i="33"/>
  <c r="C53" i="50" s="1"/>
  <c r="F53" i="33"/>
  <c r="C53" i="49" s="1"/>
  <c r="AV52" i="33"/>
  <c r="AP52" i="33"/>
  <c r="AD52" i="33"/>
  <c r="C52" i="51" s="1"/>
  <c r="X52" i="33"/>
  <c r="C52" i="52" s="1"/>
  <c r="R52" i="33"/>
  <c r="C52" i="53" s="1"/>
  <c r="L52" i="33"/>
  <c r="C52" i="50" s="1"/>
  <c r="F52" i="33"/>
  <c r="C52" i="49" s="1"/>
  <c r="AV51" i="33"/>
  <c r="AP51" i="33"/>
  <c r="AD51" i="33"/>
  <c r="C51" i="51" s="1"/>
  <c r="X51" i="33"/>
  <c r="C51" i="52" s="1"/>
  <c r="R51" i="33"/>
  <c r="C51" i="53" s="1"/>
  <c r="L51" i="33"/>
  <c r="C51" i="50" s="1"/>
  <c r="F51" i="33"/>
  <c r="C51" i="49" s="1"/>
  <c r="AV50" i="33"/>
  <c r="AP50" i="33"/>
  <c r="AD50" i="33"/>
  <c r="C50" i="51" s="1"/>
  <c r="X50" i="33"/>
  <c r="C50" i="52" s="1"/>
  <c r="R50" i="33"/>
  <c r="C50" i="53" s="1"/>
  <c r="L50" i="33"/>
  <c r="C50" i="50" s="1"/>
  <c r="F50" i="33"/>
  <c r="C50" i="49" s="1"/>
  <c r="AV49" i="33"/>
  <c r="AP49" i="33"/>
  <c r="AD49" i="33"/>
  <c r="C49" i="51" s="1"/>
  <c r="X49" i="33"/>
  <c r="C49" i="52" s="1"/>
  <c r="R49" i="33"/>
  <c r="C49" i="53" s="1"/>
  <c r="L49" i="33"/>
  <c r="C49" i="50" s="1"/>
  <c r="F49" i="33"/>
  <c r="C49" i="49" s="1"/>
  <c r="AV48" i="33"/>
  <c r="AP48" i="33"/>
  <c r="AD48" i="33"/>
  <c r="C48" i="51" s="1"/>
  <c r="X48" i="33"/>
  <c r="C48" i="52" s="1"/>
  <c r="R48" i="33"/>
  <c r="C48" i="53" s="1"/>
  <c r="L48" i="33"/>
  <c r="C48" i="50" s="1"/>
  <c r="F48" i="33"/>
  <c r="C48" i="49" s="1"/>
  <c r="AV47" i="33"/>
  <c r="AP47" i="33"/>
  <c r="AD47" i="33"/>
  <c r="C47" i="51" s="1"/>
  <c r="X47" i="33"/>
  <c r="C47" i="52" s="1"/>
  <c r="R47" i="33"/>
  <c r="C47" i="53" s="1"/>
  <c r="L47" i="33"/>
  <c r="C47" i="50" s="1"/>
  <c r="F47" i="33"/>
  <c r="C47" i="49" s="1"/>
  <c r="AV46" i="33"/>
  <c r="AP46" i="33"/>
  <c r="AD46" i="33"/>
  <c r="C46" i="51" s="1"/>
  <c r="X46" i="33"/>
  <c r="C46" i="52" s="1"/>
  <c r="R46" i="33"/>
  <c r="C46" i="53" s="1"/>
  <c r="L46" i="33"/>
  <c r="C46" i="50" s="1"/>
  <c r="F46" i="33"/>
  <c r="C46" i="49" s="1"/>
  <c r="AV45" i="33"/>
  <c r="AP45" i="33"/>
  <c r="AD45" i="33"/>
  <c r="C45" i="51" s="1"/>
  <c r="X45" i="33"/>
  <c r="C45" i="52" s="1"/>
  <c r="R45" i="33"/>
  <c r="C45" i="53" s="1"/>
  <c r="L45" i="33"/>
  <c r="C45" i="50" s="1"/>
  <c r="F45" i="33"/>
  <c r="C45" i="49" s="1"/>
  <c r="AV44" i="33"/>
  <c r="AP44" i="33"/>
  <c r="AD44" i="33"/>
  <c r="C44" i="51" s="1"/>
  <c r="X44" i="33"/>
  <c r="C44" i="52" s="1"/>
  <c r="R44" i="33"/>
  <c r="C44" i="53" s="1"/>
  <c r="L44" i="33"/>
  <c r="C44" i="50" s="1"/>
  <c r="F44" i="33"/>
  <c r="C44" i="49" s="1"/>
  <c r="AV43" i="33"/>
  <c r="AP43" i="33"/>
  <c r="AD43" i="33"/>
  <c r="C43" i="51" s="1"/>
  <c r="X43" i="33"/>
  <c r="C43" i="52" s="1"/>
  <c r="R43" i="33"/>
  <c r="C43" i="53" s="1"/>
  <c r="L43" i="33"/>
  <c r="C43" i="50" s="1"/>
  <c r="F43" i="33"/>
  <c r="C43" i="49" s="1"/>
  <c r="AV42" i="33"/>
  <c r="AP42" i="33"/>
  <c r="AD42" i="33"/>
  <c r="C42" i="51" s="1"/>
  <c r="X42" i="33"/>
  <c r="C42" i="52" s="1"/>
  <c r="R42" i="33"/>
  <c r="C42" i="53" s="1"/>
  <c r="L42" i="33"/>
  <c r="C42" i="50" s="1"/>
  <c r="F42" i="33"/>
  <c r="C42" i="49" s="1"/>
  <c r="C67" i="34"/>
  <c r="D67" i="34"/>
  <c r="E67" i="34"/>
  <c r="F67" i="34"/>
  <c r="G67" i="34"/>
  <c r="C68" i="34"/>
  <c r="D68" i="34"/>
  <c r="E68" i="34"/>
  <c r="F68" i="34"/>
  <c r="G68" i="34"/>
  <c r="H68" i="34"/>
  <c r="C69" i="34"/>
  <c r="D69" i="34"/>
  <c r="E69" i="34"/>
  <c r="F69" i="34"/>
  <c r="G69" i="34"/>
  <c r="H69" i="34"/>
  <c r="T14" i="42"/>
  <c r="Y14" i="42" s="1"/>
  <c r="N14" i="52" s="1"/>
  <c r="T13" i="42"/>
  <c r="Y13" i="42" s="1"/>
  <c r="N13" i="52" s="1"/>
  <c r="T12" i="42"/>
  <c r="Y12" i="42" s="1"/>
  <c r="N12" i="52" s="1"/>
  <c r="T11" i="42"/>
  <c r="T10" i="42"/>
  <c r="T9" i="42"/>
  <c r="T8" i="42"/>
  <c r="T7" i="42"/>
  <c r="T6" i="42"/>
  <c r="T14" i="38"/>
  <c r="Y14" i="38" s="1"/>
  <c r="M14" i="52" s="1"/>
  <c r="T13" i="38"/>
  <c r="Y13" i="38" s="1"/>
  <c r="M13" i="52" s="1"/>
  <c r="T12" i="38"/>
  <c r="Y12" i="38" s="1"/>
  <c r="M12" i="52" s="1"/>
  <c r="T11" i="38"/>
  <c r="T10" i="38"/>
  <c r="T9" i="38"/>
  <c r="T8" i="38"/>
  <c r="T7" i="38"/>
  <c r="T6" i="38"/>
  <c r="Y12" i="37"/>
  <c r="L12" i="52" s="1"/>
  <c r="T14" i="37"/>
  <c r="Y14" i="37" s="1"/>
  <c r="L14" i="52" s="1"/>
  <c r="T13" i="37"/>
  <c r="Y13" i="37" s="1"/>
  <c r="L13" i="52" s="1"/>
  <c r="T12" i="37"/>
  <c r="T11" i="37"/>
  <c r="T10" i="37"/>
  <c r="T9" i="37"/>
  <c r="T8" i="37"/>
  <c r="T7" i="37"/>
  <c r="T6" i="37"/>
  <c r="T14" i="36"/>
  <c r="Y14" i="36" s="1"/>
  <c r="K14" i="52" s="1"/>
  <c r="T13" i="36"/>
  <c r="Y13" i="36" s="1"/>
  <c r="K13" i="52" s="1"/>
  <c r="T12" i="36"/>
  <c r="Y12" i="36" s="1"/>
  <c r="K12" i="52" s="1"/>
  <c r="T11" i="36"/>
  <c r="T10" i="36"/>
  <c r="T9" i="36"/>
  <c r="T8" i="36"/>
  <c r="T7" i="36"/>
  <c r="T6" i="36"/>
  <c r="T14" i="33"/>
  <c r="Y14" i="33" s="1"/>
  <c r="J14" i="52" s="1"/>
  <c r="T13" i="33"/>
  <c r="Y13" i="33" s="1"/>
  <c r="J13" i="52" s="1"/>
  <c r="T12" i="33"/>
  <c r="Y12" i="33" s="1"/>
  <c r="J12" i="52" s="1"/>
  <c r="T11" i="33"/>
  <c r="T10" i="33"/>
  <c r="T9" i="33"/>
  <c r="T8" i="33"/>
  <c r="T7" i="33"/>
  <c r="T6" i="33"/>
  <c r="N9" i="42"/>
  <c r="N9" i="38"/>
  <c r="N9" i="37"/>
  <c r="R15" i="36"/>
  <c r="D15" i="53" s="1"/>
  <c r="R16" i="36"/>
  <c r="D16" i="53" s="1"/>
  <c r="R17" i="36"/>
  <c r="D17" i="53" s="1"/>
  <c r="R18" i="36"/>
  <c r="D18" i="53" s="1"/>
  <c r="N9" i="36"/>
  <c r="N9" i="33"/>
  <c r="AV143" i="42"/>
  <c r="AP143" i="42"/>
  <c r="AD143" i="42"/>
  <c r="G143" i="51" s="1"/>
  <c r="X143" i="42"/>
  <c r="G143" i="52" s="1"/>
  <c r="R143" i="42"/>
  <c r="G143" i="53" s="1"/>
  <c r="L143" i="42"/>
  <c r="G143" i="50" s="1"/>
  <c r="F143" i="42"/>
  <c r="G143" i="49" s="1"/>
  <c r="AV143" i="38"/>
  <c r="AP143" i="38"/>
  <c r="AD143" i="38"/>
  <c r="F143" i="51" s="1"/>
  <c r="X143" i="38"/>
  <c r="F143" i="52" s="1"/>
  <c r="R143" i="38"/>
  <c r="F143" i="53" s="1"/>
  <c r="L143" i="38"/>
  <c r="F143" i="50" s="1"/>
  <c r="F143" i="38"/>
  <c r="F143" i="49" s="1"/>
  <c r="AV143" i="37"/>
  <c r="AP143" i="37"/>
  <c r="AD143" i="37"/>
  <c r="E143" i="51" s="1"/>
  <c r="X143" i="37"/>
  <c r="E143" i="52" s="1"/>
  <c r="R143" i="37"/>
  <c r="E143" i="53" s="1"/>
  <c r="L143" i="37"/>
  <c r="E143" i="50" s="1"/>
  <c r="F143" i="37"/>
  <c r="E143" i="49" s="1"/>
  <c r="AV143" i="36"/>
  <c r="AP143" i="36"/>
  <c r="AD143" i="36"/>
  <c r="D143" i="51" s="1"/>
  <c r="X143" i="36"/>
  <c r="D143" i="52" s="1"/>
  <c r="R143" i="36"/>
  <c r="D143" i="53" s="1"/>
  <c r="L143" i="36"/>
  <c r="D143" i="50" s="1"/>
  <c r="F143" i="36"/>
  <c r="D143" i="49" s="1"/>
  <c r="F65" i="54" l="1"/>
  <c r="G65" i="54" s="1"/>
  <c r="H65" i="54" s="1"/>
  <c r="I65" i="54" s="1"/>
  <c r="J65" i="54" s="1"/>
  <c r="K65" i="54" s="1"/>
  <c r="L65" i="54" s="1"/>
  <c r="M65" i="54" s="1"/>
  <c r="N65" i="54" s="1"/>
  <c r="O65" i="54" s="1"/>
  <c r="P65" i="54" s="1"/>
  <c r="F38" i="54"/>
  <c r="G38" i="54" s="1"/>
  <c r="H38" i="54" s="1"/>
  <c r="I38" i="54" s="1"/>
  <c r="J38" i="54" s="1"/>
  <c r="K38" i="54" s="1"/>
  <c r="L38" i="54" s="1"/>
  <c r="M38" i="54" s="1"/>
  <c r="N38" i="54" s="1"/>
  <c r="O38" i="54" s="1"/>
  <c r="P38" i="54" s="1"/>
  <c r="D38" i="54"/>
  <c r="C38" i="54" s="1"/>
  <c r="F88" i="54"/>
  <c r="G88" i="54" s="1"/>
  <c r="H88" i="54" s="1"/>
  <c r="I88" i="54" s="1"/>
  <c r="J88" i="54" s="1"/>
  <c r="K88" i="54" s="1"/>
  <c r="L88" i="54" s="1"/>
  <c r="M88" i="54" s="1"/>
  <c r="N88" i="54" s="1"/>
  <c r="O88" i="54" s="1"/>
  <c r="P88" i="54" s="1"/>
  <c r="D88" i="54"/>
  <c r="C88" i="54" s="1"/>
  <c r="F31" i="54"/>
  <c r="G31" i="54" s="1"/>
  <c r="H31" i="54" s="1"/>
  <c r="I31" i="54" s="1"/>
  <c r="J31" i="54" s="1"/>
  <c r="K31" i="54" s="1"/>
  <c r="L31" i="54" s="1"/>
  <c r="M31" i="54" s="1"/>
  <c r="N31" i="54" s="1"/>
  <c r="O31" i="54" s="1"/>
  <c r="P31" i="54" s="1"/>
  <c r="F33" i="54"/>
  <c r="G33" i="54" s="1"/>
  <c r="H33" i="54" s="1"/>
  <c r="I33" i="54" s="1"/>
  <c r="J33" i="54" s="1"/>
  <c r="K33" i="54" s="1"/>
  <c r="L33" i="54" s="1"/>
  <c r="M33" i="54" s="1"/>
  <c r="N33" i="54" s="1"/>
  <c r="O33" i="54" s="1"/>
  <c r="P33" i="54" s="1"/>
  <c r="F75" i="54"/>
  <c r="G75" i="54" s="1"/>
  <c r="H75" i="54" s="1"/>
  <c r="I75" i="54" s="1"/>
  <c r="J75" i="54" s="1"/>
  <c r="K75" i="54" s="1"/>
  <c r="L75" i="54" s="1"/>
  <c r="M75" i="54" s="1"/>
  <c r="N75" i="54" s="1"/>
  <c r="O75" i="54" s="1"/>
  <c r="P75" i="54" s="1"/>
  <c r="D75" i="54"/>
  <c r="C75" i="54" s="1"/>
  <c r="F34" i="54"/>
  <c r="G34" i="54" s="1"/>
  <c r="H34" i="54" s="1"/>
  <c r="I34" i="54" s="1"/>
  <c r="J34" i="54" s="1"/>
  <c r="K34" i="54" s="1"/>
  <c r="L34" i="54" s="1"/>
  <c r="M34" i="54" s="1"/>
  <c r="N34" i="54" s="1"/>
  <c r="O34" i="54" s="1"/>
  <c r="P34" i="54" s="1"/>
  <c r="D34" i="54"/>
  <c r="C34" i="54" s="1"/>
  <c r="F35" i="54"/>
  <c r="G35" i="54" s="1"/>
  <c r="H35" i="54" s="1"/>
  <c r="I35" i="54" s="1"/>
  <c r="J35" i="54" s="1"/>
  <c r="K35" i="54" s="1"/>
  <c r="L35" i="54" s="1"/>
  <c r="M35" i="54" s="1"/>
  <c r="N35" i="54" s="1"/>
  <c r="O35" i="54" s="1"/>
  <c r="P35" i="54" s="1"/>
  <c r="F77" i="54"/>
  <c r="G77" i="54" s="1"/>
  <c r="H77" i="54" s="1"/>
  <c r="I77" i="54" s="1"/>
  <c r="J77" i="54" s="1"/>
  <c r="K77" i="54" s="1"/>
  <c r="L77" i="54" s="1"/>
  <c r="M77" i="54" s="1"/>
  <c r="N77" i="54" s="1"/>
  <c r="O77" i="54" s="1"/>
  <c r="P77" i="54" s="1"/>
  <c r="AF111" i="42"/>
  <c r="AJ111" i="42" s="1"/>
  <c r="G111" i="47" s="1"/>
  <c r="AJ111" i="38"/>
  <c r="F111" i="47" s="1"/>
  <c r="F22" i="54"/>
  <c r="G22" i="54" s="1"/>
  <c r="H22" i="54" s="1"/>
  <c r="I22" i="54" s="1"/>
  <c r="J22" i="54" s="1"/>
  <c r="K22" i="54" s="1"/>
  <c r="L22" i="54" s="1"/>
  <c r="M22" i="54" s="1"/>
  <c r="N22" i="54" s="1"/>
  <c r="O22" i="54" s="1"/>
  <c r="P22" i="54" s="1"/>
  <c r="F68" i="54"/>
  <c r="E68" i="54"/>
  <c r="G94" i="54"/>
  <c r="H94" i="54" s="1"/>
  <c r="I94" i="54" s="1"/>
  <c r="J94" i="54" s="1"/>
  <c r="K94" i="54" s="1"/>
  <c r="L94" i="54" s="1"/>
  <c r="M94" i="54" s="1"/>
  <c r="N94" i="54" s="1"/>
  <c r="O94" i="54" s="1"/>
  <c r="P94" i="54" s="1"/>
  <c r="AJ122" i="36"/>
  <c r="D122" i="47" s="1"/>
  <c r="AY181" i="36"/>
  <c r="BB188" i="36"/>
  <c r="AI108" i="37"/>
  <c r="AI116" i="37" s="1"/>
  <c r="AY205" i="37"/>
  <c r="AJ123" i="38"/>
  <c r="F123" i="47" s="1"/>
  <c r="AJ121" i="42"/>
  <c r="G121" i="47" s="1"/>
  <c r="AJ124" i="42"/>
  <c r="G124" i="47" s="1"/>
  <c r="D7" i="47"/>
  <c r="E39" i="40" s="1"/>
  <c r="G84" i="47"/>
  <c r="F72" i="54"/>
  <c r="G72" i="54" s="1"/>
  <c r="H72" i="54" s="1"/>
  <c r="I72" i="54" s="1"/>
  <c r="J72" i="54" s="1"/>
  <c r="K72" i="54" s="1"/>
  <c r="L72" i="54" s="1"/>
  <c r="M72" i="54" s="1"/>
  <c r="N72" i="54" s="1"/>
  <c r="O72" i="54" s="1"/>
  <c r="P72" i="54" s="1"/>
  <c r="D72" i="54"/>
  <c r="C72" i="54" s="1"/>
  <c r="D73" i="47"/>
  <c r="D32" i="44"/>
  <c r="F39" i="54"/>
  <c r="G39" i="54" s="1"/>
  <c r="H39" i="54" s="1"/>
  <c r="I39" i="54" s="1"/>
  <c r="J39" i="54" s="1"/>
  <c r="K39" i="54" s="1"/>
  <c r="L39" i="54" s="1"/>
  <c r="M39" i="54" s="1"/>
  <c r="N39" i="54" s="1"/>
  <c r="O39" i="54" s="1"/>
  <c r="P39" i="54" s="1"/>
  <c r="D39" i="54"/>
  <c r="C39" i="54" s="1"/>
  <c r="F50" i="54"/>
  <c r="G50" i="54" s="1"/>
  <c r="H50" i="54" s="1"/>
  <c r="I50" i="54" s="1"/>
  <c r="J50" i="54" s="1"/>
  <c r="K50" i="54" s="1"/>
  <c r="L50" i="54" s="1"/>
  <c r="M50" i="54" s="1"/>
  <c r="N50" i="54" s="1"/>
  <c r="O50" i="54" s="1"/>
  <c r="P50" i="54" s="1"/>
  <c r="F89" i="54"/>
  <c r="G89" i="54" s="1"/>
  <c r="H89" i="54" s="1"/>
  <c r="I89" i="54" s="1"/>
  <c r="J89" i="54" s="1"/>
  <c r="K89" i="54" s="1"/>
  <c r="L89" i="54" s="1"/>
  <c r="M89" i="54" s="1"/>
  <c r="N89" i="54" s="1"/>
  <c r="O89" i="54" s="1"/>
  <c r="P89" i="54" s="1"/>
  <c r="D89" i="54"/>
  <c r="C89" i="54" s="1"/>
  <c r="G95" i="54"/>
  <c r="H95" i="54" s="1"/>
  <c r="I95" i="54" s="1"/>
  <c r="J95" i="54" s="1"/>
  <c r="K95" i="54" s="1"/>
  <c r="L95" i="54" s="1"/>
  <c r="M95" i="54" s="1"/>
  <c r="N95" i="54" s="1"/>
  <c r="O95" i="54" s="1"/>
  <c r="P95" i="54" s="1"/>
  <c r="BB42" i="33"/>
  <c r="AZ181" i="36"/>
  <c r="BB218" i="37"/>
  <c r="F6" i="47"/>
  <c r="G38" i="40" s="1"/>
  <c r="H32" i="44"/>
  <c r="C84" i="47"/>
  <c r="B14" i="54" s="1"/>
  <c r="E14" i="54" s="1"/>
  <c r="F25" i="54"/>
  <c r="G25" i="54" s="1"/>
  <c r="H25" i="54" s="1"/>
  <c r="I25" i="54" s="1"/>
  <c r="J25" i="54" s="1"/>
  <c r="K25" i="54" s="1"/>
  <c r="L25" i="54" s="1"/>
  <c r="M25" i="54" s="1"/>
  <c r="N25" i="54" s="1"/>
  <c r="O25" i="54" s="1"/>
  <c r="P25" i="54" s="1"/>
  <c r="F51" i="54"/>
  <c r="G51" i="54" s="1"/>
  <c r="H51" i="54" s="1"/>
  <c r="I51" i="54" s="1"/>
  <c r="J51" i="54" s="1"/>
  <c r="K51" i="54" s="1"/>
  <c r="L51" i="54" s="1"/>
  <c r="M51" i="54" s="1"/>
  <c r="N51" i="54" s="1"/>
  <c r="O51" i="54" s="1"/>
  <c r="P51" i="54" s="1"/>
  <c r="D51" i="54"/>
  <c r="C51" i="54" s="1"/>
  <c r="F74" i="54"/>
  <c r="G74" i="54" s="1"/>
  <c r="H74" i="54" s="1"/>
  <c r="I74" i="54" s="1"/>
  <c r="J74" i="54" s="1"/>
  <c r="K74" i="54" s="1"/>
  <c r="L74" i="54" s="1"/>
  <c r="M74" i="54" s="1"/>
  <c r="N74" i="54" s="1"/>
  <c r="O74" i="54" s="1"/>
  <c r="P74" i="54" s="1"/>
  <c r="G81" i="54"/>
  <c r="L81" i="54"/>
  <c r="F90" i="54"/>
  <c r="G90" i="54" s="1"/>
  <c r="H90" i="54" s="1"/>
  <c r="I90" i="54" s="1"/>
  <c r="J90" i="54" s="1"/>
  <c r="K90" i="54" s="1"/>
  <c r="L90" i="54" s="1"/>
  <c r="M90" i="54" s="1"/>
  <c r="N90" i="54" s="1"/>
  <c r="O90" i="54" s="1"/>
  <c r="P90" i="54" s="1"/>
  <c r="E96" i="54"/>
  <c r="J96" i="54"/>
  <c r="AJ120" i="36"/>
  <c r="D120" i="47" s="1"/>
  <c r="BB171" i="36"/>
  <c r="AZ181" i="37"/>
  <c r="D83" i="47"/>
  <c r="F62" i="52"/>
  <c r="F65" i="52" s="1"/>
  <c r="F27" i="54"/>
  <c r="G27" i="54" s="1"/>
  <c r="H27" i="54" s="1"/>
  <c r="I27" i="54" s="1"/>
  <c r="J27" i="54" s="1"/>
  <c r="K27" i="54" s="1"/>
  <c r="L27" i="54" s="1"/>
  <c r="M27" i="54" s="1"/>
  <c r="N27" i="54" s="1"/>
  <c r="O27" i="54" s="1"/>
  <c r="P27" i="54" s="1"/>
  <c r="F52" i="54"/>
  <c r="G52" i="54" s="1"/>
  <c r="H52" i="54" s="1"/>
  <c r="I52" i="54" s="1"/>
  <c r="J52" i="54" s="1"/>
  <c r="K52" i="54" s="1"/>
  <c r="L52" i="54" s="1"/>
  <c r="M52" i="54" s="1"/>
  <c r="N52" i="54" s="1"/>
  <c r="O52" i="54" s="1"/>
  <c r="P52" i="54" s="1"/>
  <c r="D52" i="54"/>
  <c r="C52" i="54" s="1"/>
  <c r="G82" i="54"/>
  <c r="L82" i="54"/>
  <c r="F91" i="54"/>
  <c r="G91" i="54" s="1"/>
  <c r="H91" i="54" s="1"/>
  <c r="I91" i="54" s="1"/>
  <c r="J91" i="54" s="1"/>
  <c r="K91" i="54" s="1"/>
  <c r="L91" i="54" s="1"/>
  <c r="M91" i="54" s="1"/>
  <c r="N91" i="54" s="1"/>
  <c r="O91" i="54" s="1"/>
  <c r="P91" i="54" s="1"/>
  <c r="G97" i="54"/>
  <c r="H97" i="54" s="1"/>
  <c r="I97" i="54" s="1"/>
  <c r="J97" i="54" s="1"/>
  <c r="K97" i="54" s="1"/>
  <c r="L97" i="54" s="1"/>
  <c r="M97" i="54" s="1"/>
  <c r="N97" i="54" s="1"/>
  <c r="O97" i="54" s="1"/>
  <c r="P97" i="54" s="1"/>
  <c r="BB143" i="37"/>
  <c r="BA176" i="38"/>
  <c r="AZ181" i="42"/>
  <c r="D152" i="47"/>
  <c r="D168" i="47" s="1"/>
  <c r="G82" i="47"/>
  <c r="C62" i="53"/>
  <c r="C65" i="53" s="1"/>
  <c r="F28" i="54"/>
  <c r="G28" i="54" s="1"/>
  <c r="H28" i="54" s="1"/>
  <c r="I28" i="54" s="1"/>
  <c r="J28" i="54" s="1"/>
  <c r="K28" i="54" s="1"/>
  <c r="L28" i="54" s="1"/>
  <c r="M28" i="54" s="1"/>
  <c r="N28" i="54" s="1"/>
  <c r="O28" i="54" s="1"/>
  <c r="P28" i="54" s="1"/>
  <c r="F61" i="54"/>
  <c r="G61" i="54" s="1"/>
  <c r="H61" i="54" s="1"/>
  <c r="I61" i="54" s="1"/>
  <c r="J61" i="54" s="1"/>
  <c r="K61" i="54" s="1"/>
  <c r="L61" i="54" s="1"/>
  <c r="M61" i="54" s="1"/>
  <c r="N61" i="54" s="1"/>
  <c r="O61" i="54" s="1"/>
  <c r="P61" i="54" s="1"/>
  <c r="F76" i="54"/>
  <c r="G76" i="54" s="1"/>
  <c r="H76" i="54" s="1"/>
  <c r="I76" i="54" s="1"/>
  <c r="J76" i="54" s="1"/>
  <c r="K76" i="54" s="1"/>
  <c r="L76" i="54" s="1"/>
  <c r="M76" i="54" s="1"/>
  <c r="N76" i="54" s="1"/>
  <c r="O76" i="54" s="1"/>
  <c r="P76" i="54" s="1"/>
  <c r="D76" i="54"/>
  <c r="C76" i="54" s="1"/>
  <c r="G99" i="54"/>
  <c r="H99" i="54" s="1"/>
  <c r="I99" i="54" s="1"/>
  <c r="J99" i="54" s="1"/>
  <c r="K99" i="54" s="1"/>
  <c r="L99" i="54" s="1"/>
  <c r="M99" i="54" s="1"/>
  <c r="N99" i="54" s="1"/>
  <c r="O99" i="54" s="1"/>
  <c r="P99" i="54" s="1"/>
  <c r="F32" i="44"/>
  <c r="AJ119" i="38"/>
  <c r="F119" i="47" s="1"/>
  <c r="BB188" i="38"/>
  <c r="G15" i="47"/>
  <c r="H47" i="40" s="1"/>
  <c r="C62" i="50"/>
  <c r="C65" i="50" s="1"/>
  <c r="F19" i="54"/>
  <c r="F30" i="54"/>
  <c r="G30" i="54" s="1"/>
  <c r="H30" i="54" s="1"/>
  <c r="I30" i="54" s="1"/>
  <c r="J30" i="54" s="1"/>
  <c r="K30" i="54" s="1"/>
  <c r="L30" i="54" s="1"/>
  <c r="M30" i="54" s="1"/>
  <c r="N30" i="54" s="1"/>
  <c r="O30" i="54" s="1"/>
  <c r="P30" i="54" s="1"/>
  <c r="F58" i="54"/>
  <c r="G58" i="54" s="1"/>
  <c r="H58" i="54" s="1"/>
  <c r="I58" i="54" s="1"/>
  <c r="J58" i="54" s="1"/>
  <c r="K58" i="54" s="1"/>
  <c r="L58" i="54" s="1"/>
  <c r="M58" i="54" s="1"/>
  <c r="N58" i="54" s="1"/>
  <c r="O58" i="54" s="1"/>
  <c r="P58" i="54" s="1"/>
  <c r="F62" i="54"/>
  <c r="G62" i="54" s="1"/>
  <c r="H62" i="54" s="1"/>
  <c r="I62" i="54" s="1"/>
  <c r="J62" i="54" s="1"/>
  <c r="K62" i="54" s="1"/>
  <c r="L62" i="54" s="1"/>
  <c r="M62" i="54" s="1"/>
  <c r="N62" i="54" s="1"/>
  <c r="O62" i="54" s="1"/>
  <c r="P62" i="54" s="1"/>
  <c r="D62" i="54"/>
  <c r="C62" i="54" s="1"/>
  <c r="G100" i="54"/>
  <c r="H100" i="54" s="1"/>
  <c r="I100" i="54" s="1"/>
  <c r="J100" i="54" s="1"/>
  <c r="K100" i="54" s="1"/>
  <c r="L100" i="54" s="1"/>
  <c r="M100" i="54" s="1"/>
  <c r="N100" i="54" s="1"/>
  <c r="O100" i="54" s="1"/>
  <c r="P100" i="54" s="1"/>
  <c r="BB211" i="37"/>
  <c r="BB213" i="37"/>
  <c r="BB215" i="37"/>
  <c r="BB217" i="37"/>
  <c r="BB184" i="38"/>
  <c r="E14" i="47"/>
  <c r="F46" i="40" s="1"/>
  <c r="F20" i="54"/>
  <c r="G20" i="54" s="1"/>
  <c r="H20" i="54" s="1"/>
  <c r="I20" i="54" s="1"/>
  <c r="J20" i="54" s="1"/>
  <c r="K20" i="54" s="1"/>
  <c r="L20" i="54" s="1"/>
  <c r="M20" i="54" s="1"/>
  <c r="N20" i="54" s="1"/>
  <c r="O20" i="54" s="1"/>
  <c r="P20" i="54" s="1"/>
  <c r="F78" i="54"/>
  <c r="G78" i="54" s="1"/>
  <c r="H78" i="54" s="1"/>
  <c r="I78" i="54" s="1"/>
  <c r="J78" i="54" s="1"/>
  <c r="K78" i="54" s="1"/>
  <c r="L78" i="54" s="1"/>
  <c r="M78" i="54" s="1"/>
  <c r="N78" i="54" s="1"/>
  <c r="O78" i="54" s="1"/>
  <c r="P78" i="54" s="1"/>
  <c r="G101" i="54"/>
  <c r="H101" i="54" s="1"/>
  <c r="I101" i="54" s="1"/>
  <c r="J101" i="54" s="1"/>
  <c r="K101" i="54" s="1"/>
  <c r="L101" i="54" s="1"/>
  <c r="M101" i="54" s="1"/>
  <c r="N101" i="54" s="1"/>
  <c r="O101" i="54" s="1"/>
  <c r="P101" i="54" s="1"/>
  <c r="AX106" i="33"/>
  <c r="E32" i="44"/>
  <c r="AG128" i="36"/>
  <c r="AZ176" i="37"/>
  <c r="G32" i="44"/>
  <c r="AJ123" i="42"/>
  <c r="G123" i="47" s="1"/>
  <c r="D11" i="47"/>
  <c r="E43" i="40" s="1"/>
  <c r="F40" i="54"/>
  <c r="G40" i="54" s="1"/>
  <c r="H40" i="54" s="1"/>
  <c r="I40" i="54" s="1"/>
  <c r="J40" i="54" s="1"/>
  <c r="K40" i="54" s="1"/>
  <c r="L40" i="54" s="1"/>
  <c r="M40" i="54" s="1"/>
  <c r="N40" i="54" s="1"/>
  <c r="O40" i="54" s="1"/>
  <c r="P40" i="54" s="1"/>
  <c r="D40" i="54"/>
  <c r="C40" i="54" s="1"/>
  <c r="E62" i="52"/>
  <c r="E65" i="52" s="1"/>
  <c r="F37" i="54"/>
  <c r="G37" i="54" s="1"/>
  <c r="H37" i="54" s="1"/>
  <c r="I37" i="54" s="1"/>
  <c r="J37" i="54" s="1"/>
  <c r="K37" i="54" s="1"/>
  <c r="L37" i="54" s="1"/>
  <c r="M37" i="54" s="1"/>
  <c r="N37" i="54" s="1"/>
  <c r="O37" i="54" s="1"/>
  <c r="P37" i="54" s="1"/>
  <c r="F87" i="54"/>
  <c r="G87" i="54" s="1"/>
  <c r="H87" i="54" s="1"/>
  <c r="I87" i="54" s="1"/>
  <c r="J87" i="54" s="1"/>
  <c r="K87" i="54" s="1"/>
  <c r="L87" i="54" s="1"/>
  <c r="M87" i="54" s="1"/>
  <c r="N87" i="54" s="1"/>
  <c r="O87" i="54" s="1"/>
  <c r="P87" i="54" s="1"/>
  <c r="D87" i="54"/>
  <c r="C87" i="54" s="1"/>
  <c r="G93" i="54"/>
  <c r="H93" i="54" s="1"/>
  <c r="I93" i="54" s="1"/>
  <c r="J93" i="54" s="1"/>
  <c r="K93" i="54" s="1"/>
  <c r="L93" i="54" s="1"/>
  <c r="M93" i="54" s="1"/>
  <c r="N93" i="54" s="1"/>
  <c r="O93" i="54" s="1"/>
  <c r="P93" i="54" s="1"/>
  <c r="D93" i="54"/>
  <c r="C93" i="54" s="1"/>
  <c r="G102" i="54"/>
  <c r="H102" i="54" s="1"/>
  <c r="I102" i="54" s="1"/>
  <c r="J102" i="54" s="1"/>
  <c r="K102" i="54" s="1"/>
  <c r="L102" i="54" s="1"/>
  <c r="M102" i="54" s="1"/>
  <c r="N102" i="54" s="1"/>
  <c r="O102" i="54" s="1"/>
  <c r="P102" i="54" s="1"/>
  <c r="D102" i="54"/>
  <c r="C102" i="54" s="1"/>
  <c r="AF19" i="36"/>
  <c r="AG23" i="37" s="1"/>
  <c r="AG128" i="37"/>
  <c r="BB160" i="42"/>
  <c r="G7" i="47"/>
  <c r="H39" i="40" s="1"/>
  <c r="D218" i="47"/>
  <c r="AH66" i="36"/>
  <c r="AH133" i="36" s="1"/>
  <c r="O73" i="54"/>
  <c r="P92" i="54"/>
  <c r="AZ62" i="42"/>
  <c r="AZ65" i="42" s="1"/>
  <c r="E38" i="44"/>
  <c r="D62" i="47"/>
  <c r="D44" i="45"/>
  <c r="D39" i="44"/>
  <c r="E40" i="45"/>
  <c r="E35" i="44"/>
  <c r="AK10" i="36"/>
  <c r="K10" i="47" s="1"/>
  <c r="D10" i="47"/>
  <c r="E42" i="40" s="1"/>
  <c r="AK9" i="37"/>
  <c r="L9" i="47" s="1"/>
  <c r="E9" i="47"/>
  <c r="F41" i="40" s="1"/>
  <c r="F33" i="44"/>
  <c r="F37" i="45"/>
  <c r="C9" i="47"/>
  <c r="D41" i="40" s="1"/>
  <c r="AK9" i="33"/>
  <c r="J9" i="47" s="1"/>
  <c r="E44" i="45"/>
  <c r="E39" i="44"/>
  <c r="AK10" i="37"/>
  <c r="L10" i="47" s="1"/>
  <c r="E10" i="47"/>
  <c r="F42" i="40" s="1"/>
  <c r="H35" i="44"/>
  <c r="H40" i="45"/>
  <c r="D26" i="44"/>
  <c r="D27" i="45"/>
  <c r="AG24" i="37"/>
  <c r="AI76" i="36"/>
  <c r="AG79" i="37"/>
  <c r="AI183" i="36"/>
  <c r="AJ183" i="36" s="1"/>
  <c r="D183" i="47" s="1"/>
  <c r="AF175" i="36"/>
  <c r="AF161" i="36"/>
  <c r="AJ161" i="36" s="1"/>
  <c r="D161" i="47" s="1"/>
  <c r="AF147" i="36"/>
  <c r="AF146" i="36"/>
  <c r="E42" i="45"/>
  <c r="E37" i="44"/>
  <c r="F26" i="44"/>
  <c r="F27" i="45"/>
  <c r="F13" i="47"/>
  <c r="G45" i="40" s="1"/>
  <c r="AK13" i="38"/>
  <c r="M13" i="47" s="1"/>
  <c r="G27" i="44"/>
  <c r="G28" i="45"/>
  <c r="G33" i="45"/>
  <c r="G34" i="44"/>
  <c r="E31" i="44"/>
  <c r="E35" i="45"/>
  <c r="E27" i="44"/>
  <c r="E28" i="45"/>
  <c r="E34" i="44"/>
  <c r="E33" i="45"/>
  <c r="F41" i="45"/>
  <c r="F36" i="44"/>
  <c r="G37" i="44"/>
  <c r="G42" i="45"/>
  <c r="AK12" i="42"/>
  <c r="N12" i="47" s="1"/>
  <c r="G12" i="47"/>
  <c r="H44" i="40" s="1"/>
  <c r="H26" i="44"/>
  <c r="H27" i="45"/>
  <c r="H42" i="45"/>
  <c r="F37" i="44"/>
  <c r="F42" i="45"/>
  <c r="AK12" i="38"/>
  <c r="M12" i="47" s="1"/>
  <c r="F12" i="47"/>
  <c r="G44" i="40" s="1"/>
  <c r="D35" i="45"/>
  <c r="D35" i="44"/>
  <c r="D40" i="45"/>
  <c r="D33" i="45"/>
  <c r="D34" i="44"/>
  <c r="AK7" i="33"/>
  <c r="J7" i="47" s="1"/>
  <c r="C7" i="47"/>
  <c r="D39" i="40" s="1"/>
  <c r="C11" i="47"/>
  <c r="D43" i="40" s="1"/>
  <c r="AK11" i="33"/>
  <c r="J11" i="47" s="1"/>
  <c r="E27" i="45"/>
  <c r="E26" i="44"/>
  <c r="F40" i="45"/>
  <c r="F35" i="44"/>
  <c r="AK11" i="37"/>
  <c r="L11" i="47" s="1"/>
  <c r="E11" i="47"/>
  <c r="F43" i="40" s="1"/>
  <c r="F10" i="47"/>
  <c r="G42" i="40" s="1"/>
  <c r="AK10" i="38"/>
  <c r="M10" i="47" s="1"/>
  <c r="G41" i="45"/>
  <c r="G36" i="44"/>
  <c r="AK8" i="42"/>
  <c r="N8" i="47" s="1"/>
  <c r="G8" i="47"/>
  <c r="H40" i="40" s="1"/>
  <c r="D62" i="51"/>
  <c r="D65" i="51" s="1"/>
  <c r="F62" i="51"/>
  <c r="F65" i="51" s="1"/>
  <c r="AG128" i="38"/>
  <c r="AG64" i="42"/>
  <c r="AG135" i="42"/>
  <c r="AG137" i="42"/>
  <c r="AG132" i="42"/>
  <c r="AG108" i="42"/>
  <c r="AK16" i="42"/>
  <c r="N16" i="47" s="1"/>
  <c r="F9" i="47"/>
  <c r="G41" i="40" s="1"/>
  <c r="C8" i="47"/>
  <c r="D40" i="40" s="1"/>
  <c r="E82" i="47"/>
  <c r="C62" i="52"/>
  <c r="C65" i="52" s="1"/>
  <c r="D62" i="49"/>
  <c r="D65" i="49" s="1"/>
  <c r="D62" i="50"/>
  <c r="D65" i="50" s="1"/>
  <c r="E62" i="49"/>
  <c r="E65" i="49" s="1"/>
  <c r="E62" i="50"/>
  <c r="E65" i="50" s="1"/>
  <c r="F62" i="49"/>
  <c r="F65" i="49" s="1"/>
  <c r="F62" i="50"/>
  <c r="F65" i="50" s="1"/>
  <c r="G62" i="50"/>
  <c r="G65" i="50" s="1"/>
  <c r="AJ2" i="33"/>
  <c r="C2" i="47" s="1"/>
  <c r="AH64" i="33"/>
  <c r="AH66" i="33" s="1"/>
  <c r="AH137" i="33"/>
  <c r="AK10" i="33"/>
  <c r="J10" i="47" s="1"/>
  <c r="AK12" i="33"/>
  <c r="J12" i="47" s="1"/>
  <c r="BB58" i="33"/>
  <c r="BB50" i="33"/>
  <c r="BB46" i="33"/>
  <c r="AF5" i="36"/>
  <c r="AJ12" i="36"/>
  <c r="AI137" i="36"/>
  <c r="AI132" i="36"/>
  <c r="AI135" i="36"/>
  <c r="E36" i="45"/>
  <c r="AJ121" i="36"/>
  <c r="D121" i="47" s="1"/>
  <c r="AJ124" i="36"/>
  <c r="D124" i="47" s="1"/>
  <c r="D3" i="53"/>
  <c r="D3" i="52"/>
  <c r="D3" i="51"/>
  <c r="D3" i="50"/>
  <c r="D3" i="49"/>
  <c r="BB43" i="36"/>
  <c r="BB45" i="36"/>
  <c r="BB46" i="36"/>
  <c r="BB47" i="36"/>
  <c r="BB48" i="36"/>
  <c r="BB52" i="36"/>
  <c r="BB53" i="36"/>
  <c r="BB54" i="36"/>
  <c r="BB55" i="36"/>
  <c r="BB59" i="36"/>
  <c r="BB61" i="36"/>
  <c r="BB162" i="36"/>
  <c r="BB184" i="36"/>
  <c r="AG135" i="37"/>
  <c r="AG137" i="37"/>
  <c r="AG132" i="37"/>
  <c r="AG108" i="37"/>
  <c r="BB43" i="37"/>
  <c r="BB46" i="37"/>
  <c r="BB47" i="37"/>
  <c r="BB48" i="37"/>
  <c r="BB52" i="37"/>
  <c r="BB53" i="37"/>
  <c r="BB54" i="37"/>
  <c r="BB55" i="37"/>
  <c r="BB57" i="37"/>
  <c r="BB59" i="37"/>
  <c r="BB61" i="37"/>
  <c r="BB83" i="37"/>
  <c r="BB160" i="37"/>
  <c r="BB162" i="37"/>
  <c r="BA176" i="37"/>
  <c r="AY192" i="37"/>
  <c r="AJ122" i="38"/>
  <c r="F122" i="47" s="1"/>
  <c r="F3" i="53"/>
  <c r="F3" i="52"/>
  <c r="F3" i="51"/>
  <c r="F3" i="50"/>
  <c r="F3" i="49"/>
  <c r="BA39" i="38"/>
  <c r="BA64" i="38" s="1"/>
  <c r="AF92" i="42"/>
  <c r="AJ122" i="42"/>
  <c r="G122" i="47" s="1"/>
  <c r="BB17" i="42"/>
  <c r="BB18" i="42"/>
  <c r="BB29" i="42"/>
  <c r="BB31" i="42"/>
  <c r="BB34" i="42"/>
  <c r="BB35" i="42"/>
  <c r="BB36" i="42"/>
  <c r="BB37" i="42"/>
  <c r="BB38" i="42"/>
  <c r="G101" i="47"/>
  <c r="E182" i="47"/>
  <c r="E193" i="47" s="1"/>
  <c r="C6" i="47"/>
  <c r="G6" i="47"/>
  <c r="E13" i="47"/>
  <c r="F45" i="40" s="1"/>
  <c r="G11" i="47"/>
  <c r="H43" i="40" s="1"/>
  <c r="F8" i="47"/>
  <c r="G40" i="40" s="1"/>
  <c r="F84" i="47"/>
  <c r="G83" i="47"/>
  <c r="C83" i="47"/>
  <c r="B13" i="54" s="1"/>
  <c r="E13" i="54" s="1"/>
  <c r="D82" i="47"/>
  <c r="G218" i="47"/>
  <c r="C218" i="47"/>
  <c r="G73" i="47"/>
  <c r="F33" i="45"/>
  <c r="H41" i="45"/>
  <c r="G40" i="45"/>
  <c r="H25" i="44"/>
  <c r="H47" i="44" s="1"/>
  <c r="F31" i="44"/>
  <c r="H37" i="44"/>
  <c r="E62" i="51"/>
  <c r="E65" i="51" s="1"/>
  <c r="AG105" i="36"/>
  <c r="G36" i="45"/>
  <c r="AK15" i="38"/>
  <c r="M15" i="47" s="1"/>
  <c r="C62" i="49"/>
  <c r="C65" i="49" s="1"/>
  <c r="AI108" i="33"/>
  <c r="AI116" i="33" s="1"/>
  <c r="AI137" i="33"/>
  <c r="AF132" i="36"/>
  <c r="AF135" i="36"/>
  <c r="AF137" i="36"/>
  <c r="AF108" i="36"/>
  <c r="BB17" i="36"/>
  <c r="BB18" i="36"/>
  <c r="BA151" i="36"/>
  <c r="BB150" i="36"/>
  <c r="BB210" i="36"/>
  <c r="BB214" i="36"/>
  <c r="BB215" i="36"/>
  <c r="BB216" i="36"/>
  <c r="BB217" i="36"/>
  <c r="BB218" i="36"/>
  <c r="AK13" i="36"/>
  <c r="K13" i="47" s="1"/>
  <c r="AI128" i="37"/>
  <c r="AJ121" i="37"/>
  <c r="E121" i="47" s="1"/>
  <c r="BB171" i="37"/>
  <c r="BB172" i="37"/>
  <c r="AG64" i="38"/>
  <c r="AG135" i="38"/>
  <c r="AG132" i="38"/>
  <c r="AG137" i="38"/>
  <c r="AG108" i="38"/>
  <c r="AI128" i="38"/>
  <c r="BB32" i="38"/>
  <c r="BB33" i="38"/>
  <c r="BB34" i="38"/>
  <c r="BB38" i="38"/>
  <c r="BB83" i="38"/>
  <c r="BB84" i="38"/>
  <c r="BA151" i="38"/>
  <c r="BB210" i="38"/>
  <c r="BB214" i="38"/>
  <c r="BB215" i="38"/>
  <c r="BB216" i="38"/>
  <c r="BB217" i="38"/>
  <c r="BB218" i="38"/>
  <c r="AI108" i="42"/>
  <c r="AI116" i="42" s="1"/>
  <c r="AI132" i="42"/>
  <c r="AI135" i="42"/>
  <c r="AI137" i="42"/>
  <c r="H36" i="45"/>
  <c r="BB43" i="42"/>
  <c r="BB47" i="42"/>
  <c r="BB48" i="42"/>
  <c r="BB50" i="42"/>
  <c r="BB52" i="42"/>
  <c r="BB56" i="42"/>
  <c r="BB58" i="42"/>
  <c r="BB59" i="42"/>
  <c r="BB83" i="42"/>
  <c r="BB84" i="42"/>
  <c r="BA151" i="42"/>
  <c r="BB215" i="42"/>
  <c r="D3" i="47"/>
  <c r="G14" i="47"/>
  <c r="H46" i="40" s="1"/>
  <c r="E12" i="47"/>
  <c r="F44" i="40" s="1"/>
  <c r="F11" i="47"/>
  <c r="G43" i="40" s="1"/>
  <c r="G10" i="47"/>
  <c r="H42" i="40" s="1"/>
  <c r="D9" i="47"/>
  <c r="E41" i="40" s="1"/>
  <c r="E8" i="47"/>
  <c r="E84" i="47"/>
  <c r="F83" i="47"/>
  <c r="F218" i="47"/>
  <c r="F73" i="47"/>
  <c r="G27" i="45"/>
  <c r="G25" i="44"/>
  <c r="G47" i="44" s="1"/>
  <c r="G62" i="51"/>
  <c r="G65" i="51" s="1"/>
  <c r="AG64" i="33"/>
  <c r="AG66" i="33" s="1"/>
  <c r="AG137" i="33"/>
  <c r="AG108" i="33"/>
  <c r="AG116" i="33" s="1"/>
  <c r="AI108" i="38"/>
  <c r="AI116" i="38" s="1"/>
  <c r="AI132" i="38"/>
  <c r="AI137" i="38"/>
  <c r="AI135" i="38"/>
  <c r="BA39" i="42"/>
  <c r="BA64" i="42" s="1"/>
  <c r="C62" i="51"/>
  <c r="C65" i="51" s="1"/>
  <c r="G62" i="52"/>
  <c r="G65" i="52" s="1"/>
  <c r="D62" i="53"/>
  <c r="D65" i="53" s="1"/>
  <c r="E62" i="53"/>
  <c r="E65" i="53" s="1"/>
  <c r="F62" i="53"/>
  <c r="F65" i="53" s="1"/>
  <c r="G62" i="53"/>
  <c r="G65" i="53" s="1"/>
  <c r="G62" i="49"/>
  <c r="G65" i="49" s="1"/>
  <c r="D36" i="45"/>
  <c r="AJ107" i="33"/>
  <c r="C107" i="47" s="1"/>
  <c r="B23" i="54" s="1"/>
  <c r="E23" i="54" s="1"/>
  <c r="AY107" i="33"/>
  <c r="AG64" i="36"/>
  <c r="AG135" i="36"/>
  <c r="AG137" i="36"/>
  <c r="AG132" i="36"/>
  <c r="AG108" i="36"/>
  <c r="AI64" i="36"/>
  <c r="AI66" i="36" s="1"/>
  <c r="AI133" i="36" s="1"/>
  <c r="AJ123" i="36"/>
  <c r="D123" i="47" s="1"/>
  <c r="BB83" i="36"/>
  <c r="AK6" i="37"/>
  <c r="AI137" i="37"/>
  <c r="AI132" i="37"/>
  <c r="AI135" i="37"/>
  <c r="F31" i="45"/>
  <c r="F36" i="45"/>
  <c r="E3" i="53"/>
  <c r="E3" i="52"/>
  <c r="E3" i="51"/>
  <c r="E3" i="50"/>
  <c r="E3" i="49"/>
  <c r="BA39" i="37"/>
  <c r="BA64" i="37" s="1"/>
  <c r="BA66" i="37" s="1"/>
  <c r="BA151" i="37"/>
  <c r="BB185" i="37"/>
  <c r="BB187" i="37"/>
  <c r="BB188" i="37"/>
  <c r="BB189" i="37"/>
  <c r="BB191" i="37"/>
  <c r="BA205" i="37"/>
  <c r="BB43" i="38"/>
  <c r="BB46" i="38"/>
  <c r="BB47" i="38"/>
  <c r="BB48" i="38"/>
  <c r="BB52" i="38"/>
  <c r="BB54" i="38"/>
  <c r="BB55" i="38"/>
  <c r="BB56" i="38"/>
  <c r="BB60" i="38"/>
  <c r="BB143" i="38"/>
  <c r="BB150" i="38"/>
  <c r="BB171" i="38"/>
  <c r="BB172" i="38"/>
  <c r="AF94" i="42"/>
  <c r="AJ120" i="42"/>
  <c r="G120" i="47" s="1"/>
  <c r="BB184" i="42"/>
  <c r="BB185" i="42"/>
  <c r="BB188" i="42"/>
  <c r="BB189" i="42"/>
  <c r="BB190" i="42"/>
  <c r="BB191" i="42"/>
  <c r="BB210" i="42"/>
  <c r="BB211" i="42"/>
  <c r="BB214" i="42"/>
  <c r="BB216" i="42"/>
  <c r="BB217" i="42"/>
  <c r="BB218" i="42"/>
  <c r="E3" i="47"/>
  <c r="F14" i="47"/>
  <c r="G46" i="40" s="1"/>
  <c r="G13" i="47"/>
  <c r="H45" i="40" s="1"/>
  <c r="G9" i="47"/>
  <c r="H41" i="40" s="1"/>
  <c r="D8" i="47"/>
  <c r="E40" i="40" s="1"/>
  <c r="E7" i="47"/>
  <c r="F39" i="40" s="1"/>
  <c r="D84" i="47"/>
  <c r="E83" i="47"/>
  <c r="F82" i="47"/>
  <c r="E218" i="47"/>
  <c r="E73" i="47"/>
  <c r="F28" i="45"/>
  <c r="D33" i="44"/>
  <c r="H29" i="44"/>
  <c r="H29" i="45"/>
  <c r="H28" i="44"/>
  <c r="H31" i="45"/>
  <c r="BB44" i="42"/>
  <c r="BA62" i="42"/>
  <c r="BA65" i="42" s="1"/>
  <c r="BA66" i="42" s="1"/>
  <c r="H39" i="44"/>
  <c r="H44" i="45"/>
  <c r="G29" i="44"/>
  <c r="G29" i="45"/>
  <c r="G28" i="44"/>
  <c r="G31" i="45"/>
  <c r="BB44" i="38"/>
  <c r="G44" i="45"/>
  <c r="G39" i="44"/>
  <c r="BB125" i="38"/>
  <c r="AZ62" i="38"/>
  <c r="AZ65" i="38" s="1"/>
  <c r="BB44" i="37"/>
  <c r="AX62" i="37"/>
  <c r="AX65" i="37" s="1"/>
  <c r="F29" i="45"/>
  <c r="F29" i="44"/>
  <c r="BB125" i="37"/>
  <c r="F44" i="45"/>
  <c r="F39" i="44"/>
  <c r="AI66" i="37"/>
  <c r="AI133" i="37" s="1"/>
  <c r="F38" i="44"/>
  <c r="F43" i="45"/>
  <c r="AJ62" i="37"/>
  <c r="AJ65" i="37" s="1"/>
  <c r="AI129" i="36"/>
  <c r="AI130" i="36" s="1"/>
  <c r="AZ62" i="36"/>
  <c r="AZ65" i="36" s="1"/>
  <c r="BB51" i="36"/>
  <c r="E43" i="45"/>
  <c r="BB60" i="36"/>
  <c r="E28" i="44"/>
  <c r="E31" i="45"/>
  <c r="BB44" i="36"/>
  <c r="D31" i="45"/>
  <c r="D28" i="44"/>
  <c r="BB60" i="42"/>
  <c r="BB60" i="37"/>
  <c r="BB51" i="38"/>
  <c r="AY62" i="37"/>
  <c r="AY65" i="37" s="1"/>
  <c r="AY66" i="37" s="1"/>
  <c r="BB51" i="37"/>
  <c r="AY62" i="36"/>
  <c r="AY65" i="36" s="1"/>
  <c r="AX128" i="38"/>
  <c r="H34" i="44"/>
  <c r="H33" i="45"/>
  <c r="H27" i="44"/>
  <c r="H28" i="45"/>
  <c r="G169" i="47"/>
  <c r="H43" i="45"/>
  <c r="H38" i="44"/>
  <c r="BB51" i="42"/>
  <c r="G38" i="44"/>
  <c r="D29" i="45"/>
  <c r="D29" i="44"/>
  <c r="G62" i="47"/>
  <c r="G65" i="47" s="1"/>
  <c r="F62" i="47"/>
  <c r="F65" i="47" s="1"/>
  <c r="AF135" i="42"/>
  <c r="AF137" i="42"/>
  <c r="AF132" i="42"/>
  <c r="AF108" i="42"/>
  <c r="AJ39" i="42"/>
  <c r="AJ64" i="42" s="1"/>
  <c r="AF132" i="38"/>
  <c r="AF135" i="38"/>
  <c r="AF137" i="38"/>
  <c r="AF108" i="38"/>
  <c r="AI129" i="38"/>
  <c r="AI130" i="38" s="1"/>
  <c r="AF132" i="37"/>
  <c r="AF137" i="37"/>
  <c r="AF135" i="37"/>
  <c r="AF108" i="37"/>
  <c r="E39" i="47"/>
  <c r="E64" i="47" s="1"/>
  <c r="E41" i="45"/>
  <c r="E36" i="44"/>
  <c r="E62" i="47"/>
  <c r="E65" i="47" s="1"/>
  <c r="F28" i="44"/>
  <c r="E29" i="45"/>
  <c r="E29" i="44"/>
  <c r="AJ39" i="36"/>
  <c r="AJ64" i="36" s="1"/>
  <c r="AH137" i="37"/>
  <c r="AH135" i="37"/>
  <c r="AH132" i="37"/>
  <c r="AZ39" i="37"/>
  <c r="AZ64" i="37" s="1"/>
  <c r="G33" i="44"/>
  <c r="BB30" i="38"/>
  <c r="AZ39" i="38"/>
  <c r="AZ64" i="38" s="1"/>
  <c r="AZ66" i="38" s="1"/>
  <c r="AJ39" i="38"/>
  <c r="AJ64" i="38" s="1"/>
  <c r="AH137" i="38"/>
  <c r="AH135" i="38"/>
  <c r="AH132" i="38"/>
  <c r="H33" i="44"/>
  <c r="AH135" i="42"/>
  <c r="AH132" i="42"/>
  <c r="AH137" i="42"/>
  <c r="AH64" i="42"/>
  <c r="AH66" i="42" s="1"/>
  <c r="AH133" i="42" s="1"/>
  <c r="AI131" i="36"/>
  <c r="E33" i="44"/>
  <c r="AH137" i="36"/>
  <c r="AH135" i="36"/>
  <c r="AH132" i="36"/>
  <c r="D39" i="47"/>
  <c r="D64" i="47" s="1"/>
  <c r="D28" i="45"/>
  <c r="D38" i="44"/>
  <c r="D43" i="45"/>
  <c r="D37" i="44"/>
  <c r="D42" i="45"/>
  <c r="D41" i="45"/>
  <c r="C62" i="47"/>
  <c r="C65" i="47" s="1"/>
  <c r="D36" i="44"/>
  <c r="C39" i="47"/>
  <c r="C64" i="47" s="1"/>
  <c r="AF108" i="33"/>
  <c r="BB109" i="38"/>
  <c r="BB109" i="37"/>
  <c r="BB109" i="36"/>
  <c r="BB110" i="36"/>
  <c r="C41" i="44"/>
  <c r="G29" i="47"/>
  <c r="AF64" i="42"/>
  <c r="AF66" i="42" s="1"/>
  <c r="AF133" i="42" s="1"/>
  <c r="AF116" i="38"/>
  <c r="AF129" i="38" s="1"/>
  <c r="AX39" i="38"/>
  <c r="AX64" i="38" s="1"/>
  <c r="F29" i="47"/>
  <c r="D65" i="47"/>
  <c r="E5" i="47"/>
  <c r="X134" i="33"/>
  <c r="C134" i="52" s="1"/>
  <c r="BB134" i="33"/>
  <c r="B129" i="47"/>
  <c r="B39" i="47"/>
  <c r="B64" i="47" s="1"/>
  <c r="B66" i="47" s="1"/>
  <c r="I29" i="47"/>
  <c r="B152" i="47"/>
  <c r="B168" i="47" s="1"/>
  <c r="B140" i="47"/>
  <c r="B101" i="47"/>
  <c r="B182" i="47"/>
  <c r="B193" i="47" s="1"/>
  <c r="B117" i="47"/>
  <c r="B73" i="47"/>
  <c r="B223" i="47"/>
  <c r="F152" i="47"/>
  <c r="F168" i="47" s="1"/>
  <c r="F140" i="47"/>
  <c r="F101" i="47"/>
  <c r="F223" i="47"/>
  <c r="F182" i="47"/>
  <c r="F193" i="47" s="1"/>
  <c r="B151" i="47"/>
  <c r="B231" i="47"/>
  <c r="B235" i="47" s="1"/>
  <c r="C19" i="47"/>
  <c r="J24" i="47" s="1"/>
  <c r="B41" i="47"/>
  <c r="F41" i="47"/>
  <c r="C182" i="47"/>
  <c r="C193" i="47" s="1"/>
  <c r="C117" i="47"/>
  <c r="G182" i="47"/>
  <c r="G193" i="47" s="1"/>
  <c r="G117" i="47"/>
  <c r="C41" i="47"/>
  <c r="G41" i="47"/>
  <c r="C140" i="47"/>
  <c r="G152" i="47"/>
  <c r="G168" i="47" s="1"/>
  <c r="D182" i="47"/>
  <c r="D193" i="47" s="1"/>
  <c r="D117" i="47"/>
  <c r="D223" i="47"/>
  <c r="D41" i="47"/>
  <c r="C101" i="47"/>
  <c r="D140" i="47"/>
  <c r="C223" i="47"/>
  <c r="E223" i="47"/>
  <c r="E152" i="47"/>
  <c r="E168" i="47" s="1"/>
  <c r="E140" i="47"/>
  <c r="E101" i="47"/>
  <c r="E41" i="47"/>
  <c r="C73" i="47"/>
  <c r="D101" i="47"/>
  <c r="E117" i="47"/>
  <c r="G140" i="47"/>
  <c r="C152" i="47"/>
  <c r="C168" i="47" s="1"/>
  <c r="B138" i="47"/>
  <c r="B139" i="47" s="1"/>
  <c r="BB143" i="42"/>
  <c r="AX39" i="42"/>
  <c r="AX64" i="42" s="1"/>
  <c r="BB30" i="42"/>
  <c r="AY62" i="42"/>
  <c r="AY65" i="42" s="1"/>
  <c r="BB55" i="42"/>
  <c r="BB150" i="42"/>
  <c r="AY181" i="42"/>
  <c r="AX62" i="42"/>
  <c r="AX65" i="42" s="1"/>
  <c r="AY176" i="42"/>
  <c r="AZ39" i="42"/>
  <c r="AZ64" i="42" s="1"/>
  <c r="AZ66" i="42" s="1"/>
  <c r="BB32" i="42"/>
  <c r="BB33" i="42"/>
  <c r="BB118" i="42"/>
  <c r="BB125" i="42"/>
  <c r="AZ176" i="42"/>
  <c r="AY205" i="42"/>
  <c r="BB171" i="42"/>
  <c r="AY39" i="42"/>
  <c r="AY64" i="42" s="1"/>
  <c r="BB49" i="42"/>
  <c r="BB57" i="42"/>
  <c r="BB172" i="42"/>
  <c r="BB45" i="42"/>
  <c r="BB46" i="42"/>
  <c r="BB53" i="42"/>
  <c r="BB54" i="42"/>
  <c r="BB61" i="42"/>
  <c r="BB109" i="42"/>
  <c r="AY192" i="42"/>
  <c r="BB187" i="42"/>
  <c r="AZ205" i="42"/>
  <c r="BB212" i="42"/>
  <c r="BB213" i="42"/>
  <c r="BB42" i="42"/>
  <c r="AJ153" i="42"/>
  <c r="G153" i="47" s="1"/>
  <c r="AI128" i="42"/>
  <c r="AI129" i="42" s="1"/>
  <c r="AJ126" i="42"/>
  <c r="G126" i="47" s="1"/>
  <c r="AJ108" i="42"/>
  <c r="G108" i="47" s="1"/>
  <c r="AG116" i="42"/>
  <c r="AG129" i="42" s="1"/>
  <c r="AF116" i="42"/>
  <c r="AF129" i="42" s="1"/>
  <c r="AF19" i="42"/>
  <c r="AG66" i="42"/>
  <c r="AG133" i="42" s="1"/>
  <c r="AJ62" i="42"/>
  <c r="AJ65" i="42" s="1"/>
  <c r="AJ114" i="42"/>
  <c r="G114" i="47" s="1"/>
  <c r="AJ119" i="42"/>
  <c r="AH128" i="42"/>
  <c r="AH129" i="42" s="1"/>
  <c r="AF192" i="42"/>
  <c r="AF5" i="42"/>
  <c r="AF87" i="42" s="1"/>
  <c r="AI64" i="42"/>
  <c r="AI66" i="42" s="1"/>
  <c r="AI133" i="42" s="1"/>
  <c r="AJ178" i="42"/>
  <c r="AY62" i="38"/>
  <c r="AY65" i="38" s="1"/>
  <c r="BB35" i="38"/>
  <c r="BB59" i="38"/>
  <c r="BB118" i="38"/>
  <c r="BB53" i="38"/>
  <c r="BB61" i="38"/>
  <c r="BB17" i="38"/>
  <c r="BB18" i="38"/>
  <c r="BB29" i="38"/>
  <c r="BB36" i="38"/>
  <c r="BB37" i="38"/>
  <c r="BA62" i="38"/>
  <c r="BA65" i="38" s="1"/>
  <c r="BA66" i="38" s="1"/>
  <c r="BB160" i="38"/>
  <c r="AY192" i="38"/>
  <c r="AY205" i="38"/>
  <c r="BB45" i="38"/>
  <c r="AY39" i="38"/>
  <c r="AY64" i="38" s="1"/>
  <c r="BB31" i="38"/>
  <c r="AX62" i="38"/>
  <c r="AX65" i="38" s="1"/>
  <c r="BB49" i="38"/>
  <c r="BB50" i="38"/>
  <c r="BB57" i="38"/>
  <c r="BB58" i="38"/>
  <c r="AY176" i="38"/>
  <c r="AZ192" i="38"/>
  <c r="BB187" i="38"/>
  <c r="AZ205" i="38"/>
  <c r="BB211" i="38"/>
  <c r="BB212" i="38"/>
  <c r="BB213" i="38"/>
  <c r="BB42" i="38"/>
  <c r="AJ2" i="38"/>
  <c r="F2" i="47" s="1"/>
  <c r="M2" i="47" s="1"/>
  <c r="AF5" i="38"/>
  <c r="AF87" i="38" s="1"/>
  <c r="AJ7" i="38"/>
  <c r="AF19" i="38"/>
  <c r="AG23" i="42" s="1"/>
  <c r="AJ153" i="38"/>
  <c r="F153" i="47" s="1"/>
  <c r="AJ121" i="38"/>
  <c r="F121" i="47" s="1"/>
  <c r="AF181" i="38"/>
  <c r="AJ178" i="38"/>
  <c r="AH128" i="38"/>
  <c r="AH129" i="38" s="1"/>
  <c r="AG66" i="38"/>
  <c r="AG133" i="38" s="1"/>
  <c r="AJ62" i="38"/>
  <c r="AJ65" i="38" s="1"/>
  <c r="AH66" i="38"/>
  <c r="AH133" i="38" s="1"/>
  <c r="AG116" i="38"/>
  <c r="AG129" i="38" s="1"/>
  <c r="AJ120" i="38"/>
  <c r="AJ124" i="38"/>
  <c r="F124" i="47" s="1"/>
  <c r="AF192" i="38"/>
  <c r="AI64" i="38"/>
  <c r="AI66" i="38" s="1"/>
  <c r="AI133" i="38" s="1"/>
  <c r="AF64" i="38"/>
  <c r="AF66" i="38" s="1"/>
  <c r="AF133" i="38" s="1"/>
  <c r="AJ110" i="38"/>
  <c r="F110" i="47" s="1"/>
  <c r="BB45" i="37"/>
  <c r="BB118" i="37"/>
  <c r="AZ62" i="37"/>
  <c r="AZ65" i="37" s="1"/>
  <c r="BB49" i="37"/>
  <c r="BB50" i="37"/>
  <c r="BB84" i="37"/>
  <c r="BB29" i="37"/>
  <c r="BB39" i="37" s="1"/>
  <c r="BB64" i="37" s="1"/>
  <c r="BB56" i="37"/>
  <c r="BB58" i="37"/>
  <c r="BB184" i="37"/>
  <c r="AX39" i="37"/>
  <c r="AX64" i="37" s="1"/>
  <c r="BB42" i="37"/>
  <c r="AH64" i="37"/>
  <c r="AH66" i="37" s="1"/>
  <c r="AH133" i="37" s="1"/>
  <c r="AJ195" i="37"/>
  <c r="E195" i="47" s="1"/>
  <c r="AF75" i="37"/>
  <c r="AJ75" i="37" s="1"/>
  <c r="E75" i="47" s="1"/>
  <c r="AF88" i="37"/>
  <c r="AJ5" i="37"/>
  <c r="AJ87" i="37" s="1"/>
  <c r="E87" i="47" s="1"/>
  <c r="AF87" i="37"/>
  <c r="AF74" i="37"/>
  <c r="AI129" i="37"/>
  <c r="AJ39" i="37"/>
  <c r="AJ64" i="37" s="1"/>
  <c r="AG64" i="37"/>
  <c r="AG66" i="37" s="1"/>
  <c r="AG133" i="37" s="1"/>
  <c r="AJ108" i="37"/>
  <c r="E108" i="47" s="1"/>
  <c r="AF89" i="37"/>
  <c r="AF92" i="37"/>
  <c r="AH128" i="37"/>
  <c r="AJ122" i="37"/>
  <c r="E122" i="47" s="1"/>
  <c r="AF181" i="37"/>
  <c r="AH116" i="37"/>
  <c r="AJ110" i="37"/>
  <c r="E110" i="47" s="1"/>
  <c r="AJ113" i="37"/>
  <c r="E113" i="47" s="1"/>
  <c r="AF116" i="37"/>
  <c r="AF129" i="37" s="1"/>
  <c r="AJ120" i="37"/>
  <c r="E120" i="47" s="1"/>
  <c r="AJ124" i="37"/>
  <c r="E124" i="47" s="1"/>
  <c r="AJ153" i="37"/>
  <c r="E153" i="47" s="1"/>
  <c r="AJ178" i="37"/>
  <c r="AF19" i="37"/>
  <c r="AG23" i="38" s="1"/>
  <c r="AJ119" i="37"/>
  <c r="E119" i="47" s="1"/>
  <c r="AJ123" i="37"/>
  <c r="E123" i="47" s="1"/>
  <c r="AG151" i="37"/>
  <c r="AF64" i="37"/>
  <c r="AF66" i="37" s="1"/>
  <c r="AF133" i="37" s="1"/>
  <c r="AF64" i="36"/>
  <c r="AF66" i="36" s="1"/>
  <c r="AF133" i="36" s="1"/>
  <c r="AX39" i="36"/>
  <c r="AX64" i="36" s="1"/>
  <c r="AF116" i="36"/>
  <c r="AF129" i="36" s="1"/>
  <c r="BB56" i="36"/>
  <c r="BB84" i="36"/>
  <c r="BB185" i="36"/>
  <c r="BA39" i="36"/>
  <c r="BA64" i="36" s="1"/>
  <c r="BB143" i="36"/>
  <c r="BB30" i="36"/>
  <c r="BB36" i="36"/>
  <c r="AY39" i="36"/>
  <c r="AY64" i="36" s="1"/>
  <c r="AX62" i="36"/>
  <c r="AX65" i="36" s="1"/>
  <c r="BB49" i="36"/>
  <c r="BB50" i="36"/>
  <c r="BB57" i="36"/>
  <c r="BB58" i="36"/>
  <c r="AY176" i="36"/>
  <c r="AZ192" i="36"/>
  <c r="BB187" i="36"/>
  <c r="AY205" i="36"/>
  <c r="BA62" i="36"/>
  <c r="BA65" i="36" s="1"/>
  <c r="BB160" i="36"/>
  <c r="AY192" i="36"/>
  <c r="AZ39" i="36"/>
  <c r="AZ64" i="36" s="1"/>
  <c r="BB32" i="36"/>
  <c r="BB33" i="36"/>
  <c r="AX128" i="36"/>
  <c r="BB118" i="36"/>
  <c r="BB125" i="36"/>
  <c r="AZ176" i="36"/>
  <c r="AZ205" i="36"/>
  <c r="BB211" i="36"/>
  <c r="BB212" i="36"/>
  <c r="BB213" i="36"/>
  <c r="BB42" i="36"/>
  <c r="AF75" i="36"/>
  <c r="AF88" i="36"/>
  <c r="AF157" i="36"/>
  <c r="AF141" i="36"/>
  <c r="AJ19" i="36"/>
  <c r="U8" i="48" s="1"/>
  <c r="AJ2" i="36"/>
  <c r="D2" i="47" s="1"/>
  <c r="K2" i="47" s="1"/>
  <c r="AF87" i="36"/>
  <c r="AF74" i="36"/>
  <c r="AJ108" i="36"/>
  <c r="D108" i="47" s="1"/>
  <c r="AJ119" i="36"/>
  <c r="D119" i="47" s="1"/>
  <c r="D128" i="47" s="1"/>
  <c r="AH128" i="36"/>
  <c r="AH129" i="36" s="1"/>
  <c r="AG66" i="36"/>
  <c r="AG133" i="36" s="1"/>
  <c r="AJ62" i="36"/>
  <c r="AJ65" i="36" s="1"/>
  <c r="AJ66" i="36" s="1"/>
  <c r="AG93" i="36"/>
  <c r="AJ5" i="36"/>
  <c r="AJ88" i="36" s="1"/>
  <c r="D88" i="47" s="1"/>
  <c r="AH158" i="36"/>
  <c r="AJ153" i="36"/>
  <c r="D153" i="47" s="1"/>
  <c r="AJ178" i="36"/>
  <c r="AJ6" i="36"/>
  <c r="AJ110" i="36"/>
  <c r="D110" i="47" s="1"/>
  <c r="AI128" i="33"/>
  <c r="AI129" i="33" s="1"/>
  <c r="AI131" i="33" s="1"/>
  <c r="AH116" i="33"/>
  <c r="AH129" i="33" s="1"/>
  <c r="AH131" i="33" s="1"/>
  <c r="AJ62" i="33"/>
  <c r="AJ65" i="33" s="1"/>
  <c r="AF64" i="33"/>
  <c r="AF66" i="33" s="1"/>
  <c r="AF133" i="33" s="1"/>
  <c r="AI64" i="33"/>
  <c r="AI66" i="33" s="1"/>
  <c r="AI133" i="33" s="1"/>
  <c r="AF92" i="33"/>
  <c r="BB45" i="33"/>
  <c r="BB49" i="33"/>
  <c r="BB53" i="33"/>
  <c r="BB57" i="33"/>
  <c r="BB61" i="33"/>
  <c r="AF5" i="33"/>
  <c r="AF74" i="33" s="1"/>
  <c r="AF90" i="33"/>
  <c r="AJ105" i="33"/>
  <c r="C105" i="47" s="1"/>
  <c r="B21" i="54" s="1"/>
  <c r="E21" i="54" s="1"/>
  <c r="AG128" i="33"/>
  <c r="AJ153" i="33"/>
  <c r="C153" i="47" s="1"/>
  <c r="B59" i="54" s="1"/>
  <c r="E59" i="54" s="1"/>
  <c r="F59" i="54" s="1"/>
  <c r="G59" i="54" s="1"/>
  <c r="H59" i="54" s="1"/>
  <c r="I59" i="54" s="1"/>
  <c r="J59" i="54" s="1"/>
  <c r="K59" i="54" s="1"/>
  <c r="L59" i="54" s="1"/>
  <c r="M59" i="54" s="1"/>
  <c r="N59" i="54" s="1"/>
  <c r="O59" i="54" s="1"/>
  <c r="AF19" i="33"/>
  <c r="AG23" i="36" s="1"/>
  <c r="AJ39" i="33"/>
  <c r="AJ64" i="33" s="1"/>
  <c r="AF91" i="33"/>
  <c r="AF116" i="33"/>
  <c r="AF129" i="33" s="1"/>
  <c r="AF131" i="33" s="1"/>
  <c r="AF181" i="33"/>
  <c r="AJ178" i="33"/>
  <c r="AF95" i="33"/>
  <c r="AJ82" i="33"/>
  <c r="AJ108" i="33"/>
  <c r="C108" i="47" s="1"/>
  <c r="B24" i="54" s="1"/>
  <c r="F24" i="54" s="1"/>
  <c r="G24" i="54" s="1"/>
  <c r="H24" i="54" s="1"/>
  <c r="I24" i="54" s="1"/>
  <c r="J24" i="54" s="1"/>
  <c r="K24" i="54" s="1"/>
  <c r="L24" i="54" s="1"/>
  <c r="M24" i="54" s="1"/>
  <c r="N24" i="54" s="1"/>
  <c r="O24" i="54" s="1"/>
  <c r="P24" i="54" s="1"/>
  <c r="AJ113" i="33"/>
  <c r="C113" i="47" s="1"/>
  <c r="B29" i="54" s="1"/>
  <c r="E29" i="54" s="1"/>
  <c r="AJ119" i="33"/>
  <c r="C119" i="47" s="1"/>
  <c r="B32" i="54" s="1"/>
  <c r="E32" i="54" s="1"/>
  <c r="AJ123" i="33"/>
  <c r="C123" i="47" s="1"/>
  <c r="BB44" i="33"/>
  <c r="BB48" i="33"/>
  <c r="BB52" i="33"/>
  <c r="BB56" i="33"/>
  <c r="BB60" i="33"/>
  <c r="BB43" i="33"/>
  <c r="BB47" i="33"/>
  <c r="BB51" i="33"/>
  <c r="BB55" i="33"/>
  <c r="BB59" i="33"/>
  <c r="AJ110" i="33"/>
  <c r="C110" i="47" s="1"/>
  <c r="B26" i="54" s="1"/>
  <c r="F26" i="54" s="1"/>
  <c r="D20" i="54" l="1"/>
  <c r="C20" i="54" s="1"/>
  <c r="D100" i="54"/>
  <c r="C100" i="54" s="1"/>
  <c r="G19" i="54"/>
  <c r="D99" i="54"/>
  <c r="C99" i="54" s="1"/>
  <c r="D91" i="54"/>
  <c r="C91" i="54" s="1"/>
  <c r="D68" i="54"/>
  <c r="C68" i="54" s="1"/>
  <c r="D35" i="54"/>
  <c r="C35" i="54" s="1"/>
  <c r="D31" i="54"/>
  <c r="C31" i="54" s="1"/>
  <c r="G26" i="54"/>
  <c r="H26" i="54" s="1"/>
  <c r="I26" i="54" s="1"/>
  <c r="J26" i="54" s="1"/>
  <c r="K26" i="54" s="1"/>
  <c r="L26" i="54" s="1"/>
  <c r="M26" i="54" s="1"/>
  <c r="N26" i="54" s="1"/>
  <c r="O26" i="54" s="1"/>
  <c r="P26" i="54" s="1"/>
  <c r="D24" i="54"/>
  <c r="E41" i="54"/>
  <c r="F14" i="54"/>
  <c r="G14" i="54" s="1"/>
  <c r="H14" i="54" s="1"/>
  <c r="I14" i="54" s="1"/>
  <c r="J14" i="54" s="1"/>
  <c r="K14" i="54" s="1"/>
  <c r="L14" i="54" s="1"/>
  <c r="M14" i="54" s="1"/>
  <c r="N14" i="54" s="1"/>
  <c r="O14" i="54" s="1"/>
  <c r="P14" i="54" s="1"/>
  <c r="D81" i="54"/>
  <c r="C81" i="54" s="1"/>
  <c r="D22" i="54"/>
  <c r="C22" i="54" s="1"/>
  <c r="F21" i="54"/>
  <c r="G21" i="54" s="1"/>
  <c r="H21" i="54" s="1"/>
  <c r="I21" i="54" s="1"/>
  <c r="J21" i="54" s="1"/>
  <c r="K21" i="54" s="1"/>
  <c r="L21" i="54" s="1"/>
  <c r="M21" i="54" s="1"/>
  <c r="N21" i="54" s="1"/>
  <c r="O21" i="54" s="1"/>
  <c r="P21" i="54" s="1"/>
  <c r="D82" i="54"/>
  <c r="C82" i="54" s="1"/>
  <c r="D74" i="54"/>
  <c r="C74" i="54" s="1"/>
  <c r="D50" i="54"/>
  <c r="C50" i="54" s="1"/>
  <c r="AX66" i="36"/>
  <c r="AF74" i="38"/>
  <c r="C42" i="44"/>
  <c r="AF200" i="36"/>
  <c r="AJ200" i="36" s="1"/>
  <c r="D101" i="54"/>
  <c r="C101" i="54" s="1"/>
  <c r="D58" i="54"/>
  <c r="C58" i="54" s="1"/>
  <c r="D61" i="54"/>
  <c r="C61" i="54" s="1"/>
  <c r="C128" i="47"/>
  <c r="B36" i="54"/>
  <c r="E36" i="54" s="1"/>
  <c r="F32" i="54"/>
  <c r="G32" i="54" s="1"/>
  <c r="H32" i="54" s="1"/>
  <c r="I32" i="54" s="1"/>
  <c r="J32" i="54" s="1"/>
  <c r="K32" i="54" s="1"/>
  <c r="L32" i="54" s="1"/>
  <c r="M32" i="54" s="1"/>
  <c r="N32" i="54" s="1"/>
  <c r="O32" i="54" s="1"/>
  <c r="P32" i="54" s="1"/>
  <c r="D32" i="54"/>
  <c r="C32" i="54" s="1"/>
  <c r="N19" i="47"/>
  <c r="F29" i="54"/>
  <c r="G29" i="54" s="1"/>
  <c r="H29" i="54" s="1"/>
  <c r="I29" i="54" s="1"/>
  <c r="J29" i="54" s="1"/>
  <c r="K29" i="54" s="1"/>
  <c r="L29" i="54" s="1"/>
  <c r="M29" i="54" s="1"/>
  <c r="N29" i="54" s="1"/>
  <c r="O29" i="54" s="1"/>
  <c r="P29" i="54" s="1"/>
  <c r="D29" i="54"/>
  <c r="C29" i="54" s="1"/>
  <c r="AF74" i="42"/>
  <c r="F13" i="54"/>
  <c r="G13" i="54" s="1"/>
  <c r="H13" i="54" s="1"/>
  <c r="I13" i="54" s="1"/>
  <c r="J13" i="54" s="1"/>
  <c r="K13" i="54" s="1"/>
  <c r="L13" i="54" s="1"/>
  <c r="M13" i="54" s="1"/>
  <c r="N13" i="54" s="1"/>
  <c r="O13" i="54" s="1"/>
  <c r="P13" i="54" s="1"/>
  <c r="D13" i="54"/>
  <c r="C13" i="54" s="1"/>
  <c r="AF145" i="36"/>
  <c r="AH22" i="37"/>
  <c r="AG26" i="37" s="1"/>
  <c r="AG81" i="37" s="1"/>
  <c r="D78" i="54"/>
  <c r="C78" i="54" s="1"/>
  <c r="D30" i="54"/>
  <c r="C30" i="54" s="1"/>
  <c r="D28" i="54"/>
  <c r="C28" i="54" s="1"/>
  <c r="D97" i="54"/>
  <c r="C97" i="54" s="1"/>
  <c r="D27" i="54"/>
  <c r="C27" i="54" s="1"/>
  <c r="D96" i="54"/>
  <c r="C96" i="54" s="1"/>
  <c r="D94" i="54"/>
  <c r="C94" i="54" s="1"/>
  <c r="D77" i="54"/>
  <c r="C77" i="54" s="1"/>
  <c r="D33" i="54"/>
  <c r="C33" i="54" s="1"/>
  <c r="D65" i="54"/>
  <c r="C65" i="54" s="1"/>
  <c r="F23" i="54"/>
  <c r="G23" i="54" s="1"/>
  <c r="H23" i="54" s="1"/>
  <c r="I23" i="54" s="1"/>
  <c r="J23" i="54" s="1"/>
  <c r="K23" i="54" s="1"/>
  <c r="L23" i="54" s="1"/>
  <c r="M23" i="54" s="1"/>
  <c r="N23" i="54" s="1"/>
  <c r="O23" i="54" s="1"/>
  <c r="P23" i="54" s="1"/>
  <c r="AF148" i="36"/>
  <c r="AH154" i="36"/>
  <c r="D37" i="54"/>
  <c r="C37" i="54" s="1"/>
  <c r="D90" i="54"/>
  <c r="C90" i="54" s="1"/>
  <c r="D25" i="54"/>
  <c r="C25" i="54" s="1"/>
  <c r="D95" i="54"/>
  <c r="C95" i="54" s="1"/>
  <c r="C24" i="54"/>
  <c r="P59" i="54"/>
  <c r="D92" i="54"/>
  <c r="P73" i="54"/>
  <c r="AJ66" i="37"/>
  <c r="E41" i="44"/>
  <c r="AI158" i="36"/>
  <c r="BA66" i="36"/>
  <c r="AX209" i="33"/>
  <c r="AJ209" i="33"/>
  <c r="C209" i="47" s="1"/>
  <c r="B103" i="54" s="1"/>
  <c r="E103" i="54" s="1"/>
  <c r="AG158" i="33"/>
  <c r="AG85" i="33" s="1"/>
  <c r="AG98" i="33" s="1"/>
  <c r="AG133" i="33"/>
  <c r="AJ95" i="33"/>
  <c r="C95" i="47" s="1"/>
  <c r="C82" i="47"/>
  <c r="B12" i="54" s="1"/>
  <c r="E12" i="54" s="1"/>
  <c r="E128" i="47"/>
  <c r="AH154" i="38"/>
  <c r="AI76" i="38"/>
  <c r="AH22" i="42"/>
  <c r="AH149" i="42" s="1"/>
  <c r="AG24" i="42"/>
  <c r="AI183" i="38"/>
  <c r="AG79" i="42"/>
  <c r="AF175" i="38"/>
  <c r="AF200" i="38"/>
  <c r="AJ200" i="38" s="1"/>
  <c r="F200" i="47" s="1"/>
  <c r="F205" i="47" s="1"/>
  <c r="AF147" i="38"/>
  <c r="AF161" i="38"/>
  <c r="AJ161" i="38" s="1"/>
  <c r="F161" i="47" s="1"/>
  <c r="AF146" i="38"/>
  <c r="AJ146" i="38" s="1"/>
  <c r="F146" i="47" s="1"/>
  <c r="AF148" i="38"/>
  <c r="AF145" i="38"/>
  <c r="AG105" i="37"/>
  <c r="AJ105" i="37" s="1"/>
  <c r="E105" i="47" s="1"/>
  <c r="AJ105" i="36"/>
  <c r="D105" i="47" s="1"/>
  <c r="D38" i="40"/>
  <c r="C5" i="47"/>
  <c r="L2" i="47"/>
  <c r="AK7" i="38"/>
  <c r="F7" i="47"/>
  <c r="G35" i="45"/>
  <c r="G31" i="44"/>
  <c r="G41" i="44" s="1"/>
  <c r="AK29" i="42"/>
  <c r="AJ81" i="37"/>
  <c r="AG94" i="37"/>
  <c r="AJ79" i="37"/>
  <c r="AG92" i="37"/>
  <c r="AG129" i="33"/>
  <c r="AG131" i="33" s="1"/>
  <c r="AH22" i="36"/>
  <c r="AH149" i="36" s="1"/>
  <c r="AH22" i="33"/>
  <c r="AH149" i="33" s="1"/>
  <c r="AI76" i="33"/>
  <c r="AF157" i="33"/>
  <c r="AF175" i="33"/>
  <c r="AF200" i="33"/>
  <c r="AF161" i="33"/>
  <c r="AF145" i="33"/>
  <c r="AH154" i="33"/>
  <c r="AF147" i="33"/>
  <c r="AF146" i="33"/>
  <c r="AF148" i="33"/>
  <c r="AF141" i="33"/>
  <c r="AH22" i="38"/>
  <c r="AG79" i="38"/>
  <c r="AG26" i="38"/>
  <c r="AI183" i="37"/>
  <c r="AH154" i="37"/>
  <c r="AG24" i="38"/>
  <c r="AI76" i="37"/>
  <c r="AF175" i="37"/>
  <c r="AF200" i="37"/>
  <c r="AJ200" i="37" s="1"/>
  <c r="AF161" i="37"/>
  <c r="AJ161" i="37" s="1"/>
  <c r="E161" i="47" s="1"/>
  <c r="AF147" i="37"/>
  <c r="AJ147" i="37" s="1"/>
  <c r="E147" i="47" s="1"/>
  <c r="AF146" i="37"/>
  <c r="AF148" i="37"/>
  <c r="AF145" i="37"/>
  <c r="AI76" i="42"/>
  <c r="AH154" i="42"/>
  <c r="AI183" i="42"/>
  <c r="AF175" i="42"/>
  <c r="AF200" i="42"/>
  <c r="AJ200" i="42" s="1"/>
  <c r="G200" i="47" s="1"/>
  <c r="G205" i="47" s="1"/>
  <c r="AF147" i="42"/>
  <c r="AF146" i="42"/>
  <c r="AF161" i="42"/>
  <c r="AJ161" i="42" s="1"/>
  <c r="G161" i="47" s="1"/>
  <c r="AF148" i="42"/>
  <c r="AF145" i="42"/>
  <c r="AJ128" i="36"/>
  <c r="AY66" i="36"/>
  <c r="AZ66" i="37"/>
  <c r="AJ66" i="38"/>
  <c r="D66" i="47"/>
  <c r="G39" i="47"/>
  <c r="G64" i="47" s="1"/>
  <c r="H31" i="44"/>
  <c r="H41" i="44" s="1"/>
  <c r="H35" i="45"/>
  <c r="AK29" i="33"/>
  <c r="AK6" i="36"/>
  <c r="D6" i="47"/>
  <c r="AG116" i="36"/>
  <c r="AG129" i="36" s="1"/>
  <c r="AG131" i="36" s="1"/>
  <c r="AJ128" i="38"/>
  <c r="F120" i="47"/>
  <c r="F128" i="47" s="1"/>
  <c r="BB39" i="42"/>
  <c r="BB64" i="42" s="1"/>
  <c r="G19" i="47"/>
  <c r="F39" i="47"/>
  <c r="F64" i="47" s="1"/>
  <c r="F66" i="47" s="1"/>
  <c r="N2" i="47"/>
  <c r="C44" i="44"/>
  <c r="AK12" i="36"/>
  <c r="K12" i="47" s="1"/>
  <c r="D12" i="47"/>
  <c r="E44" i="40" s="1"/>
  <c r="AH78" i="37"/>
  <c r="AH149" i="37"/>
  <c r="AK29" i="37"/>
  <c r="L6" i="47"/>
  <c r="L19" i="47" s="1"/>
  <c r="L29" i="47" s="1"/>
  <c r="E19" i="47"/>
  <c r="F40" i="40"/>
  <c r="H38" i="40"/>
  <c r="G5" i="47"/>
  <c r="AJ175" i="36"/>
  <c r="AF176" i="36"/>
  <c r="AG80" i="37"/>
  <c r="AJ24" i="37"/>
  <c r="E24" i="47" s="1"/>
  <c r="J19" i="47"/>
  <c r="J29" i="47" s="1"/>
  <c r="G66" i="47"/>
  <c r="AX66" i="37"/>
  <c r="F41" i="44"/>
  <c r="AI158" i="37"/>
  <c r="E66" i="47"/>
  <c r="AZ66" i="36"/>
  <c r="AJ128" i="37"/>
  <c r="BB62" i="36"/>
  <c r="BB65" i="36" s="1"/>
  <c r="AI131" i="38"/>
  <c r="AI138" i="38" s="1"/>
  <c r="AI139" i="38" s="1"/>
  <c r="AY66" i="38"/>
  <c r="BB62" i="37"/>
  <c r="BB65" i="37" s="1"/>
  <c r="BB66" i="37" s="1"/>
  <c r="AJ128" i="42"/>
  <c r="G119" i="47"/>
  <c r="G128" i="47" s="1"/>
  <c r="AH158" i="42"/>
  <c r="AH85" i="42" s="1"/>
  <c r="AJ66" i="42"/>
  <c r="AJ181" i="42"/>
  <c r="G178" i="47"/>
  <c r="G181" i="47" s="1"/>
  <c r="AI130" i="42"/>
  <c r="AI131" i="42"/>
  <c r="G116" i="47"/>
  <c r="AG131" i="42"/>
  <c r="AG130" i="42"/>
  <c r="AX66" i="38"/>
  <c r="AF131" i="42"/>
  <c r="AF130" i="42"/>
  <c r="AJ181" i="38"/>
  <c r="F178" i="47"/>
  <c r="F181" i="47" s="1"/>
  <c r="AG130" i="38"/>
  <c r="AG131" i="38"/>
  <c r="AF130" i="38"/>
  <c r="AF131" i="38"/>
  <c r="AI130" i="37"/>
  <c r="AI131" i="37"/>
  <c r="AF130" i="37"/>
  <c r="AF131" i="37"/>
  <c r="AJ181" i="37"/>
  <c r="E178" i="47"/>
  <c r="E181" i="47" s="1"/>
  <c r="AJ135" i="37"/>
  <c r="E135" i="47" s="1"/>
  <c r="E116" i="47"/>
  <c r="E129" i="47" s="1"/>
  <c r="F42" i="44" s="1"/>
  <c r="AJ137" i="37"/>
  <c r="AJ132" i="37"/>
  <c r="AJ133" i="37"/>
  <c r="E133" i="47" s="1"/>
  <c r="AJ133" i="38"/>
  <c r="F133" i="47" s="1"/>
  <c r="AJ137" i="38"/>
  <c r="F137" i="47" s="1"/>
  <c r="AH131" i="38"/>
  <c r="AH130" i="38"/>
  <c r="AJ135" i="38"/>
  <c r="F135" i="47" s="1"/>
  <c r="AJ132" i="38"/>
  <c r="AJ132" i="42"/>
  <c r="G132" i="47" s="1"/>
  <c r="AJ135" i="42"/>
  <c r="G135" i="47" s="1"/>
  <c r="AJ133" i="42"/>
  <c r="G133" i="47" s="1"/>
  <c r="AH131" i="42"/>
  <c r="AH130" i="42"/>
  <c r="AJ137" i="42"/>
  <c r="G137" i="47" s="1"/>
  <c r="AJ133" i="36"/>
  <c r="D133" i="47" s="1"/>
  <c r="AJ181" i="36"/>
  <c r="D178" i="47"/>
  <c r="D181" i="47" s="1"/>
  <c r="AG167" i="33"/>
  <c r="AJ92" i="37"/>
  <c r="E92" i="47" s="1"/>
  <c r="E79" i="47"/>
  <c r="AJ93" i="36"/>
  <c r="D93" i="47" s="1"/>
  <c r="D80" i="47"/>
  <c r="AF131" i="36"/>
  <c r="AF130" i="36"/>
  <c r="AH131" i="36"/>
  <c r="AH130" i="36"/>
  <c r="D116" i="47"/>
  <c r="D129" i="47" s="1"/>
  <c r="AJ132" i="36"/>
  <c r="D132" i="47" s="1"/>
  <c r="AJ135" i="36"/>
  <c r="D135" i="47" s="1"/>
  <c r="AH85" i="36"/>
  <c r="AJ137" i="36"/>
  <c r="D137" i="47" s="1"/>
  <c r="AH133" i="33"/>
  <c r="D41" i="44"/>
  <c r="AJ181" i="33"/>
  <c r="C178" i="47"/>
  <c r="C116" i="47"/>
  <c r="C129" i="47" s="1"/>
  <c r="C69" i="47" s="1"/>
  <c r="C66" i="47"/>
  <c r="AJ137" i="33"/>
  <c r="C137" i="47" s="1"/>
  <c r="B48" i="54" s="1"/>
  <c r="E48" i="54" s="1"/>
  <c r="AF158" i="42"/>
  <c r="AJ116" i="42"/>
  <c r="N29" i="47"/>
  <c r="E137" i="47"/>
  <c r="B207" i="47"/>
  <c r="B247" i="47" s="1"/>
  <c r="B263" i="47" s="1"/>
  <c r="BB62" i="42"/>
  <c r="BB65" i="42" s="1"/>
  <c r="BB66" i="42" s="1"/>
  <c r="AY66" i="42"/>
  <c r="AX66" i="42"/>
  <c r="AI158" i="42"/>
  <c r="AF75" i="42"/>
  <c r="AJ75" i="42" s="1"/>
  <c r="G75" i="47" s="1"/>
  <c r="AF88" i="42"/>
  <c r="AF163" i="42" s="1"/>
  <c r="AJ163" i="42" s="1"/>
  <c r="G163" i="47" s="1"/>
  <c r="AJ5" i="42"/>
  <c r="AJ147" i="42"/>
  <c r="G147" i="47" s="1"/>
  <c r="AF157" i="42"/>
  <c r="AJ148" i="42"/>
  <c r="G148" i="47" s="1"/>
  <c r="AJ145" i="42"/>
  <c r="G145" i="47" s="1"/>
  <c r="AJ146" i="42"/>
  <c r="G146" i="47" s="1"/>
  <c r="AF141" i="42"/>
  <c r="AJ19" i="42"/>
  <c r="X8" i="48" s="1"/>
  <c r="AJ23" i="42"/>
  <c r="G23" i="47" s="1"/>
  <c r="AJ74" i="42"/>
  <c r="G74" i="47" s="1"/>
  <c r="AG158" i="42"/>
  <c r="AK108" i="42"/>
  <c r="BB62" i="38"/>
  <c r="BB65" i="38" s="1"/>
  <c r="BB39" i="38"/>
  <c r="BB64" i="38" s="1"/>
  <c r="AG158" i="38"/>
  <c r="AI158" i="38"/>
  <c r="AH158" i="38"/>
  <c r="AJ147" i="38"/>
  <c r="F147" i="47" s="1"/>
  <c r="AF157" i="38"/>
  <c r="AJ148" i="38"/>
  <c r="F148" i="47" s="1"/>
  <c r="AJ145" i="38"/>
  <c r="F145" i="47" s="1"/>
  <c r="AF141" i="38"/>
  <c r="AJ19" i="38"/>
  <c r="W8" i="48" s="1"/>
  <c r="AJ23" i="38"/>
  <c r="F23" i="47" s="1"/>
  <c r="AJ74" i="38"/>
  <c r="F74" i="47" s="1"/>
  <c r="AF158" i="38"/>
  <c r="AJ108" i="38"/>
  <c r="F108" i="47" s="1"/>
  <c r="F116" i="47" s="1"/>
  <c r="AF75" i="38"/>
  <c r="AJ75" i="38" s="1"/>
  <c r="F75" i="47" s="1"/>
  <c r="AF88" i="38"/>
  <c r="AF165" i="38" s="1"/>
  <c r="AJ5" i="38"/>
  <c r="AJ88" i="38" s="1"/>
  <c r="F88" i="47" s="1"/>
  <c r="AK108" i="37"/>
  <c r="AJ116" i="37"/>
  <c r="AJ129" i="37" s="1"/>
  <c r="AJ70" i="37" s="1"/>
  <c r="AF157" i="37"/>
  <c r="AJ148" i="37"/>
  <c r="E148" i="47" s="1"/>
  <c r="AJ145" i="37"/>
  <c r="E145" i="47" s="1"/>
  <c r="AF141" i="37"/>
  <c r="AJ146" i="37"/>
  <c r="E146" i="47" s="1"/>
  <c r="AJ23" i="37"/>
  <c r="E23" i="47" s="1"/>
  <c r="AJ26" i="37"/>
  <c r="E26" i="47" s="1"/>
  <c r="AJ19" i="37"/>
  <c r="V8" i="48" s="1"/>
  <c r="V21" i="48" s="1"/>
  <c r="V30" i="48" s="1"/>
  <c r="J127" i="48" s="1"/>
  <c r="AG116" i="37"/>
  <c r="AG129" i="37" s="1"/>
  <c r="AF158" i="37"/>
  <c r="AG158" i="37"/>
  <c r="AJ74" i="37"/>
  <c r="E74" i="47" s="1"/>
  <c r="AH158" i="37"/>
  <c r="AH129" i="37"/>
  <c r="AF165" i="37"/>
  <c r="AJ165" i="37" s="1"/>
  <c r="E165" i="47" s="1"/>
  <c r="AF163" i="37"/>
  <c r="AJ163" i="37" s="1"/>
  <c r="E163" i="47" s="1"/>
  <c r="AF164" i="37"/>
  <c r="AJ164" i="37" s="1"/>
  <c r="E164" i="47" s="1"/>
  <c r="AJ88" i="37"/>
  <c r="E88" i="47" s="1"/>
  <c r="AF158" i="36"/>
  <c r="AJ75" i="36"/>
  <c r="D75" i="47" s="1"/>
  <c r="AJ87" i="36"/>
  <c r="D87" i="47" s="1"/>
  <c r="AJ146" i="36"/>
  <c r="D146" i="47" s="1"/>
  <c r="AJ148" i="36"/>
  <c r="D148" i="47" s="1"/>
  <c r="AJ145" i="36"/>
  <c r="D145" i="47" s="1"/>
  <c r="AI192" i="36"/>
  <c r="AJ147" i="36"/>
  <c r="D147" i="47" s="1"/>
  <c r="BB39" i="36"/>
  <c r="BB64" i="36" s="1"/>
  <c r="BB66" i="36" s="1"/>
  <c r="AK108" i="36"/>
  <c r="AH78" i="36"/>
  <c r="AH77" i="36"/>
  <c r="AJ22" i="36"/>
  <c r="D22" i="47" s="1"/>
  <c r="J22" i="47" s="1"/>
  <c r="AK30" i="36"/>
  <c r="AJ157" i="36"/>
  <c r="D157" i="47" s="1"/>
  <c r="AI138" i="36"/>
  <c r="AI139" i="36" s="1"/>
  <c r="AF151" i="36"/>
  <c r="AJ141" i="36"/>
  <c r="D141" i="47" s="1"/>
  <c r="AJ74" i="36"/>
  <c r="D74" i="47" s="1"/>
  <c r="AI89" i="36"/>
  <c r="AJ76" i="36"/>
  <c r="AJ116" i="36"/>
  <c r="AG158" i="36"/>
  <c r="AI85" i="36"/>
  <c r="AI86" i="36" s="1"/>
  <c r="AI167" i="36"/>
  <c r="AF205" i="36"/>
  <c r="AF165" i="36"/>
  <c r="AF163" i="36"/>
  <c r="AF164" i="36"/>
  <c r="AH167" i="36"/>
  <c r="AJ154" i="36"/>
  <c r="D154" i="47" s="1"/>
  <c r="AH158" i="33"/>
  <c r="AI130" i="33"/>
  <c r="AI138" i="33" s="1"/>
  <c r="AI139" i="33" s="1"/>
  <c r="AJ66" i="33"/>
  <c r="AF186" i="33" s="1"/>
  <c r="AF130" i="33"/>
  <c r="AF88" i="33"/>
  <c r="AF87" i="33"/>
  <c r="AF75" i="33"/>
  <c r="AJ75" i="33" s="1"/>
  <c r="C75" i="47" s="1"/>
  <c r="B5" i="54" s="1"/>
  <c r="E5" i="54" s="1"/>
  <c r="AJ5" i="33"/>
  <c r="AH130" i="33"/>
  <c r="AJ148" i="33"/>
  <c r="C148" i="47" s="1"/>
  <c r="B56" i="54" s="1"/>
  <c r="AJ145" i="33"/>
  <c r="C145" i="47" s="1"/>
  <c r="B53" i="54" s="1"/>
  <c r="AJ19" i="33"/>
  <c r="T8" i="48" s="1"/>
  <c r="T21" i="48" s="1"/>
  <c r="T30" i="48" s="1"/>
  <c r="H127" i="48" s="1"/>
  <c r="AI183" i="33"/>
  <c r="AJ146" i="33"/>
  <c r="C146" i="47" s="1"/>
  <c r="B54" i="54" s="1"/>
  <c r="AJ161" i="33"/>
  <c r="C161" i="47" s="1"/>
  <c r="B67" i="54" s="1"/>
  <c r="E67" i="54" s="1"/>
  <c r="F67" i="54" s="1"/>
  <c r="G67" i="54" s="1"/>
  <c r="H67" i="54" s="1"/>
  <c r="I67" i="54" s="1"/>
  <c r="J67" i="54" s="1"/>
  <c r="K67" i="54" s="1"/>
  <c r="L67" i="54" s="1"/>
  <c r="M67" i="54" s="1"/>
  <c r="N67" i="54" s="1"/>
  <c r="O67" i="54" s="1"/>
  <c r="P67" i="54" s="1"/>
  <c r="D67" i="54" s="1"/>
  <c r="C67" i="54" s="1"/>
  <c r="AJ147" i="33"/>
  <c r="C147" i="47" s="1"/>
  <c r="B55" i="54" s="1"/>
  <c r="AK108" i="33"/>
  <c r="AJ116" i="33"/>
  <c r="AJ128" i="33"/>
  <c r="AF158" i="33"/>
  <c r="AI158" i="33"/>
  <c r="E55" i="54" l="1"/>
  <c r="F55" i="54"/>
  <c r="G55" i="54" s="1"/>
  <c r="H55" i="54" s="1"/>
  <c r="I55" i="54" s="1"/>
  <c r="J55" i="54" s="1"/>
  <c r="K55" i="54" s="1"/>
  <c r="L55" i="54" s="1"/>
  <c r="M55" i="54" s="1"/>
  <c r="N55" i="54" s="1"/>
  <c r="O55" i="54" s="1"/>
  <c r="P55" i="54" s="1"/>
  <c r="D23" i="54"/>
  <c r="C23" i="54" s="1"/>
  <c r="AG81" i="38"/>
  <c r="AJ26" i="38"/>
  <c r="F12" i="54"/>
  <c r="G12" i="54" s="1"/>
  <c r="H12" i="54" s="1"/>
  <c r="I12" i="54" s="1"/>
  <c r="J12" i="54" s="1"/>
  <c r="K12" i="54" s="1"/>
  <c r="L12" i="54" s="1"/>
  <c r="M12" i="54" s="1"/>
  <c r="N12" i="54" s="1"/>
  <c r="O12" i="54" s="1"/>
  <c r="P12" i="54" s="1"/>
  <c r="D12" i="54"/>
  <c r="C12" i="54" s="1"/>
  <c r="F54" i="54"/>
  <c r="G54" i="54" s="1"/>
  <c r="H54" i="54" s="1"/>
  <c r="I54" i="54" s="1"/>
  <c r="J54" i="54" s="1"/>
  <c r="K54" i="54" s="1"/>
  <c r="L54" i="54" s="1"/>
  <c r="M54" i="54" s="1"/>
  <c r="N54" i="54" s="1"/>
  <c r="O54" i="54" s="1"/>
  <c r="P54" i="54" s="1"/>
  <c r="E54" i="54"/>
  <c r="W21" i="48"/>
  <c r="W30" i="48" s="1"/>
  <c r="K127" i="48" s="1"/>
  <c r="H19" i="54"/>
  <c r="D21" i="54"/>
  <c r="C21" i="54" s="1"/>
  <c r="D26" i="54"/>
  <c r="C26" i="54" s="1"/>
  <c r="F48" i="54"/>
  <c r="G48" i="54" s="1"/>
  <c r="H48" i="54" s="1"/>
  <c r="I48" i="54" s="1"/>
  <c r="J48" i="54" s="1"/>
  <c r="K48" i="54" s="1"/>
  <c r="L48" i="54" s="1"/>
  <c r="M48" i="54" s="1"/>
  <c r="N48" i="54" s="1"/>
  <c r="O48" i="54" s="1"/>
  <c r="P48" i="54" s="1"/>
  <c r="D48" i="54"/>
  <c r="C48" i="54" s="1"/>
  <c r="F5" i="54"/>
  <c r="G5" i="54" s="1"/>
  <c r="H5" i="54" s="1"/>
  <c r="I5" i="54" s="1"/>
  <c r="J5" i="54" s="1"/>
  <c r="K5" i="54" s="1"/>
  <c r="L5" i="54" s="1"/>
  <c r="M5" i="54" s="1"/>
  <c r="N5" i="54" s="1"/>
  <c r="O5" i="54" s="1"/>
  <c r="P5" i="54" s="1"/>
  <c r="F103" i="54"/>
  <c r="G103" i="54" s="1"/>
  <c r="H103" i="54" s="1"/>
  <c r="I103" i="54" s="1"/>
  <c r="J103" i="54" s="1"/>
  <c r="K103" i="54" s="1"/>
  <c r="L103" i="54" s="1"/>
  <c r="M103" i="54" s="1"/>
  <c r="N103" i="54" s="1"/>
  <c r="O103" i="54" s="1"/>
  <c r="P103" i="54" s="1"/>
  <c r="D103" i="54"/>
  <c r="C103" i="54" s="1"/>
  <c r="E56" i="54"/>
  <c r="D56" i="54" s="1"/>
  <c r="C56" i="54" s="1"/>
  <c r="F56" i="54"/>
  <c r="G56" i="54" s="1"/>
  <c r="H56" i="54" s="1"/>
  <c r="I56" i="54" s="1"/>
  <c r="J56" i="54" s="1"/>
  <c r="K56" i="54" s="1"/>
  <c r="L56" i="54" s="1"/>
  <c r="M56" i="54" s="1"/>
  <c r="N56" i="54" s="1"/>
  <c r="O56" i="54" s="1"/>
  <c r="P56" i="54" s="1"/>
  <c r="AG26" i="36"/>
  <c r="F36" i="54"/>
  <c r="G36" i="54" s="1"/>
  <c r="H36" i="54" s="1"/>
  <c r="I36" i="54" s="1"/>
  <c r="J36" i="54" s="1"/>
  <c r="K36" i="54" s="1"/>
  <c r="L36" i="54" s="1"/>
  <c r="M36" i="54" s="1"/>
  <c r="N36" i="54" s="1"/>
  <c r="O36" i="54" s="1"/>
  <c r="P36" i="54" s="1"/>
  <c r="E53" i="54"/>
  <c r="F53" i="54"/>
  <c r="G53" i="54" s="1"/>
  <c r="H53" i="54" s="1"/>
  <c r="I53" i="54" s="1"/>
  <c r="J53" i="54" s="1"/>
  <c r="K53" i="54" s="1"/>
  <c r="L53" i="54" s="1"/>
  <c r="M53" i="54" s="1"/>
  <c r="N53" i="54" s="1"/>
  <c r="O53" i="54" s="1"/>
  <c r="P53" i="54" s="1"/>
  <c r="B252" i="47"/>
  <c r="B260" i="47"/>
  <c r="B253" i="47"/>
  <c r="B261" i="47"/>
  <c r="B256" i="47"/>
  <c r="B248" i="47"/>
  <c r="B258" i="47"/>
  <c r="B259" i="47"/>
  <c r="B249" i="47"/>
  <c r="B257" i="47"/>
  <c r="B250" i="47"/>
  <c r="B251" i="47"/>
  <c r="B255" i="47"/>
  <c r="B254" i="47"/>
  <c r="C181" i="47"/>
  <c r="B80" i="54"/>
  <c r="E44" i="44"/>
  <c r="AG26" i="42"/>
  <c r="AG81" i="42" s="1"/>
  <c r="D14" i="54"/>
  <c r="C14" i="54" s="1"/>
  <c r="E42" i="54"/>
  <c r="D73" i="54"/>
  <c r="C92" i="54"/>
  <c r="D59" i="54"/>
  <c r="AG130" i="36"/>
  <c r="AJ130" i="36" s="1"/>
  <c r="D130" i="47" s="1"/>
  <c r="D69" i="47"/>
  <c r="E42" i="44"/>
  <c r="C230" i="47"/>
  <c r="C235" i="47" s="1"/>
  <c r="G44" i="44"/>
  <c r="AG81" i="36"/>
  <c r="AJ26" i="36"/>
  <c r="D26" i="47" s="1"/>
  <c r="AJ209" i="42"/>
  <c r="G209" i="47" s="1"/>
  <c r="AX209" i="42"/>
  <c r="BB209" i="42" s="1"/>
  <c r="AJ80" i="37"/>
  <c r="AG93" i="37"/>
  <c r="AJ175" i="37"/>
  <c r="AF176" i="37"/>
  <c r="AG80" i="42"/>
  <c r="AJ24" i="42"/>
  <c r="G24" i="47" s="1"/>
  <c r="H141" i="48"/>
  <c r="H139" i="48"/>
  <c r="H140" i="48"/>
  <c r="H128" i="48"/>
  <c r="H138" i="48"/>
  <c r="H137" i="48"/>
  <c r="O137" i="48" s="1"/>
  <c r="J139" i="48"/>
  <c r="J142" i="48"/>
  <c r="J143" i="48"/>
  <c r="J140" i="48"/>
  <c r="J128" i="48"/>
  <c r="J141" i="48"/>
  <c r="AJ81" i="38"/>
  <c r="AG94" i="38"/>
  <c r="E81" i="47"/>
  <c r="AJ94" i="37"/>
  <c r="E94" i="47" s="1"/>
  <c r="AI167" i="33"/>
  <c r="AI85" i="33"/>
  <c r="AI98" i="33" s="1"/>
  <c r="AG130" i="33"/>
  <c r="AG138" i="33" s="1"/>
  <c r="AG139" i="33" s="1"/>
  <c r="AG207" i="33" s="1"/>
  <c r="F129" i="47"/>
  <c r="G42" i="44" s="1"/>
  <c r="F26" i="47"/>
  <c r="AJ26" i="42"/>
  <c r="G26" i="47" s="1"/>
  <c r="D175" i="47"/>
  <c r="D176" i="47" s="1"/>
  <c r="AJ176" i="36"/>
  <c r="AG80" i="38"/>
  <c r="AJ24" i="38"/>
  <c r="F24" i="47" s="1"/>
  <c r="L24" i="47" s="1"/>
  <c r="AJ79" i="38"/>
  <c r="AG92" i="38"/>
  <c r="AG92" i="42"/>
  <c r="AJ79" i="42"/>
  <c r="K140" i="48"/>
  <c r="K143" i="48"/>
  <c r="K141" i="48"/>
  <c r="K128" i="48"/>
  <c r="K142" i="48"/>
  <c r="H44" i="44"/>
  <c r="N22" i="47"/>
  <c r="N23" i="47"/>
  <c r="N24" i="47"/>
  <c r="AK29" i="36"/>
  <c r="K6" i="47"/>
  <c r="K19" i="47" s="1"/>
  <c r="K29" i="47" s="1"/>
  <c r="AG79" i="36"/>
  <c r="AJ23" i="36"/>
  <c r="D23" i="47" s="1"/>
  <c r="J23" i="47" s="1"/>
  <c r="AK29" i="38"/>
  <c r="M7" i="47"/>
  <c r="M19" i="47" s="1"/>
  <c r="M29" i="47" s="1"/>
  <c r="AG94" i="42"/>
  <c r="AJ81" i="42"/>
  <c r="AJ209" i="37"/>
  <c r="E209" i="47" s="1"/>
  <c r="AX209" i="37"/>
  <c r="BB209" i="37" s="1"/>
  <c r="AI138" i="37"/>
  <c r="AI139" i="37" s="1"/>
  <c r="AJ175" i="42"/>
  <c r="AF176" i="42"/>
  <c r="AJ175" i="33"/>
  <c r="AF176" i="33"/>
  <c r="AJ175" i="38"/>
  <c r="AF176" i="38"/>
  <c r="AJ129" i="36"/>
  <c r="AJ69" i="36" s="1"/>
  <c r="L23" i="47"/>
  <c r="X21" i="48"/>
  <c r="X30" i="48" s="1"/>
  <c r="L127" i="48" s="1"/>
  <c r="AF165" i="42"/>
  <c r="AJ165" i="42" s="1"/>
  <c r="G165" i="47" s="1"/>
  <c r="E38" i="40"/>
  <c r="D5" i="47"/>
  <c r="D19" i="47"/>
  <c r="K24" i="47" s="1"/>
  <c r="AH78" i="38"/>
  <c r="AH149" i="38"/>
  <c r="F19" i="47"/>
  <c r="M23" i="47" s="1"/>
  <c r="G39" i="40"/>
  <c r="F5" i="47"/>
  <c r="U21" i="48"/>
  <c r="U30" i="48" s="1"/>
  <c r="I127" i="48" s="1"/>
  <c r="AJ129" i="42"/>
  <c r="AJ69" i="42" s="1"/>
  <c r="F44" i="44"/>
  <c r="AI167" i="37"/>
  <c r="AI85" i="37"/>
  <c r="AI86" i="37" s="1"/>
  <c r="AI98" i="36"/>
  <c r="BA85" i="36"/>
  <c r="AJ133" i="33"/>
  <c r="C133" i="47" s="1"/>
  <c r="B44" i="54" s="1"/>
  <c r="J44" i="54" s="1"/>
  <c r="D44" i="54" s="1"/>
  <c r="C44" i="54" s="1"/>
  <c r="G129" i="47"/>
  <c r="H42" i="44" s="1"/>
  <c r="AJ70" i="42"/>
  <c r="AF85" i="42"/>
  <c r="BB66" i="38"/>
  <c r="AF138" i="38"/>
  <c r="AF139" i="38" s="1"/>
  <c r="E69" i="47"/>
  <c r="E70" i="47"/>
  <c r="AG130" i="37"/>
  <c r="AG131" i="37"/>
  <c r="AH130" i="37"/>
  <c r="AH131" i="37"/>
  <c r="AH85" i="37"/>
  <c r="AH85" i="38"/>
  <c r="AJ130" i="38"/>
  <c r="AJ131" i="38"/>
  <c r="F131" i="47" s="1"/>
  <c r="AJ130" i="42"/>
  <c r="AJ131" i="42"/>
  <c r="G131" i="47" s="1"/>
  <c r="AH98" i="42"/>
  <c r="AG138" i="36"/>
  <c r="AG139" i="36" s="1"/>
  <c r="AF186" i="36"/>
  <c r="AJ89" i="36"/>
  <c r="D89" i="47" s="1"/>
  <c r="D76" i="47"/>
  <c r="AJ131" i="36"/>
  <c r="D131" i="47" s="1"/>
  <c r="D70" i="47"/>
  <c r="AH98" i="36"/>
  <c r="AJ205" i="36"/>
  <c r="D200" i="47"/>
  <c r="D205" i="47" s="1"/>
  <c r="D44" i="44"/>
  <c r="C70" i="47"/>
  <c r="D42" i="44"/>
  <c r="AF192" i="33"/>
  <c r="AJ186" i="33"/>
  <c r="C186" i="47" s="1"/>
  <c r="B86" i="54" s="1"/>
  <c r="E86" i="54" s="1"/>
  <c r="D86" i="54" s="1"/>
  <c r="C86" i="54" s="1"/>
  <c r="AH85" i="33"/>
  <c r="AH138" i="42"/>
  <c r="AH139" i="42" s="1"/>
  <c r="F132" i="47"/>
  <c r="B220" i="47"/>
  <c r="B228" i="47"/>
  <c r="B237" i="47" s="1"/>
  <c r="AJ165" i="38"/>
  <c r="F165" i="47" s="1"/>
  <c r="AJ209" i="38"/>
  <c r="F209" i="47" s="1"/>
  <c r="AX209" i="38"/>
  <c r="BB209" i="38" s="1"/>
  <c r="AF164" i="42"/>
  <c r="AJ164" i="42" s="1"/>
  <c r="G164" i="47" s="1"/>
  <c r="AI89" i="42"/>
  <c r="AJ76" i="42"/>
  <c r="AG85" i="42"/>
  <c r="AG167" i="42"/>
  <c r="AI138" i="42"/>
  <c r="AI139" i="42" s="1"/>
  <c r="AH78" i="42"/>
  <c r="AH77" i="42"/>
  <c r="AJ22" i="42"/>
  <c r="G22" i="47" s="1"/>
  <c r="AK30" i="42"/>
  <c r="AJ157" i="42"/>
  <c r="G157" i="47" s="1"/>
  <c r="AJ87" i="42"/>
  <c r="G87" i="47" s="1"/>
  <c r="AJ88" i="42"/>
  <c r="G88" i="47" s="1"/>
  <c r="AG138" i="42"/>
  <c r="AG139" i="42" s="1"/>
  <c r="AI85" i="42"/>
  <c r="AI167" i="42"/>
  <c r="AJ158" i="42"/>
  <c r="G158" i="47" s="1"/>
  <c r="AI192" i="42"/>
  <c r="AJ183" i="42"/>
  <c r="AH167" i="42"/>
  <c r="AJ154" i="42"/>
  <c r="G154" i="47" s="1"/>
  <c r="AF151" i="42"/>
  <c r="AJ141" i="42"/>
  <c r="G141" i="47" s="1"/>
  <c r="AJ205" i="42"/>
  <c r="AF205" i="42"/>
  <c r="AF138" i="42"/>
  <c r="AF139" i="42" s="1"/>
  <c r="AK108" i="38"/>
  <c r="AJ116" i="38"/>
  <c r="AJ129" i="38" s="1"/>
  <c r="AF164" i="38"/>
  <c r="AF85" i="38"/>
  <c r="AJ158" i="38"/>
  <c r="F158" i="47" s="1"/>
  <c r="AI192" i="38"/>
  <c r="AJ183" i="38"/>
  <c r="AH167" i="38"/>
  <c r="AJ154" i="38"/>
  <c r="F154" i="47" s="1"/>
  <c r="AJ87" i="38"/>
  <c r="F87" i="47" s="1"/>
  <c r="AI89" i="38"/>
  <c r="AJ76" i="38"/>
  <c r="AF163" i="38"/>
  <c r="AH77" i="38"/>
  <c r="AJ22" i="38"/>
  <c r="F22" i="47" s="1"/>
  <c r="L22" i="47" s="1"/>
  <c r="AK30" i="38"/>
  <c r="AJ157" i="38"/>
  <c r="F157" i="47" s="1"/>
  <c r="AI85" i="38"/>
  <c r="AI167" i="38"/>
  <c r="AG138" i="38"/>
  <c r="AG139" i="38" s="1"/>
  <c r="AF151" i="38"/>
  <c r="AJ141" i="38"/>
  <c r="F141" i="47" s="1"/>
  <c r="AJ205" i="38"/>
  <c r="AF205" i="38"/>
  <c r="AG85" i="38"/>
  <c r="AG167" i="38"/>
  <c r="AH138" i="38"/>
  <c r="AH139" i="38" s="1"/>
  <c r="AI192" i="37"/>
  <c r="AI207" i="37" s="1"/>
  <c r="AJ183" i="37"/>
  <c r="AH167" i="37"/>
  <c r="AJ154" i="37"/>
  <c r="E154" i="47" s="1"/>
  <c r="AH77" i="37"/>
  <c r="AJ22" i="37"/>
  <c r="E22" i="47" s="1"/>
  <c r="AK30" i="37"/>
  <c r="AJ157" i="37"/>
  <c r="E157" i="47" s="1"/>
  <c r="AF167" i="37"/>
  <c r="AF85" i="37"/>
  <c r="AJ158" i="37"/>
  <c r="E158" i="47" s="1"/>
  <c r="AF138" i="37"/>
  <c r="AF139" i="37" s="1"/>
  <c r="AF205" i="37"/>
  <c r="AJ69" i="37"/>
  <c r="AG85" i="37"/>
  <c r="AG167" i="37"/>
  <c r="E132" i="47"/>
  <c r="AF151" i="37"/>
  <c r="AJ141" i="37"/>
  <c r="E141" i="47" s="1"/>
  <c r="AI89" i="37"/>
  <c r="AJ76" i="37"/>
  <c r="AJ158" i="36"/>
  <c r="D158" i="47" s="1"/>
  <c r="AF85" i="36"/>
  <c r="AF86" i="36" s="1"/>
  <c r="AF138" i="36"/>
  <c r="AF139" i="36" s="1"/>
  <c r="AJ209" i="36"/>
  <c r="D209" i="47" s="1"/>
  <c r="AX209" i="36"/>
  <c r="BB209" i="36" s="1"/>
  <c r="AJ163" i="36"/>
  <c r="D163" i="47" s="1"/>
  <c r="AJ164" i="36"/>
  <c r="D164" i="47" s="1"/>
  <c r="AJ165" i="36"/>
  <c r="D165" i="47" s="1"/>
  <c r="AH138" i="36"/>
  <c r="AH139" i="36" s="1"/>
  <c r="AF167" i="36"/>
  <c r="AH90" i="36"/>
  <c r="AH86" i="36"/>
  <c r="AJ77" i="36"/>
  <c r="AH151" i="36"/>
  <c r="AJ149" i="36"/>
  <c r="AI207" i="36"/>
  <c r="AI220" i="36" s="1"/>
  <c r="AI221" i="36" s="1"/>
  <c r="AG85" i="36"/>
  <c r="AG167" i="36"/>
  <c r="AH91" i="36"/>
  <c r="AJ78" i="36"/>
  <c r="AJ131" i="33"/>
  <c r="C131" i="47" s="1"/>
  <c r="B42" i="54" s="1"/>
  <c r="AF85" i="33"/>
  <c r="AJ158" i="33"/>
  <c r="C158" i="47" s="1"/>
  <c r="B64" i="54" s="1"/>
  <c r="E64" i="54" s="1"/>
  <c r="AK30" i="33"/>
  <c r="AJ22" i="33"/>
  <c r="C22" i="47" s="1"/>
  <c r="AF151" i="33"/>
  <c r="AJ141" i="33"/>
  <c r="C141" i="47" s="1"/>
  <c r="B49" i="54" s="1"/>
  <c r="AJ26" i="33"/>
  <c r="C26" i="47" s="1"/>
  <c r="AJ157" i="33"/>
  <c r="C157" i="47" s="1"/>
  <c r="B63" i="54" s="1"/>
  <c r="E63" i="54" s="1"/>
  <c r="AF164" i="33"/>
  <c r="AJ164" i="33" s="1"/>
  <c r="C164" i="47" s="1"/>
  <c r="B70" i="54" s="1"/>
  <c r="E70" i="54" s="1"/>
  <c r="AF165" i="33"/>
  <c r="AJ165" i="33" s="1"/>
  <c r="C165" i="47" s="1"/>
  <c r="B71" i="54" s="1"/>
  <c r="E71" i="54" s="1"/>
  <c r="AF163" i="33"/>
  <c r="AJ163" i="33" s="1"/>
  <c r="C163" i="47" s="1"/>
  <c r="B69" i="54" s="1"/>
  <c r="E69" i="54" s="1"/>
  <c r="AJ200" i="33"/>
  <c r="AF205" i="33"/>
  <c r="AJ74" i="33"/>
  <c r="C74" i="47" s="1"/>
  <c r="B4" i="54" s="1"/>
  <c r="E4" i="54" s="1"/>
  <c r="AJ129" i="33"/>
  <c r="AJ23" i="33"/>
  <c r="C23" i="47" s="1"/>
  <c r="AI192" i="33"/>
  <c r="AI207" i="33" s="1"/>
  <c r="AJ183" i="33"/>
  <c r="AJ88" i="33"/>
  <c r="C88" i="47" s="1"/>
  <c r="AJ87" i="33"/>
  <c r="C87" i="47" s="1"/>
  <c r="AJ132" i="33"/>
  <c r="C132" i="47" s="1"/>
  <c r="B43" i="54" s="1"/>
  <c r="C43" i="54" s="1"/>
  <c r="AJ24" i="33"/>
  <c r="C24" i="47" s="1"/>
  <c r="AI89" i="33"/>
  <c r="AJ76" i="33"/>
  <c r="AJ154" i="33"/>
  <c r="C154" i="47" s="1"/>
  <c r="B60" i="54" s="1"/>
  <c r="E60" i="54" s="1"/>
  <c r="AH167" i="33"/>
  <c r="AH138" i="33"/>
  <c r="AH139" i="33" s="1"/>
  <c r="AF138" i="33"/>
  <c r="AF139" i="33" s="1"/>
  <c r="AJ130" i="33"/>
  <c r="C130" i="47" s="1"/>
  <c r="B41" i="54" s="1"/>
  <c r="F64" i="54" l="1"/>
  <c r="G64" i="54" s="1"/>
  <c r="H64" i="54" s="1"/>
  <c r="I64" i="54" s="1"/>
  <c r="J64" i="54" s="1"/>
  <c r="K64" i="54" s="1"/>
  <c r="L64" i="54" s="1"/>
  <c r="M64" i="54" s="1"/>
  <c r="N64" i="54" s="1"/>
  <c r="O64" i="54" s="1"/>
  <c r="P64" i="54" s="1"/>
  <c r="F49" i="54"/>
  <c r="G49" i="54" s="1"/>
  <c r="H49" i="54" s="1"/>
  <c r="I49" i="54" s="1"/>
  <c r="J49" i="54" s="1"/>
  <c r="K49" i="54" s="1"/>
  <c r="L49" i="54" s="1"/>
  <c r="M49" i="54" s="1"/>
  <c r="N49" i="54" s="1"/>
  <c r="O49" i="54" s="1"/>
  <c r="P49" i="54" s="1"/>
  <c r="E49" i="54"/>
  <c r="D49" i="54" s="1"/>
  <c r="C49" i="54" s="1"/>
  <c r="F69" i="54"/>
  <c r="G69" i="54" s="1"/>
  <c r="H69" i="54" s="1"/>
  <c r="I69" i="54" s="1"/>
  <c r="J69" i="54" s="1"/>
  <c r="K69" i="54" s="1"/>
  <c r="L69" i="54" s="1"/>
  <c r="M69" i="54" s="1"/>
  <c r="N69" i="54" s="1"/>
  <c r="O69" i="54" s="1"/>
  <c r="P69" i="54" s="1"/>
  <c r="D69" i="54"/>
  <c r="C69" i="54" s="1"/>
  <c r="F41" i="54"/>
  <c r="F70" i="54"/>
  <c r="G70" i="54" s="1"/>
  <c r="H70" i="54" s="1"/>
  <c r="I70" i="54" s="1"/>
  <c r="J70" i="54" s="1"/>
  <c r="K70" i="54" s="1"/>
  <c r="L70" i="54" s="1"/>
  <c r="M70" i="54" s="1"/>
  <c r="N70" i="54" s="1"/>
  <c r="O70" i="54" s="1"/>
  <c r="P70" i="54" s="1"/>
  <c r="D70" i="54"/>
  <c r="C70" i="54" s="1"/>
  <c r="L80" i="54"/>
  <c r="G80" i="54"/>
  <c r="D80" i="54" s="1"/>
  <c r="C80" i="54" s="1"/>
  <c r="F63" i="54"/>
  <c r="G63" i="54" s="1"/>
  <c r="H63" i="54" s="1"/>
  <c r="I63" i="54" s="1"/>
  <c r="J63" i="54" s="1"/>
  <c r="K63" i="54" s="1"/>
  <c r="L63" i="54" s="1"/>
  <c r="M63" i="54" s="1"/>
  <c r="N63" i="54" s="1"/>
  <c r="O63" i="54" s="1"/>
  <c r="P63" i="54" s="1"/>
  <c r="D63" i="54"/>
  <c r="C63" i="54" s="1"/>
  <c r="D53" i="54"/>
  <c r="C53" i="54" s="1"/>
  <c r="D5" i="54"/>
  <c r="C5" i="54" s="1"/>
  <c r="H42" i="54"/>
  <c r="H41" i="54"/>
  <c r="I19" i="54"/>
  <c r="F60" i="54"/>
  <c r="G60" i="54" s="1"/>
  <c r="H60" i="54" s="1"/>
  <c r="I60" i="54" s="1"/>
  <c r="J60" i="54" s="1"/>
  <c r="K60" i="54" s="1"/>
  <c r="L60" i="54" s="1"/>
  <c r="M60" i="54" s="1"/>
  <c r="N60" i="54" s="1"/>
  <c r="O60" i="54" s="1"/>
  <c r="P60" i="54" s="1"/>
  <c r="D36" i="54"/>
  <c r="C36" i="54" s="1"/>
  <c r="G41" i="54"/>
  <c r="F71" i="54"/>
  <c r="G71" i="54" s="1"/>
  <c r="H71" i="54" s="1"/>
  <c r="I71" i="54" s="1"/>
  <c r="J71" i="54" s="1"/>
  <c r="K71" i="54" s="1"/>
  <c r="L71" i="54" s="1"/>
  <c r="M71" i="54" s="1"/>
  <c r="N71" i="54" s="1"/>
  <c r="O71" i="54" s="1"/>
  <c r="P71" i="54" s="1"/>
  <c r="F42" i="54"/>
  <c r="G42" i="54"/>
  <c r="F4" i="54"/>
  <c r="D54" i="54"/>
  <c r="C54" i="54" s="1"/>
  <c r="D55" i="54"/>
  <c r="C55" i="54" s="1"/>
  <c r="C59" i="54"/>
  <c r="C73" i="54"/>
  <c r="F70" i="47"/>
  <c r="F69" i="47"/>
  <c r="AI207" i="38"/>
  <c r="G230" i="47"/>
  <c r="G235" i="47" s="1"/>
  <c r="F230" i="47"/>
  <c r="F235" i="47" s="1"/>
  <c r="E230" i="47"/>
  <c r="E235" i="47" s="1"/>
  <c r="D230" i="47"/>
  <c r="D235" i="47" s="1"/>
  <c r="C175" i="47"/>
  <c r="AJ176" i="33"/>
  <c r="AJ92" i="42"/>
  <c r="G92" i="47" s="1"/>
  <c r="G79" i="47"/>
  <c r="AI99" i="36"/>
  <c r="AJ80" i="38"/>
  <c r="AG93" i="38"/>
  <c r="M24" i="47"/>
  <c r="AI86" i="33"/>
  <c r="AI220" i="33" s="1"/>
  <c r="AI221" i="33" s="1"/>
  <c r="D167" i="47"/>
  <c r="I140" i="48"/>
  <c r="I139" i="48"/>
  <c r="I128" i="48"/>
  <c r="I138" i="48"/>
  <c r="I141" i="48"/>
  <c r="O141" i="48" s="1"/>
  <c r="I142" i="48"/>
  <c r="L143" i="48"/>
  <c r="O143" i="48" s="1"/>
  <c r="L142" i="48"/>
  <c r="L128" i="48"/>
  <c r="L141" i="48"/>
  <c r="F175" i="47"/>
  <c r="F176" i="47" s="1"/>
  <c r="AJ176" i="38"/>
  <c r="G175" i="47"/>
  <c r="G176" i="47" s="1"/>
  <c r="AJ176" i="42"/>
  <c r="F81" i="47"/>
  <c r="AJ94" i="38"/>
  <c r="F94" i="47" s="1"/>
  <c r="O140" i="48"/>
  <c r="AG93" i="42"/>
  <c r="AJ80" i="42"/>
  <c r="AJ93" i="37"/>
  <c r="E93" i="47" s="1"/>
  <c r="E80" i="47"/>
  <c r="AJ79" i="36"/>
  <c r="AG92" i="36"/>
  <c r="O138" i="48"/>
  <c r="E175" i="47"/>
  <c r="E176" i="47" s="1"/>
  <c r="AJ176" i="37"/>
  <c r="AJ70" i="36"/>
  <c r="K23" i="47"/>
  <c r="K22" i="47"/>
  <c r="M22" i="47"/>
  <c r="AJ94" i="42"/>
  <c r="G94" i="47" s="1"/>
  <c r="G81" i="47"/>
  <c r="F79" i="47"/>
  <c r="AJ92" i="38"/>
  <c r="F92" i="47" s="1"/>
  <c r="O139" i="48"/>
  <c r="AJ81" i="36"/>
  <c r="AG94" i="36"/>
  <c r="G167" i="47"/>
  <c r="AF86" i="42"/>
  <c r="AF98" i="42"/>
  <c r="AF99" i="42" s="1"/>
  <c r="AI98" i="38"/>
  <c r="AI99" i="38" s="1"/>
  <c r="AI86" i="38"/>
  <c r="AI98" i="37"/>
  <c r="AI99" i="37" s="1"/>
  <c r="BA85" i="37"/>
  <c r="AH138" i="37"/>
  <c r="AH139" i="37" s="1"/>
  <c r="G70" i="47"/>
  <c r="G69" i="47"/>
  <c r="AG207" i="36"/>
  <c r="AI98" i="42"/>
  <c r="AG207" i="42"/>
  <c r="AG138" i="37"/>
  <c r="AG139" i="37" s="1"/>
  <c r="AG207" i="37" s="1"/>
  <c r="AF98" i="36"/>
  <c r="AF99" i="36" s="1"/>
  <c r="E167" i="47"/>
  <c r="AJ205" i="37"/>
  <c r="E200" i="47"/>
  <c r="E205" i="47" s="1"/>
  <c r="AH98" i="37"/>
  <c r="AJ131" i="37"/>
  <c r="E131" i="47" s="1"/>
  <c r="AJ130" i="37"/>
  <c r="AH98" i="38"/>
  <c r="D138" i="47"/>
  <c r="D139" i="47" s="1"/>
  <c r="AF192" i="36"/>
  <c r="AF207" i="36" s="1"/>
  <c r="AF220" i="36" s="1"/>
  <c r="AF221" i="36" s="1"/>
  <c r="AJ186" i="36"/>
  <c r="AJ89" i="42"/>
  <c r="G89" i="47" s="1"/>
  <c r="G76" i="47"/>
  <c r="AJ192" i="42"/>
  <c r="G183" i="47"/>
  <c r="G192" i="47" s="1"/>
  <c r="AJ192" i="38"/>
  <c r="F183" i="47"/>
  <c r="F192" i="47" s="1"/>
  <c r="AJ89" i="38"/>
  <c r="F89" i="47" s="1"/>
  <c r="F76" i="47"/>
  <c r="AJ89" i="37"/>
  <c r="E89" i="47" s="1"/>
  <c r="E76" i="47"/>
  <c r="AJ192" i="37"/>
  <c r="E183" i="47"/>
  <c r="E192" i="47" s="1"/>
  <c r="AJ90" i="36"/>
  <c r="D90" i="47" s="1"/>
  <c r="D77" i="47"/>
  <c r="AJ91" i="36"/>
  <c r="D91" i="47" s="1"/>
  <c r="D78" i="47"/>
  <c r="AJ192" i="33"/>
  <c r="C183" i="47"/>
  <c r="AJ89" i="33"/>
  <c r="C89" i="47" s="1"/>
  <c r="C76" i="47"/>
  <c r="B6" i="54" s="1"/>
  <c r="AI99" i="33"/>
  <c r="AJ138" i="36"/>
  <c r="AJ139" i="36" s="1"/>
  <c r="AJ205" i="33"/>
  <c r="C200" i="47"/>
  <c r="C167" i="47"/>
  <c r="AJ151" i="36"/>
  <c r="D149" i="47"/>
  <c r="D151" i="47" s="1"/>
  <c r="AH98" i="33"/>
  <c r="AF86" i="33"/>
  <c r="AJ138" i="42"/>
  <c r="AJ139" i="42" s="1"/>
  <c r="G130" i="47"/>
  <c r="G138" i="47" s="1"/>
  <c r="G139" i="47" s="1"/>
  <c r="AJ138" i="38"/>
  <c r="AJ139" i="38" s="1"/>
  <c r="F130" i="47"/>
  <c r="I253" i="47"/>
  <c r="B242" i="47"/>
  <c r="B243" i="47" s="1"/>
  <c r="I258" i="47"/>
  <c r="I252" i="47"/>
  <c r="AF167" i="42"/>
  <c r="AF207" i="42" s="1"/>
  <c r="AJ164" i="38"/>
  <c r="F164" i="47" s="1"/>
  <c r="AJ163" i="38"/>
  <c r="F163" i="47" s="1"/>
  <c r="AH91" i="42"/>
  <c r="AJ78" i="42"/>
  <c r="AJ167" i="42"/>
  <c r="AJ149" i="42"/>
  <c r="AH151" i="42"/>
  <c r="AH207" i="42" s="1"/>
  <c r="AI86" i="42"/>
  <c r="AI207" i="42"/>
  <c r="AH90" i="42"/>
  <c r="AH86" i="42"/>
  <c r="AJ77" i="42"/>
  <c r="G77" i="47" s="1"/>
  <c r="AJ85" i="42"/>
  <c r="AG98" i="42"/>
  <c r="AG86" i="42"/>
  <c r="AF167" i="38"/>
  <c r="AF207" i="38" s="1"/>
  <c r="AJ167" i="38"/>
  <c r="AJ70" i="38"/>
  <c r="AG98" i="38"/>
  <c r="AG86" i="38"/>
  <c r="AJ149" i="38"/>
  <c r="AH151" i="38"/>
  <c r="AH207" i="38" s="1"/>
  <c r="AJ85" i="38"/>
  <c r="AF98" i="38"/>
  <c r="AF86" i="38"/>
  <c r="AJ69" i="38"/>
  <c r="AH90" i="38"/>
  <c r="AH86" i="38"/>
  <c r="AJ77" i="38"/>
  <c r="AG207" i="38"/>
  <c r="AH91" i="38"/>
  <c r="AJ78" i="38"/>
  <c r="AG98" i="37"/>
  <c r="AG99" i="37" s="1"/>
  <c r="AG86" i="37"/>
  <c r="AF207" i="37"/>
  <c r="AH90" i="37"/>
  <c r="AH86" i="37"/>
  <c r="AJ77" i="37"/>
  <c r="AI220" i="37"/>
  <c r="AI221" i="37" s="1"/>
  <c r="AH91" i="37"/>
  <c r="AJ78" i="37"/>
  <c r="AJ85" i="37"/>
  <c r="AF98" i="37"/>
  <c r="AF86" i="37"/>
  <c r="AH151" i="37"/>
  <c r="AJ149" i="37"/>
  <c r="AJ167" i="37"/>
  <c r="AJ167" i="36"/>
  <c r="AG98" i="36"/>
  <c r="AG86" i="36"/>
  <c r="AH207" i="36"/>
  <c r="AH220" i="36" s="1"/>
  <c r="AH221" i="36" s="1"/>
  <c r="AJ85" i="36"/>
  <c r="AJ138" i="33"/>
  <c r="AJ139" i="33" s="1"/>
  <c r="AJ167" i="33"/>
  <c r="AH91" i="33"/>
  <c r="AJ78" i="33"/>
  <c r="AG93" i="33"/>
  <c r="AJ80" i="33"/>
  <c r="AJ70" i="33"/>
  <c r="AJ69" i="33"/>
  <c r="AG94" i="33"/>
  <c r="AJ81" i="33"/>
  <c r="AJ149" i="33"/>
  <c r="AH151" i="33"/>
  <c r="AH207" i="33" s="1"/>
  <c r="AJ85" i="33"/>
  <c r="AF98" i="33"/>
  <c r="AG92" i="33"/>
  <c r="AG86" i="33"/>
  <c r="AG220" i="33" s="1"/>
  <c r="AG221" i="33" s="1"/>
  <c r="AJ79" i="33"/>
  <c r="AF167" i="33"/>
  <c r="AF207" i="33" s="1"/>
  <c r="AF220" i="33" s="1"/>
  <c r="AF221" i="33" s="1"/>
  <c r="AH90" i="33"/>
  <c r="AH86" i="33"/>
  <c r="AJ77" i="33"/>
  <c r="C176" i="47" l="1"/>
  <c r="B79" i="54"/>
  <c r="E79" i="54" s="1"/>
  <c r="F167" i="47"/>
  <c r="C205" i="47"/>
  <c r="B98" i="54"/>
  <c r="E98" i="54" s="1"/>
  <c r="O142" i="48"/>
  <c r="G4" i="54"/>
  <c r="H4" i="54" s="1"/>
  <c r="I4" i="54" s="1"/>
  <c r="J4" i="54" s="1"/>
  <c r="K4" i="54" s="1"/>
  <c r="L4" i="54" s="1"/>
  <c r="M4" i="54" s="1"/>
  <c r="N4" i="54" s="1"/>
  <c r="O4" i="54" s="1"/>
  <c r="P4" i="54" s="1"/>
  <c r="D60" i="54"/>
  <c r="C60" i="54" s="1"/>
  <c r="I42" i="54"/>
  <c r="I41" i="54"/>
  <c r="J19" i="54"/>
  <c r="D64" i="54"/>
  <c r="C64" i="54" s="1"/>
  <c r="D71" i="54"/>
  <c r="C71" i="54" s="1"/>
  <c r="G6" i="54"/>
  <c r="C192" i="47"/>
  <c r="B83" i="54"/>
  <c r="AI220" i="38"/>
  <c r="AI221" i="38" s="1"/>
  <c r="AJ92" i="36"/>
  <c r="D92" i="47" s="1"/>
  <c r="D79" i="47"/>
  <c r="AJ93" i="42"/>
  <c r="G93" i="47" s="1"/>
  <c r="G80" i="47"/>
  <c r="D81" i="47"/>
  <c r="AJ94" i="36"/>
  <c r="D94" i="47" s="1"/>
  <c r="AJ92" i="33"/>
  <c r="C92" i="47" s="1"/>
  <c r="C79" i="47"/>
  <c r="B9" i="54" s="1"/>
  <c r="E9" i="54" s="1"/>
  <c r="AJ94" i="33"/>
  <c r="C94" i="47" s="1"/>
  <c r="C81" i="47"/>
  <c r="B11" i="54" s="1"/>
  <c r="E11" i="54" s="1"/>
  <c r="F80" i="47"/>
  <c r="AJ93" i="38"/>
  <c r="F93" i="47" s="1"/>
  <c r="AF220" i="42"/>
  <c r="AF221" i="42" s="1"/>
  <c r="AI99" i="42"/>
  <c r="AH207" i="37"/>
  <c r="AH220" i="37" s="1"/>
  <c r="AH221" i="37" s="1"/>
  <c r="AG220" i="42"/>
  <c r="AG221" i="42" s="1"/>
  <c r="AG220" i="36"/>
  <c r="AG221" i="36" s="1"/>
  <c r="AG99" i="42"/>
  <c r="AG99" i="38"/>
  <c r="AG99" i="36"/>
  <c r="D186" i="47"/>
  <c r="AJ192" i="36"/>
  <c r="AJ207" i="36" s="1"/>
  <c r="AJ91" i="42"/>
  <c r="G91" i="47" s="1"/>
  <c r="G78" i="47"/>
  <c r="AJ91" i="38"/>
  <c r="F91" i="47" s="1"/>
  <c r="F78" i="47"/>
  <c r="AJ90" i="38"/>
  <c r="F90" i="47" s="1"/>
  <c r="F77" i="47"/>
  <c r="AJ91" i="37"/>
  <c r="E91" i="47" s="1"/>
  <c r="E78" i="47"/>
  <c r="AJ90" i="37"/>
  <c r="E90" i="47" s="1"/>
  <c r="E77" i="47"/>
  <c r="AJ93" i="33"/>
  <c r="C93" i="47" s="1"/>
  <c r="C80" i="47"/>
  <c r="B10" i="54" s="1"/>
  <c r="E10" i="54" s="1"/>
  <c r="AJ98" i="36"/>
  <c r="D85" i="47"/>
  <c r="AJ86" i="36"/>
  <c r="AJ71" i="36" s="1"/>
  <c r="AG220" i="37"/>
  <c r="AG221" i="37" s="1"/>
  <c r="AH220" i="42"/>
  <c r="AH221" i="42" s="1"/>
  <c r="AJ151" i="42"/>
  <c r="AJ207" i="42" s="1"/>
  <c r="AJ68" i="42" s="1"/>
  <c r="G149" i="47"/>
  <c r="G151" i="47" s="1"/>
  <c r="G207" i="47" s="1"/>
  <c r="AJ151" i="38"/>
  <c r="AJ207" i="38" s="1"/>
  <c r="AJ68" i="38" s="1"/>
  <c r="F149" i="47"/>
  <c r="F151" i="47" s="1"/>
  <c r="AJ151" i="37"/>
  <c r="E149" i="47"/>
  <c r="E151" i="47" s="1"/>
  <c r="AJ151" i="33"/>
  <c r="C149" i="47"/>
  <c r="AJ98" i="33"/>
  <c r="C98" i="47" s="1"/>
  <c r="C85" i="47"/>
  <c r="B15" i="54" s="1"/>
  <c r="E15" i="54" s="1"/>
  <c r="AF99" i="33"/>
  <c r="AG220" i="38"/>
  <c r="AG221" i="38" s="1"/>
  <c r="AJ98" i="42"/>
  <c r="G98" i="47" s="1"/>
  <c r="G85" i="47"/>
  <c r="AJ98" i="38"/>
  <c r="F98" i="47" s="1"/>
  <c r="F85" i="47"/>
  <c r="AF99" i="38"/>
  <c r="F138" i="47"/>
  <c r="F139" i="47" s="1"/>
  <c r="AF99" i="37"/>
  <c r="AJ98" i="37"/>
  <c r="E98" i="47" s="1"/>
  <c r="E85" i="47"/>
  <c r="AJ138" i="37"/>
  <c r="AJ139" i="37" s="1"/>
  <c r="E130" i="47"/>
  <c r="AJ90" i="33"/>
  <c r="C90" i="47" s="1"/>
  <c r="C77" i="47"/>
  <c r="B7" i="54" s="1"/>
  <c r="G7" i="54" s="1"/>
  <c r="AJ91" i="33"/>
  <c r="C91" i="47" s="1"/>
  <c r="C78" i="47"/>
  <c r="B8" i="54" s="1"/>
  <c r="E8" i="54" s="1"/>
  <c r="I247" i="47"/>
  <c r="B244" i="47"/>
  <c r="C240" i="47"/>
  <c r="AF220" i="38"/>
  <c r="AF221" i="38" s="1"/>
  <c r="AI220" i="42"/>
  <c r="AI221" i="42" s="1"/>
  <c r="AJ90" i="42"/>
  <c r="AJ86" i="42"/>
  <c r="AH220" i="38"/>
  <c r="AH221" i="38" s="1"/>
  <c r="AJ86" i="38"/>
  <c r="AJ86" i="37"/>
  <c r="AF220" i="37"/>
  <c r="AF221" i="37" s="1"/>
  <c r="AG99" i="33"/>
  <c r="AJ86" i="33"/>
  <c r="AH220" i="33"/>
  <c r="AH221" i="33" s="1"/>
  <c r="AJ207" i="33"/>
  <c r="AJ68" i="33" s="1"/>
  <c r="F8" i="54" l="1"/>
  <c r="E16" i="54"/>
  <c r="F9" i="54"/>
  <c r="G9" i="54" s="1"/>
  <c r="H9" i="54" s="1"/>
  <c r="I9" i="54" s="1"/>
  <c r="J9" i="54" s="1"/>
  <c r="K9" i="54" s="1"/>
  <c r="L9" i="54" s="1"/>
  <c r="M9" i="54" s="1"/>
  <c r="N9" i="54" s="1"/>
  <c r="O9" i="54" s="1"/>
  <c r="P9" i="54" s="1"/>
  <c r="F98" i="54"/>
  <c r="G98" i="54" s="1"/>
  <c r="H98" i="54" s="1"/>
  <c r="I98" i="54" s="1"/>
  <c r="J98" i="54" s="1"/>
  <c r="K98" i="54" s="1"/>
  <c r="L98" i="54" s="1"/>
  <c r="M98" i="54" s="1"/>
  <c r="N98" i="54" s="1"/>
  <c r="O98" i="54" s="1"/>
  <c r="P98" i="54" s="1"/>
  <c r="D98" i="54"/>
  <c r="C98" i="54" s="1"/>
  <c r="H7" i="54"/>
  <c r="I7" i="54" s="1"/>
  <c r="J7" i="54" s="1"/>
  <c r="K7" i="54" s="1"/>
  <c r="L7" i="54" s="1"/>
  <c r="M7" i="54" s="1"/>
  <c r="N7" i="54" s="1"/>
  <c r="O7" i="54" s="1"/>
  <c r="P7" i="54" s="1"/>
  <c r="J42" i="54"/>
  <c r="J41" i="54"/>
  <c r="K19" i="54"/>
  <c r="F11" i="54"/>
  <c r="G11" i="54" s="1"/>
  <c r="H11" i="54" s="1"/>
  <c r="I11" i="54" s="1"/>
  <c r="J11" i="54" s="1"/>
  <c r="K11" i="54" s="1"/>
  <c r="L11" i="54" s="1"/>
  <c r="M11" i="54" s="1"/>
  <c r="N11" i="54" s="1"/>
  <c r="O11" i="54" s="1"/>
  <c r="P11" i="54" s="1"/>
  <c r="D11" i="54"/>
  <c r="C11" i="54" s="1"/>
  <c r="B16" i="54"/>
  <c r="F10" i="54"/>
  <c r="G10" i="54" s="1"/>
  <c r="H10" i="54" s="1"/>
  <c r="I10" i="54" s="1"/>
  <c r="J10" i="54" s="1"/>
  <c r="K10" i="54" s="1"/>
  <c r="L10" i="54" s="1"/>
  <c r="M10" i="54" s="1"/>
  <c r="N10" i="54" s="1"/>
  <c r="O10" i="54" s="1"/>
  <c r="P10" i="54" s="1"/>
  <c r="F15" i="54"/>
  <c r="G15" i="54" s="1"/>
  <c r="H15" i="54" s="1"/>
  <c r="I15" i="54" s="1"/>
  <c r="J15" i="54" s="1"/>
  <c r="K15" i="54" s="1"/>
  <c r="L15" i="54" s="1"/>
  <c r="M15" i="54" s="1"/>
  <c r="N15" i="54" s="1"/>
  <c r="O15" i="54" s="1"/>
  <c r="P15" i="54" s="1"/>
  <c r="F79" i="54"/>
  <c r="G79" i="54" s="1"/>
  <c r="H79" i="54" s="1"/>
  <c r="I79" i="54" s="1"/>
  <c r="J79" i="54" s="1"/>
  <c r="K79" i="54" s="1"/>
  <c r="L79" i="54" s="1"/>
  <c r="M79" i="54" s="1"/>
  <c r="N79" i="54" s="1"/>
  <c r="O79" i="54" s="1"/>
  <c r="P79" i="54" s="1"/>
  <c r="D79" i="54"/>
  <c r="C79" i="54" s="1"/>
  <c r="C151" i="47"/>
  <c r="B57" i="54"/>
  <c r="D4" i="54"/>
  <c r="C4" i="54" s="1"/>
  <c r="E83" i="54"/>
  <c r="H6" i="54"/>
  <c r="G249" i="47"/>
  <c r="G252" i="47"/>
  <c r="G255" i="47"/>
  <c r="G261" i="47"/>
  <c r="G250" i="47"/>
  <c r="G251" i="47"/>
  <c r="G253" i="47"/>
  <c r="G258" i="47"/>
  <c r="G257" i="47"/>
  <c r="G260" i="47"/>
  <c r="G254" i="47"/>
  <c r="G247" i="47"/>
  <c r="G256" i="47"/>
  <c r="G259" i="47"/>
  <c r="G248" i="47"/>
  <c r="D192" i="47"/>
  <c r="D207" i="47" s="1"/>
  <c r="D261" i="47" s="1"/>
  <c r="AJ99" i="38"/>
  <c r="AJ207" i="37"/>
  <c r="AJ68" i="37" s="1"/>
  <c r="AJ68" i="36"/>
  <c r="AJ220" i="36"/>
  <c r="AJ221" i="36" s="1"/>
  <c r="AJ99" i="33"/>
  <c r="AJ99" i="42"/>
  <c r="G90" i="47"/>
  <c r="AJ99" i="36"/>
  <c r="D98" i="47"/>
  <c r="C86" i="47"/>
  <c r="C71" i="47" s="1"/>
  <c r="C99" i="47"/>
  <c r="G68" i="47"/>
  <c r="F207" i="47"/>
  <c r="E138" i="47"/>
  <c r="E139" i="47" s="1"/>
  <c r="E207" i="47" s="1"/>
  <c r="AJ99" i="37"/>
  <c r="AJ220" i="42"/>
  <c r="AJ221" i="42" s="1"/>
  <c r="AJ71" i="42"/>
  <c r="AJ220" i="38"/>
  <c r="AJ221" i="38" s="1"/>
  <c r="AJ71" i="38"/>
  <c r="AJ71" i="37"/>
  <c r="AJ71" i="33"/>
  <c r="AJ220" i="33"/>
  <c r="AJ221" i="33" s="1"/>
  <c r="E57" i="54" l="1"/>
  <c r="F57" i="54"/>
  <c r="G57" i="54" s="1"/>
  <c r="H57" i="54" s="1"/>
  <c r="I57" i="54" s="1"/>
  <c r="J57" i="54" s="1"/>
  <c r="K57" i="54" s="1"/>
  <c r="L57" i="54" s="1"/>
  <c r="M57" i="54" s="1"/>
  <c r="N57" i="54" s="1"/>
  <c r="O57" i="54" s="1"/>
  <c r="P57" i="54" s="1"/>
  <c r="D9" i="54"/>
  <c r="C9" i="54" s="1"/>
  <c r="K41" i="54"/>
  <c r="K42" i="54"/>
  <c r="L19" i="54"/>
  <c r="B105" i="54"/>
  <c r="D15" i="54"/>
  <c r="C15" i="54" s="1"/>
  <c r="D10" i="54"/>
  <c r="C10" i="54" s="1"/>
  <c r="D7" i="54"/>
  <c r="C7" i="54" s="1"/>
  <c r="G8" i="54"/>
  <c r="F16" i="54"/>
  <c r="I6" i="54"/>
  <c r="F83" i="54"/>
  <c r="E105" i="54"/>
  <c r="E106" i="54" s="1"/>
  <c r="E107" i="54" s="1"/>
  <c r="G263" i="47"/>
  <c r="E259" i="47"/>
  <c r="E253" i="47"/>
  <c r="E254" i="47"/>
  <c r="E249" i="47"/>
  <c r="E255" i="47"/>
  <c r="E251" i="47"/>
  <c r="E256" i="47"/>
  <c r="E261" i="47"/>
  <c r="E258" i="47"/>
  <c r="E247" i="47"/>
  <c r="E252" i="47"/>
  <c r="E257" i="47"/>
  <c r="E250" i="47"/>
  <c r="E260" i="47"/>
  <c r="E248" i="47"/>
  <c r="F68" i="47"/>
  <c r="F251" i="47"/>
  <c r="F253" i="47"/>
  <c r="F254" i="47"/>
  <c r="F247" i="47"/>
  <c r="F261" i="47"/>
  <c r="F249" i="47"/>
  <c r="F250" i="47"/>
  <c r="F260" i="47"/>
  <c r="F259" i="47"/>
  <c r="F258" i="47"/>
  <c r="F255" i="47"/>
  <c r="F252" i="47"/>
  <c r="F257" i="47"/>
  <c r="F256" i="47"/>
  <c r="F248" i="47"/>
  <c r="D68" i="47"/>
  <c r="D252" i="47"/>
  <c r="D255" i="47"/>
  <c r="D258" i="47"/>
  <c r="D249" i="47"/>
  <c r="D250" i="47"/>
  <c r="D259" i="47"/>
  <c r="D251" i="47"/>
  <c r="D248" i="47"/>
  <c r="D253" i="47"/>
  <c r="D256" i="47"/>
  <c r="D247" i="47"/>
  <c r="D260" i="47"/>
  <c r="D254" i="47"/>
  <c r="D257" i="47"/>
  <c r="AJ220" i="37"/>
  <c r="AJ221" i="37" s="1"/>
  <c r="E68" i="47"/>
  <c r="I249" i="47"/>
  <c r="I254" i="47"/>
  <c r="I251" i="47"/>
  <c r="I260" i="47"/>
  <c r="I256" i="47"/>
  <c r="I257" i="47"/>
  <c r="L41" i="54" l="1"/>
  <c r="L42" i="54"/>
  <c r="M19" i="54"/>
  <c r="H8" i="54"/>
  <c r="G16" i="54"/>
  <c r="D57" i="54"/>
  <c r="C57" i="54" s="1"/>
  <c r="G83" i="54"/>
  <c r="F105" i="54"/>
  <c r="F106" i="54" s="1"/>
  <c r="F107" i="54" s="1"/>
  <c r="J6" i="54"/>
  <c r="D263" i="47"/>
  <c r="E263" i="47"/>
  <c r="F263" i="47"/>
  <c r="B11" i="42"/>
  <c r="B10" i="42"/>
  <c r="B9" i="42"/>
  <c r="B8" i="42"/>
  <c r="B7" i="42"/>
  <c r="B6" i="42"/>
  <c r="B11" i="38"/>
  <c r="B10" i="38"/>
  <c r="B9" i="38"/>
  <c r="B8" i="38"/>
  <c r="B7" i="38"/>
  <c r="B6" i="38"/>
  <c r="B11" i="37"/>
  <c r="B10" i="37"/>
  <c r="B9" i="37"/>
  <c r="B8" i="37"/>
  <c r="B7" i="37"/>
  <c r="B6" i="37"/>
  <c r="B11" i="36"/>
  <c r="B10" i="36"/>
  <c r="B9" i="36"/>
  <c r="B8" i="36"/>
  <c r="B7" i="36"/>
  <c r="B6" i="36"/>
  <c r="B9" i="33"/>
  <c r="B11" i="33"/>
  <c r="B10" i="33"/>
  <c r="C12" i="34"/>
  <c r="C66" i="34" s="1"/>
  <c r="C11" i="34"/>
  <c r="C10" i="34"/>
  <c r="C9" i="34"/>
  <c r="C8" i="34"/>
  <c r="C7" i="34"/>
  <c r="C6" i="34"/>
  <c r="C5" i="34"/>
  <c r="Z13" i="34"/>
  <c r="H67" i="34" s="1"/>
  <c r="Z12" i="34"/>
  <c r="Z11" i="34"/>
  <c r="Z10" i="34"/>
  <c r="Z9" i="34"/>
  <c r="Z8" i="34"/>
  <c r="Z7" i="34"/>
  <c r="Z6" i="34"/>
  <c r="Z5" i="34"/>
  <c r="Z4" i="34"/>
  <c r="Z3" i="34"/>
  <c r="Y12" i="34"/>
  <c r="Y11" i="34"/>
  <c r="Y10" i="34"/>
  <c r="Y9" i="34"/>
  <c r="Y8" i="34"/>
  <c r="Y7" i="34"/>
  <c r="Y6" i="34"/>
  <c r="Y5" i="34"/>
  <c r="Y4" i="34"/>
  <c r="Y3" i="34"/>
  <c r="X11" i="34"/>
  <c r="X8" i="34"/>
  <c r="X10" i="34"/>
  <c r="X9" i="34"/>
  <c r="X7" i="34"/>
  <c r="X6" i="34"/>
  <c r="X5" i="34"/>
  <c r="X4" i="34"/>
  <c r="X3" i="34"/>
  <c r="W8" i="34"/>
  <c r="W7" i="34"/>
  <c r="W10" i="34"/>
  <c r="W9" i="34"/>
  <c r="W6" i="34"/>
  <c r="W5" i="34"/>
  <c r="W4" i="34"/>
  <c r="W3" i="34"/>
  <c r="V9" i="34"/>
  <c r="V8" i="34"/>
  <c r="V7" i="34"/>
  <c r="V6" i="34"/>
  <c r="V5" i="34"/>
  <c r="I8" i="54" l="1"/>
  <c r="H16" i="54"/>
  <c r="M41" i="54"/>
  <c r="M42" i="54"/>
  <c r="N19" i="54"/>
  <c r="K6" i="54"/>
  <c r="G105" i="54"/>
  <c r="G106" i="54" s="1"/>
  <c r="G107" i="54" s="1"/>
  <c r="H83" i="54"/>
  <c r="X16" i="34"/>
  <c r="W16" i="34"/>
  <c r="V4" i="34"/>
  <c r="T16" i="34"/>
  <c r="Z16" i="34"/>
  <c r="Y16" i="34"/>
  <c r="V3" i="34"/>
  <c r="U16" i="34"/>
  <c r="D24" i="34"/>
  <c r="E24" i="34"/>
  <c r="F24" i="34"/>
  <c r="G24" i="34"/>
  <c r="H24" i="34"/>
  <c r="D25" i="34"/>
  <c r="E25" i="34"/>
  <c r="F25" i="34"/>
  <c r="G25" i="34"/>
  <c r="H25" i="34"/>
  <c r="D26" i="34"/>
  <c r="E26" i="34"/>
  <c r="F26" i="34"/>
  <c r="G26" i="34"/>
  <c r="H26" i="34"/>
  <c r="C26" i="34"/>
  <c r="C25" i="34"/>
  <c r="C24" i="34"/>
  <c r="L26" i="34"/>
  <c r="L25" i="34"/>
  <c r="L24" i="34"/>
  <c r="N21" i="34"/>
  <c r="O21" i="34"/>
  <c r="P21" i="34"/>
  <c r="Q21" i="34"/>
  <c r="N22" i="34"/>
  <c r="O22" i="34"/>
  <c r="P22" i="34"/>
  <c r="Q22" i="34"/>
  <c r="N23" i="34"/>
  <c r="O23" i="34"/>
  <c r="P23" i="34"/>
  <c r="Q23" i="34"/>
  <c r="N24" i="34"/>
  <c r="O24" i="34"/>
  <c r="P24" i="34"/>
  <c r="Q24" i="34"/>
  <c r="N25" i="34"/>
  <c r="O25" i="34"/>
  <c r="P25" i="34"/>
  <c r="Q25" i="34"/>
  <c r="N26" i="34"/>
  <c r="O26" i="34"/>
  <c r="P26" i="34"/>
  <c r="Q26" i="34"/>
  <c r="M24" i="34"/>
  <c r="M25" i="34"/>
  <c r="M26" i="34"/>
  <c r="M6" i="34"/>
  <c r="N6" i="34"/>
  <c r="O6" i="34"/>
  <c r="P6" i="34"/>
  <c r="Q6" i="34"/>
  <c r="L6" i="34"/>
  <c r="H204" i="30"/>
  <c r="H202" i="30"/>
  <c r="H201" i="30"/>
  <c r="H199" i="30"/>
  <c r="H197" i="30"/>
  <c r="H196" i="30"/>
  <c r="H194" i="30"/>
  <c r="H187" i="30"/>
  <c r="H186" i="30"/>
  <c r="H183" i="30"/>
  <c r="H180" i="30"/>
  <c r="H179" i="30"/>
  <c r="H178" i="30"/>
  <c r="H175" i="30"/>
  <c r="H174" i="30"/>
  <c r="H170" i="30"/>
  <c r="J149" i="30"/>
  <c r="I149" i="30"/>
  <c r="H149" i="30"/>
  <c r="I148" i="30"/>
  <c r="I147" i="30"/>
  <c r="I145" i="30"/>
  <c r="H143" i="30"/>
  <c r="L134" i="30"/>
  <c r="B134" i="50" s="1"/>
  <c r="H127" i="30"/>
  <c r="K126" i="30"/>
  <c r="I126" i="30"/>
  <c r="I124" i="30"/>
  <c r="J120" i="30"/>
  <c r="H114" i="30"/>
  <c r="J113" i="30"/>
  <c r="I113" i="30"/>
  <c r="H113" i="30"/>
  <c r="H112" i="30"/>
  <c r="H111" i="30"/>
  <c r="J110" i="30"/>
  <c r="H107" i="30"/>
  <c r="H107" i="33" s="1"/>
  <c r="H105" i="30"/>
  <c r="H105" i="33" s="1"/>
  <c r="H104" i="30"/>
  <c r="H104" i="33" s="1"/>
  <c r="H103" i="30"/>
  <c r="H103" i="33" s="1"/>
  <c r="J78" i="30"/>
  <c r="N204" i="30"/>
  <c r="N202" i="30"/>
  <c r="N201" i="30"/>
  <c r="N199" i="30"/>
  <c r="N197" i="30"/>
  <c r="N196" i="30"/>
  <c r="N194" i="30"/>
  <c r="N187" i="30"/>
  <c r="N186" i="30"/>
  <c r="N183" i="30"/>
  <c r="N180" i="30"/>
  <c r="N179" i="30"/>
  <c r="N178" i="30"/>
  <c r="N175" i="30"/>
  <c r="N170" i="30"/>
  <c r="P149" i="30"/>
  <c r="O149" i="30"/>
  <c r="N149" i="30"/>
  <c r="O148" i="30"/>
  <c r="O147" i="30"/>
  <c r="O145" i="30"/>
  <c r="R134" i="30"/>
  <c r="B134" i="53" s="1"/>
  <c r="R136" i="30"/>
  <c r="B136" i="53" s="1"/>
  <c r="N127" i="30"/>
  <c r="Q126" i="30"/>
  <c r="O126" i="30"/>
  <c r="O124" i="30"/>
  <c r="N114" i="30"/>
  <c r="Q113" i="30"/>
  <c r="P113" i="30"/>
  <c r="O113" i="30"/>
  <c r="N113" i="30"/>
  <c r="N112" i="30"/>
  <c r="N111" i="30"/>
  <c r="P110" i="30"/>
  <c r="N107" i="30"/>
  <c r="N107" i="33" s="1"/>
  <c r="O106" i="30"/>
  <c r="O106" i="33" s="1"/>
  <c r="AY106" i="33" s="1"/>
  <c r="N104" i="30"/>
  <c r="N104" i="33" s="1"/>
  <c r="N103" i="30"/>
  <c r="N103" i="33" s="1"/>
  <c r="P78" i="30"/>
  <c r="T204" i="30"/>
  <c r="T202" i="30"/>
  <c r="T201" i="30"/>
  <c r="T199" i="30"/>
  <c r="T197" i="30"/>
  <c r="T196" i="30"/>
  <c r="T194" i="30"/>
  <c r="T187" i="30"/>
  <c r="T186" i="30"/>
  <c r="T183" i="30"/>
  <c r="T180" i="30"/>
  <c r="T179" i="30"/>
  <c r="T178" i="30"/>
  <c r="T175" i="30"/>
  <c r="T170" i="30"/>
  <c r="V149" i="30"/>
  <c r="U149" i="30"/>
  <c r="T149" i="30"/>
  <c r="U148" i="30"/>
  <c r="U147" i="30"/>
  <c r="U145" i="30"/>
  <c r="X136" i="30"/>
  <c r="B136" i="52" s="1"/>
  <c r="T134" i="30"/>
  <c r="T127" i="30"/>
  <c r="W126" i="30"/>
  <c r="U126" i="30"/>
  <c r="U124" i="30"/>
  <c r="V119" i="30"/>
  <c r="U115" i="30"/>
  <c r="T115" i="30"/>
  <c r="T114" i="30"/>
  <c r="W113" i="30"/>
  <c r="V113" i="30"/>
  <c r="U113" i="30"/>
  <c r="T113" i="30"/>
  <c r="T112" i="30"/>
  <c r="T111" i="30"/>
  <c r="V110" i="30"/>
  <c r="T107" i="30"/>
  <c r="T107" i="33" s="1"/>
  <c r="T105" i="30"/>
  <c r="T105" i="33" s="1"/>
  <c r="T104" i="30"/>
  <c r="T104" i="33" s="1"/>
  <c r="T103" i="30"/>
  <c r="T103" i="33" s="1"/>
  <c r="V78" i="30"/>
  <c r="T14" i="30"/>
  <c r="T13" i="30"/>
  <c r="T11" i="30"/>
  <c r="T10" i="30"/>
  <c r="T9" i="30"/>
  <c r="T8" i="30"/>
  <c r="T7" i="30"/>
  <c r="T6" i="30"/>
  <c r="Z204" i="30"/>
  <c r="Z202" i="30"/>
  <c r="Z201" i="30"/>
  <c r="Z199" i="30"/>
  <c r="Z197" i="30"/>
  <c r="Z196" i="30"/>
  <c r="Z187" i="30"/>
  <c r="Z186" i="30"/>
  <c r="Z183" i="30"/>
  <c r="Z180" i="30"/>
  <c r="Z179" i="30"/>
  <c r="Z178" i="30"/>
  <c r="Z175" i="30"/>
  <c r="Z170" i="30"/>
  <c r="AB149" i="30"/>
  <c r="AA149" i="30"/>
  <c r="Z149" i="30"/>
  <c r="AA148" i="30"/>
  <c r="AA147" i="30"/>
  <c r="AA145" i="30"/>
  <c r="Z143" i="30"/>
  <c r="AD134" i="30"/>
  <c r="B134" i="51" s="1"/>
  <c r="Z127" i="30"/>
  <c r="AC126" i="30"/>
  <c r="AA126" i="30"/>
  <c r="AA124" i="30"/>
  <c r="AB123" i="30"/>
  <c r="AB122" i="30"/>
  <c r="AB120" i="30"/>
  <c r="Z114" i="30"/>
  <c r="AC113" i="30"/>
  <c r="AB113" i="30"/>
  <c r="AA113" i="30"/>
  <c r="Z113" i="30"/>
  <c r="Z112" i="30"/>
  <c r="Z111" i="30"/>
  <c r="AB110" i="30"/>
  <c r="Z107" i="30"/>
  <c r="Z107" i="33" s="1"/>
  <c r="Z105" i="30"/>
  <c r="Z105" i="33" s="1"/>
  <c r="Z104" i="30"/>
  <c r="Z104" i="33" s="1"/>
  <c r="Z103" i="30"/>
  <c r="Z103" i="33" s="1"/>
  <c r="AB78" i="30"/>
  <c r="Z15" i="30"/>
  <c r="Z14" i="30"/>
  <c r="Z13" i="30"/>
  <c r="Z12" i="30"/>
  <c r="Z11" i="30"/>
  <c r="Z10" i="30"/>
  <c r="Z9" i="30"/>
  <c r="Z8" i="30"/>
  <c r="AJ136" i="30"/>
  <c r="AS134" i="30"/>
  <c r="AG124" i="30"/>
  <c r="AF115" i="30"/>
  <c r="AF114" i="30"/>
  <c r="AF113" i="30"/>
  <c r="AF111" i="30"/>
  <c r="AF105" i="30"/>
  <c r="AN149" i="30"/>
  <c r="AM149" i="30"/>
  <c r="AL149" i="30"/>
  <c r="AM148" i="30"/>
  <c r="AM147" i="30"/>
  <c r="AM145" i="30"/>
  <c r="AP136" i="30"/>
  <c r="AN113" i="30"/>
  <c r="AA81" i="30"/>
  <c r="AA80" i="30"/>
  <c r="AA79" i="30"/>
  <c r="U81" i="30"/>
  <c r="U80" i="30"/>
  <c r="U79" i="30"/>
  <c r="O81" i="30"/>
  <c r="O80" i="30"/>
  <c r="O163" i="30" s="1"/>
  <c r="O79" i="30"/>
  <c r="I81" i="30"/>
  <c r="I80" i="30"/>
  <c r="I79" i="30"/>
  <c r="I163" i="30" s="1"/>
  <c r="M18" i="30"/>
  <c r="I18" i="50" s="1"/>
  <c r="M9" i="30"/>
  <c r="I9" i="50" s="1"/>
  <c r="H14" i="30"/>
  <c r="M14" i="30" s="1"/>
  <c r="I14" i="50" s="1"/>
  <c r="H13" i="30"/>
  <c r="M13" i="30" s="1"/>
  <c r="I13" i="50" s="1"/>
  <c r="H12" i="30"/>
  <c r="M12" i="30" s="1"/>
  <c r="I12" i="50" s="1"/>
  <c r="H11" i="30"/>
  <c r="M11" i="30" s="1"/>
  <c r="I11" i="50" s="1"/>
  <c r="H10" i="30"/>
  <c r="M10" i="30" s="1"/>
  <c r="I10" i="50" s="1"/>
  <c r="H9" i="30"/>
  <c r="H8" i="30"/>
  <c r="M8" i="30" s="1"/>
  <c r="I8" i="50" s="1"/>
  <c r="H7" i="30"/>
  <c r="M7" i="30" s="1"/>
  <c r="I7" i="50" s="1"/>
  <c r="H6" i="30"/>
  <c r="M6" i="30" s="1"/>
  <c r="I6" i="50" s="1"/>
  <c r="F134" i="30"/>
  <c r="B134" i="49" s="1"/>
  <c r="B204" i="30"/>
  <c r="B202" i="30"/>
  <c r="B201" i="30"/>
  <c r="B199" i="30"/>
  <c r="B197" i="30"/>
  <c r="B196" i="30"/>
  <c r="B195" i="30"/>
  <c r="B194" i="30"/>
  <c r="B187" i="30"/>
  <c r="B186" i="30"/>
  <c r="B183" i="30"/>
  <c r="B180" i="30"/>
  <c r="B179" i="30"/>
  <c r="B178" i="30"/>
  <c r="B175" i="30"/>
  <c r="B174" i="30"/>
  <c r="B170" i="30"/>
  <c r="B169" i="30"/>
  <c r="D149" i="30"/>
  <c r="C149" i="30"/>
  <c r="B149" i="30"/>
  <c r="C148" i="30"/>
  <c r="C147" i="30"/>
  <c r="C145" i="30"/>
  <c r="B127" i="30"/>
  <c r="E126" i="30"/>
  <c r="C126" i="30"/>
  <c r="C124" i="30"/>
  <c r="D119" i="30"/>
  <c r="B114" i="30"/>
  <c r="E113" i="30"/>
  <c r="D113" i="30"/>
  <c r="C113" i="30"/>
  <c r="B113" i="30"/>
  <c r="B112" i="30"/>
  <c r="B111" i="30"/>
  <c r="D110" i="30"/>
  <c r="B107" i="30"/>
  <c r="B107" i="33" s="1"/>
  <c r="C104" i="30"/>
  <c r="C104" i="33" s="1"/>
  <c r="AY104" i="33" s="1"/>
  <c r="B104" i="30"/>
  <c r="B104" i="33" s="1"/>
  <c r="AX104" i="33" s="1"/>
  <c r="B103" i="30"/>
  <c r="B103" i="33" s="1"/>
  <c r="U163" i="30" l="1"/>
  <c r="N42" i="54"/>
  <c r="N41" i="54"/>
  <c r="O19" i="54"/>
  <c r="AA163" i="30"/>
  <c r="V16" i="34"/>
  <c r="J8" i="54"/>
  <c r="I16" i="54"/>
  <c r="I83" i="54"/>
  <c r="H105" i="54"/>
  <c r="H106" i="54" s="1"/>
  <c r="H107" i="54" s="1"/>
  <c r="L6" i="54"/>
  <c r="X134" i="30"/>
  <c r="B134" i="52" s="1"/>
  <c r="AX103" i="33"/>
  <c r="O42" i="54" l="1"/>
  <c r="O41" i="54"/>
  <c r="P19" i="54"/>
  <c r="D19" i="54"/>
  <c r="C19" i="54" s="1"/>
  <c r="K8" i="54"/>
  <c r="J16" i="54"/>
  <c r="J83" i="54"/>
  <c r="I105" i="54"/>
  <c r="I106" i="54" s="1"/>
  <c r="I107" i="54" s="1"/>
  <c r="M6" i="54"/>
  <c r="D78" i="30"/>
  <c r="C81" i="30"/>
  <c r="C80" i="30"/>
  <c r="C79" i="30"/>
  <c r="C163" i="30" s="1"/>
  <c r="B11" i="30"/>
  <c r="B10" i="30"/>
  <c r="B9" i="30"/>
  <c r="B8" i="30"/>
  <c r="B7" i="30"/>
  <c r="B6" i="30"/>
  <c r="L8" i="54" l="1"/>
  <c r="K16" i="54"/>
  <c r="P41" i="54"/>
  <c r="D41" i="54" s="1"/>
  <c r="C41" i="54" s="1"/>
  <c r="P42" i="54"/>
  <c r="D42" i="54" s="1"/>
  <c r="C42" i="54" s="1"/>
  <c r="J105" i="54"/>
  <c r="J106" i="54" s="1"/>
  <c r="J107" i="54" s="1"/>
  <c r="K83" i="54"/>
  <c r="N6" i="54"/>
  <c r="O154" i="39"/>
  <c r="M8" i="54" l="1"/>
  <c r="L16" i="54"/>
  <c r="O6" i="54"/>
  <c r="K105" i="54"/>
  <c r="K106" i="54" s="1"/>
  <c r="K107" i="54" s="1"/>
  <c r="L83" i="54"/>
  <c r="I18" i="39"/>
  <c r="I16" i="39"/>
  <c r="I17" i="39"/>
  <c r="A5" i="45"/>
  <c r="C13" i="45"/>
  <c r="D12" i="45" s="1"/>
  <c r="D13" i="45" s="1"/>
  <c r="E12" i="45" s="1"/>
  <c r="E13" i="45" s="1"/>
  <c r="F12" i="45" s="1"/>
  <c r="F13" i="45" s="1"/>
  <c r="G12" i="45" s="1"/>
  <c r="G13" i="45" s="1"/>
  <c r="H12" i="45" s="1"/>
  <c r="H13" i="45" s="1"/>
  <c r="C24" i="45"/>
  <c r="D24" i="45"/>
  <c r="E24" i="45"/>
  <c r="F24" i="45"/>
  <c r="G24" i="45"/>
  <c r="H24" i="45"/>
  <c r="C52" i="45"/>
  <c r="D52" i="45"/>
  <c r="E52" i="45"/>
  <c r="F52" i="45"/>
  <c r="G52" i="45"/>
  <c r="H52" i="45"/>
  <c r="C64" i="45"/>
  <c r="D64" i="45"/>
  <c r="E64" i="45"/>
  <c r="F64" i="45"/>
  <c r="G64" i="45"/>
  <c r="H64" i="45"/>
  <c r="AR2" i="42"/>
  <c r="A230" i="39"/>
  <c r="A5" i="43"/>
  <c r="C15" i="43"/>
  <c r="D14" i="43" s="1"/>
  <c r="D15" i="43" s="1"/>
  <c r="E14" i="43" s="1"/>
  <c r="E15" i="43" s="1"/>
  <c r="F14" i="43" s="1"/>
  <c r="F15" i="43" s="1"/>
  <c r="G14" i="43" s="1"/>
  <c r="G15" i="43" s="1"/>
  <c r="H14" i="43" s="1"/>
  <c r="H15" i="43" s="1"/>
  <c r="C35" i="43"/>
  <c r="C36" i="43" s="1"/>
  <c r="D35" i="43" s="1"/>
  <c r="D36" i="43" s="1"/>
  <c r="E35" i="43" s="1"/>
  <c r="E36" i="43" s="1"/>
  <c r="F35" i="43" s="1"/>
  <c r="F36" i="43" s="1"/>
  <c r="G35" i="43" s="1"/>
  <c r="G36" i="43" s="1"/>
  <c r="H35" i="43" s="1"/>
  <c r="H36" i="43" s="1"/>
  <c r="C58" i="43"/>
  <c r="C59" i="43" s="1"/>
  <c r="D58" i="43" s="1"/>
  <c r="D59" i="43" s="1"/>
  <c r="E58" i="43" s="1"/>
  <c r="E59" i="43" s="1"/>
  <c r="F58" i="43" s="1"/>
  <c r="F59" i="43" s="1"/>
  <c r="G58" i="43" s="1"/>
  <c r="G59" i="43" s="1"/>
  <c r="H58" i="43" s="1"/>
  <c r="H59" i="43" s="1"/>
  <c r="R15" i="42"/>
  <c r="G15" i="53" s="1"/>
  <c r="R16" i="42"/>
  <c r="G16" i="53" s="1"/>
  <c r="R17" i="42"/>
  <c r="G17" i="53" s="1"/>
  <c r="R18" i="42"/>
  <c r="G18" i="53" s="1"/>
  <c r="G166" i="39"/>
  <c r="G1" i="39"/>
  <c r="F1" i="39"/>
  <c r="G4" i="39"/>
  <c r="G3" i="39"/>
  <c r="AC126" i="42"/>
  <c r="Z124" i="42"/>
  <c r="Z123" i="42"/>
  <c r="Z122" i="42"/>
  <c r="Z121" i="42"/>
  <c r="Z120" i="42"/>
  <c r="Z119" i="42"/>
  <c r="W126" i="42"/>
  <c r="T124" i="42"/>
  <c r="T123" i="42"/>
  <c r="T122" i="42"/>
  <c r="T121" i="42"/>
  <c r="T120" i="42"/>
  <c r="T119" i="42"/>
  <c r="Q126" i="42"/>
  <c r="N124" i="42"/>
  <c r="N123" i="42"/>
  <c r="N122" i="42"/>
  <c r="N121" i="42"/>
  <c r="N120" i="42"/>
  <c r="N119" i="42"/>
  <c r="K126" i="42"/>
  <c r="H124" i="42"/>
  <c r="H123" i="42"/>
  <c r="H122" i="42"/>
  <c r="H121" i="42"/>
  <c r="H120" i="42"/>
  <c r="H119" i="42"/>
  <c r="E126" i="42"/>
  <c r="B120" i="42"/>
  <c r="B121" i="42"/>
  <c r="B122" i="42"/>
  <c r="B123" i="42"/>
  <c r="B124" i="42"/>
  <c r="AX124" i="42" s="1"/>
  <c r="B119" i="42"/>
  <c r="Z114" i="42"/>
  <c r="AB113" i="42"/>
  <c r="AA113" i="42"/>
  <c r="Z112" i="42"/>
  <c r="T114" i="42"/>
  <c r="V113" i="42"/>
  <c r="U113" i="42"/>
  <c r="T113" i="42"/>
  <c r="T112" i="42"/>
  <c r="N114" i="42"/>
  <c r="P113" i="42"/>
  <c r="O113" i="42"/>
  <c r="H114" i="42"/>
  <c r="B114" i="42"/>
  <c r="D113" i="42"/>
  <c r="C113" i="42"/>
  <c r="N112" i="42"/>
  <c r="B112" i="33"/>
  <c r="AX120" i="42" l="1"/>
  <c r="N8" i="54"/>
  <c r="M16" i="54"/>
  <c r="L105" i="54"/>
  <c r="L106" i="54" s="1"/>
  <c r="L107" i="54" s="1"/>
  <c r="M83" i="54"/>
  <c r="P6" i="54"/>
  <c r="G3" i="44"/>
  <c r="W15" i="48"/>
  <c r="W2" i="48"/>
  <c r="W24" i="48"/>
  <c r="B112" i="36"/>
  <c r="AX123" i="42"/>
  <c r="X15" i="48"/>
  <c r="X2" i="48"/>
  <c r="X24" i="48"/>
  <c r="AX122" i="42"/>
  <c r="AX119" i="42"/>
  <c r="AX121" i="42"/>
  <c r="H3" i="44"/>
  <c r="G117" i="39"/>
  <c r="G41" i="39"/>
  <c r="G101" i="39"/>
  <c r="G140" i="39"/>
  <c r="G73" i="39"/>
  <c r="G223" i="39"/>
  <c r="G152" i="39"/>
  <c r="G168" i="39" s="1"/>
  <c r="G182" i="39"/>
  <c r="G193" i="39" s="1"/>
  <c r="O8" i="54" l="1"/>
  <c r="N16" i="54"/>
  <c r="M105" i="54"/>
  <c r="M106" i="54" s="1"/>
  <c r="M107" i="54" s="1"/>
  <c r="N83" i="54"/>
  <c r="D6" i="54"/>
  <c r="B112" i="37"/>
  <c r="AX128" i="42"/>
  <c r="AS81" i="42"/>
  <c r="AS94" i="42" s="1"/>
  <c r="AV218" i="42"/>
  <c r="AV217" i="42"/>
  <c r="AV216" i="42"/>
  <c r="AV215" i="42"/>
  <c r="AV214" i="42"/>
  <c r="AV213" i="42"/>
  <c r="AV212" i="42"/>
  <c r="AV211" i="42"/>
  <c r="AV210" i="42"/>
  <c r="AV209" i="42"/>
  <c r="AU205" i="42"/>
  <c r="AT205" i="42"/>
  <c r="AS205" i="42"/>
  <c r="AR205" i="42"/>
  <c r="AV204" i="42"/>
  <c r="AV203" i="42"/>
  <c r="AV202" i="42"/>
  <c r="AV201" i="42"/>
  <c r="AV199" i="42"/>
  <c r="AV198" i="42"/>
  <c r="AV197" i="42"/>
  <c r="AV196" i="42"/>
  <c r="AV195" i="42"/>
  <c r="AV194" i="42"/>
  <c r="AT192" i="42"/>
  <c r="AS192" i="42"/>
  <c r="AV191" i="42"/>
  <c r="AV190" i="42"/>
  <c r="AV189" i="42"/>
  <c r="AV188" i="42"/>
  <c r="AV187" i="42"/>
  <c r="AR186" i="42"/>
  <c r="AV185" i="42"/>
  <c r="AV184" i="42"/>
  <c r="AR183" i="42"/>
  <c r="AV182" i="42"/>
  <c r="AV193" i="42" s="1"/>
  <c r="AU182" i="42"/>
  <c r="AU193" i="42" s="1"/>
  <c r="AT182" i="42"/>
  <c r="AT193" i="42" s="1"/>
  <c r="AS182" i="42"/>
  <c r="AS193" i="42" s="1"/>
  <c r="AR182" i="42"/>
  <c r="AR193" i="42" s="1"/>
  <c r="AU181" i="42"/>
  <c r="AT181" i="42"/>
  <c r="AS181" i="42"/>
  <c r="AR180" i="42"/>
  <c r="AV180" i="42" s="1"/>
  <c r="AR179" i="42"/>
  <c r="AV178" i="42"/>
  <c r="AU176" i="42"/>
  <c r="AT176" i="42"/>
  <c r="AS176" i="42"/>
  <c r="AR176" i="42"/>
  <c r="AV174" i="42"/>
  <c r="AV173" i="42"/>
  <c r="AV172" i="42"/>
  <c r="AV171" i="42"/>
  <c r="AV170" i="42"/>
  <c r="AV169" i="42"/>
  <c r="AV162" i="42"/>
  <c r="AV160" i="42"/>
  <c r="AR159" i="42"/>
  <c r="AV159" i="42" s="1"/>
  <c r="AS153" i="42"/>
  <c r="AV153" i="42" s="1"/>
  <c r="AV152" i="42"/>
  <c r="AV168" i="42" s="1"/>
  <c r="AU152" i="42"/>
  <c r="AU168" i="42" s="1"/>
  <c r="AT152" i="42"/>
  <c r="AT168" i="42" s="1"/>
  <c r="AS152" i="42"/>
  <c r="AS168" i="42" s="1"/>
  <c r="AR152" i="42"/>
  <c r="AR168" i="42" s="1"/>
  <c r="AU151" i="42"/>
  <c r="AV150" i="42"/>
  <c r="AT149" i="42"/>
  <c r="AT151" i="42" s="1"/>
  <c r="AS149" i="42"/>
  <c r="AR149" i="42"/>
  <c r="AS148" i="42"/>
  <c r="AV148" i="42" s="1"/>
  <c r="AS147" i="42"/>
  <c r="AV147" i="42" s="1"/>
  <c r="AS145" i="42"/>
  <c r="AR144" i="42"/>
  <c r="AR142" i="42"/>
  <c r="AV140" i="42"/>
  <c r="AU140" i="42"/>
  <c r="AT140" i="42"/>
  <c r="AS140" i="42"/>
  <c r="AR140" i="42"/>
  <c r="AU128" i="42"/>
  <c r="AT128" i="42"/>
  <c r="AS128" i="42"/>
  <c r="AR128" i="42"/>
  <c r="AV126" i="42"/>
  <c r="AV125" i="42"/>
  <c r="AV124" i="42"/>
  <c r="AV123" i="42"/>
  <c r="AV122" i="42"/>
  <c r="AV121" i="42"/>
  <c r="AV120" i="42"/>
  <c r="AV119" i="42"/>
  <c r="AV118" i="42"/>
  <c r="AV117" i="42"/>
  <c r="AU117" i="42"/>
  <c r="AT117" i="42"/>
  <c r="AS117" i="42"/>
  <c r="AR117" i="42"/>
  <c r="AS115" i="42"/>
  <c r="AR115" i="42"/>
  <c r="AX115" i="42" s="1"/>
  <c r="AR114" i="42"/>
  <c r="AU113" i="42"/>
  <c r="AT113" i="42"/>
  <c r="AS113" i="42"/>
  <c r="AR113" i="42"/>
  <c r="AV112" i="42"/>
  <c r="AR111" i="42"/>
  <c r="AV111" i="42" s="1"/>
  <c r="AT110" i="42"/>
  <c r="AV109" i="42"/>
  <c r="AR107" i="42"/>
  <c r="AV107" i="42" s="1"/>
  <c r="AV106" i="42"/>
  <c r="AR105" i="42"/>
  <c r="AV104" i="42"/>
  <c r="AV103" i="42"/>
  <c r="AV101" i="42"/>
  <c r="AU101" i="42"/>
  <c r="AT101" i="42"/>
  <c r="AS101" i="42"/>
  <c r="AR101" i="42"/>
  <c r="AU98" i="42"/>
  <c r="AU97" i="42"/>
  <c r="AT97" i="42"/>
  <c r="AS97" i="42"/>
  <c r="AR97" i="42"/>
  <c r="AU96" i="42"/>
  <c r="AT96" i="42"/>
  <c r="AS96" i="42"/>
  <c r="AR96" i="42"/>
  <c r="AU95" i="42"/>
  <c r="AT95" i="42"/>
  <c r="AS95" i="42"/>
  <c r="AR95" i="42"/>
  <c r="AU94" i="42"/>
  <c r="AT94" i="42"/>
  <c r="AU93" i="42"/>
  <c r="AT93" i="42"/>
  <c r="AS93" i="42"/>
  <c r="AU92" i="42"/>
  <c r="AT92" i="42"/>
  <c r="AU91" i="42"/>
  <c r="AU90" i="42"/>
  <c r="AT89" i="42"/>
  <c r="AU88" i="42"/>
  <c r="AT88" i="42"/>
  <c r="AS88" i="42"/>
  <c r="AU87" i="42"/>
  <c r="AT87" i="42"/>
  <c r="AS87" i="42"/>
  <c r="AV84" i="42"/>
  <c r="AV97" i="42" s="1"/>
  <c r="AV83" i="42"/>
  <c r="AV96" i="42" s="1"/>
  <c r="AV82" i="42"/>
  <c r="AV95" i="42" s="1"/>
  <c r="AR81" i="42"/>
  <c r="AR94" i="42" s="1"/>
  <c r="AR80" i="42"/>
  <c r="AR93" i="42" s="1"/>
  <c r="AS79" i="42"/>
  <c r="AS92" i="42" s="1"/>
  <c r="AR79" i="42"/>
  <c r="AV79" i="42" s="1"/>
  <c r="AV92" i="42" s="1"/>
  <c r="AT78" i="42"/>
  <c r="AT91" i="42" s="1"/>
  <c r="AS78" i="42"/>
  <c r="AS91" i="42" s="1"/>
  <c r="AR78" i="42"/>
  <c r="AR91" i="42" s="1"/>
  <c r="AT77" i="42"/>
  <c r="AT90" i="42" s="1"/>
  <c r="AS77" i="42"/>
  <c r="AS90" i="42" s="1"/>
  <c r="AR77" i="42"/>
  <c r="AR90" i="42" s="1"/>
  <c r="AS76" i="42"/>
  <c r="AS89" i="42" s="1"/>
  <c r="AR76" i="42"/>
  <c r="AR89" i="42" s="1"/>
  <c r="AV73" i="42"/>
  <c r="AU73" i="42"/>
  <c r="AS73" i="42"/>
  <c r="AR73" i="42"/>
  <c r="AU62" i="42"/>
  <c r="AU65" i="42" s="1"/>
  <c r="AT62" i="42"/>
  <c r="AT65" i="42" s="1"/>
  <c r="AS62" i="42"/>
  <c r="AS65" i="42" s="1"/>
  <c r="AR62" i="42"/>
  <c r="AR65" i="42" s="1"/>
  <c r="AV41" i="42"/>
  <c r="AU41" i="42"/>
  <c r="AT41" i="42"/>
  <c r="AS41" i="42"/>
  <c r="AR41" i="42"/>
  <c r="AU39" i="42"/>
  <c r="AU137" i="42" s="1"/>
  <c r="AT39" i="42"/>
  <c r="AT137" i="42" s="1"/>
  <c r="AS39" i="42"/>
  <c r="AS64" i="42" s="1"/>
  <c r="AR39" i="42"/>
  <c r="AR137" i="42" s="1"/>
  <c r="AV137" i="42" s="1"/>
  <c r="AV38" i="42"/>
  <c r="AV37" i="42"/>
  <c r="AV36" i="42"/>
  <c r="AV35" i="42"/>
  <c r="AV34" i="42"/>
  <c r="AV33" i="42"/>
  <c r="AV32" i="42"/>
  <c r="AV31" i="42"/>
  <c r="AV30" i="42"/>
  <c r="AV29" i="42"/>
  <c r="AV27" i="42"/>
  <c r="AV26" i="42"/>
  <c r="AV25" i="42"/>
  <c r="AV24" i="42"/>
  <c r="AV23" i="42"/>
  <c r="AV22" i="42"/>
  <c r="AR19" i="42"/>
  <c r="AV18" i="42"/>
  <c r="AV17" i="42"/>
  <c r="AV16" i="42"/>
  <c r="AV15" i="42"/>
  <c r="AV14" i="42"/>
  <c r="AV13" i="42"/>
  <c r="AV12" i="42"/>
  <c r="AV11" i="42"/>
  <c r="AV10" i="42"/>
  <c r="AV9" i="42"/>
  <c r="AV8" i="42"/>
  <c r="AV7" i="42"/>
  <c r="AV6" i="42"/>
  <c r="AR5" i="42"/>
  <c r="AR75" i="42" s="1"/>
  <c r="AV3" i="42"/>
  <c r="AV2" i="42"/>
  <c r="Z13" i="42"/>
  <c r="P8" i="54" l="1"/>
  <c r="O16" i="54"/>
  <c r="N105" i="54"/>
  <c r="N106" i="54" s="1"/>
  <c r="N107" i="54" s="1"/>
  <c r="O83" i="54"/>
  <c r="C6" i="54"/>
  <c r="AV110" i="42"/>
  <c r="AZ110" i="42"/>
  <c r="AV186" i="42"/>
  <c r="AX186" i="42"/>
  <c r="BB186" i="42" s="1"/>
  <c r="AV142" i="42"/>
  <c r="AX142" i="42"/>
  <c r="BB142" i="42" s="1"/>
  <c r="AU116" i="42"/>
  <c r="BA113" i="42"/>
  <c r="AV144" i="42"/>
  <c r="AX144" i="42"/>
  <c r="BB144" i="42" s="1"/>
  <c r="B112" i="38"/>
  <c r="AR146" i="42"/>
  <c r="AV146" i="42" s="1"/>
  <c r="AR161" i="42"/>
  <c r="AV161" i="42" s="1"/>
  <c r="AV114" i="42"/>
  <c r="AX114" i="42"/>
  <c r="AS116" i="42"/>
  <c r="AS129" i="42" s="1"/>
  <c r="AV77" i="42"/>
  <c r="AV90" i="42" s="1"/>
  <c r="AV78" i="42"/>
  <c r="AV91" i="42" s="1"/>
  <c r="AR87" i="42"/>
  <c r="AR181" i="42"/>
  <c r="AV81" i="42"/>
  <c r="AV94" i="42" s="1"/>
  <c r="AU129" i="42"/>
  <c r="AR145" i="42"/>
  <c r="AV145" i="42" s="1"/>
  <c r="AV179" i="42"/>
  <c r="AS66" i="42"/>
  <c r="AV62" i="42"/>
  <c r="AV65" i="42" s="1"/>
  <c r="AT64" i="42"/>
  <c r="AT66" i="42" s="1"/>
  <c r="AT132" i="42" s="1"/>
  <c r="AR74" i="42"/>
  <c r="AV74" i="42" s="1"/>
  <c r="AV113" i="42"/>
  <c r="AS151" i="42"/>
  <c r="AR157" i="42"/>
  <c r="AV157" i="42" s="1"/>
  <c r="AV149" i="42"/>
  <c r="AV39" i="42"/>
  <c r="AV64" i="42" s="1"/>
  <c r="AU64" i="42"/>
  <c r="AU66" i="42" s="1"/>
  <c r="AU132" i="42" s="1"/>
  <c r="AV115" i="42"/>
  <c r="AV128" i="42"/>
  <c r="AR155" i="42"/>
  <c r="AV176" i="42"/>
  <c r="AV205" i="42"/>
  <c r="AV75" i="42"/>
  <c r="AT158" i="42"/>
  <c r="AT85" i="42" s="1"/>
  <c r="AT98" i="42" s="1"/>
  <c r="AV181" i="42"/>
  <c r="AV80" i="42"/>
  <c r="AV93" i="42" s="1"/>
  <c r="AV105" i="42"/>
  <c r="AR108" i="42"/>
  <c r="AV108" i="42" s="1"/>
  <c r="AT116" i="42"/>
  <c r="AT129" i="42" s="1"/>
  <c r="AR141" i="42"/>
  <c r="AR192" i="42"/>
  <c r="AR64" i="42"/>
  <c r="AR66" i="42" s="1"/>
  <c r="AR132" i="42" s="1"/>
  <c r="AR88" i="42"/>
  <c r="AR92" i="42"/>
  <c r="AT154" i="42"/>
  <c r="AR156" i="42"/>
  <c r="AU183" i="42"/>
  <c r="AU192" i="42" s="1"/>
  <c r="AV19" i="42"/>
  <c r="X11" i="48" s="1"/>
  <c r="AV5" i="42"/>
  <c r="AV87" i="42" s="1"/>
  <c r="AU76" i="42"/>
  <c r="D8" i="54" l="1"/>
  <c r="P16" i="54"/>
  <c r="O105" i="54"/>
  <c r="O106" i="54" s="1"/>
  <c r="O107" i="54" s="1"/>
  <c r="P83" i="54"/>
  <c r="AV156" i="42"/>
  <c r="AX156" i="42"/>
  <c r="BB156" i="42" s="1"/>
  <c r="AV155" i="42"/>
  <c r="AX155" i="42"/>
  <c r="B112" i="42"/>
  <c r="AS158" i="42"/>
  <c r="AS132" i="42"/>
  <c r="AV132" i="42" s="1"/>
  <c r="BB110" i="42"/>
  <c r="AT130" i="42"/>
  <c r="AT131" i="42"/>
  <c r="AU130" i="42"/>
  <c r="AU131" i="42"/>
  <c r="AS131" i="42"/>
  <c r="AS130" i="42"/>
  <c r="AS85" i="42"/>
  <c r="AS98" i="42" s="1"/>
  <c r="AS99" i="42" s="1"/>
  <c r="AS167" i="42"/>
  <c r="AV66" i="42"/>
  <c r="AT86" i="42"/>
  <c r="AV116" i="42"/>
  <c r="AV129" i="42" s="1"/>
  <c r="AV69" i="42" s="1"/>
  <c r="AR165" i="42"/>
  <c r="AV165" i="42" s="1"/>
  <c r="AR163" i="42"/>
  <c r="AV163" i="42" s="1"/>
  <c r="AV183" i="42"/>
  <c r="AV192" i="42" s="1"/>
  <c r="AV88" i="42"/>
  <c r="AR116" i="42"/>
  <c r="AR129" i="42" s="1"/>
  <c r="AR164" i="42"/>
  <c r="AV164" i="42" s="1"/>
  <c r="AV154" i="42"/>
  <c r="AT167" i="42"/>
  <c r="AR158" i="42"/>
  <c r="AU158" i="42"/>
  <c r="AU167" i="42" s="1"/>
  <c r="AU86" i="42"/>
  <c r="AU89" i="42"/>
  <c r="AU99" i="42" s="1"/>
  <c r="AV76" i="42"/>
  <c r="AR151" i="42"/>
  <c r="AV141" i="42"/>
  <c r="AV151" i="42" s="1"/>
  <c r="C8" i="54" l="1"/>
  <c r="C16" i="54" s="1"/>
  <c r="D16" i="54"/>
  <c r="AR167" i="42"/>
  <c r="AU138" i="42"/>
  <c r="AU139" i="42" s="1"/>
  <c r="P105" i="54"/>
  <c r="P106" i="54" s="1"/>
  <c r="P107" i="54" s="1"/>
  <c r="D83" i="54"/>
  <c r="BB155" i="42"/>
  <c r="AS138" i="42"/>
  <c r="AS139" i="42" s="1"/>
  <c r="AS207" i="42" s="1"/>
  <c r="AR131" i="42"/>
  <c r="AV131" i="42" s="1"/>
  <c r="AR130" i="42"/>
  <c r="AV130" i="42" s="1"/>
  <c r="AV70" i="42"/>
  <c r="AS86" i="42"/>
  <c r="AU207" i="42"/>
  <c r="AU220" i="42" s="1"/>
  <c r="AU221" i="42" s="1"/>
  <c r="AV158" i="42"/>
  <c r="AV167" i="42" s="1"/>
  <c r="AR85" i="42"/>
  <c r="AT138" i="42"/>
  <c r="AT139" i="42" s="1"/>
  <c r="AT207" i="42" s="1"/>
  <c r="AT220" i="42" s="1"/>
  <c r="AT221" i="42" s="1"/>
  <c r="AV89" i="42"/>
  <c r="AS220" i="42" l="1"/>
  <c r="AS221" i="42" s="1"/>
  <c r="D105" i="54"/>
  <c r="C83" i="54"/>
  <c r="C105" i="54" s="1"/>
  <c r="P109" i="54" s="1"/>
  <c r="AR138" i="42"/>
  <c r="AR139" i="42" s="1"/>
  <c r="AR207" i="42" s="1"/>
  <c r="AV138" i="42"/>
  <c r="AV139" i="42" s="1"/>
  <c r="AV85" i="42"/>
  <c r="AR98" i="42"/>
  <c r="AR99" i="42" s="1"/>
  <c r="AR86" i="42"/>
  <c r="AR220" i="42" s="1"/>
  <c r="AR221" i="42" s="1"/>
  <c r="AV207" i="42" l="1"/>
  <c r="AV68" i="42" s="1"/>
  <c r="AV98" i="42"/>
  <c r="AV99" i="42" s="1"/>
  <c r="AV86" i="42"/>
  <c r="AV71" i="42" l="1"/>
  <c r="AV220" i="42"/>
  <c r="AV221" i="42" l="1"/>
  <c r="AV223" i="42" l="1"/>
  <c r="AU223" i="42"/>
  <c r="AT223" i="42"/>
  <c r="AS223" i="42"/>
  <c r="AR223" i="42"/>
  <c r="AP223" i="42"/>
  <c r="AO223" i="42"/>
  <c r="AN223" i="42"/>
  <c r="AM223" i="42"/>
  <c r="AL223" i="42"/>
  <c r="AD223" i="42"/>
  <c r="AC223" i="42"/>
  <c r="AB223" i="42"/>
  <c r="AA223" i="42"/>
  <c r="Z223" i="42"/>
  <c r="X223" i="42"/>
  <c r="W223" i="42"/>
  <c r="V223" i="42"/>
  <c r="U223" i="42"/>
  <c r="T223" i="42"/>
  <c r="R223" i="42"/>
  <c r="Q223" i="42"/>
  <c r="P223" i="42"/>
  <c r="O223" i="42"/>
  <c r="N223" i="42"/>
  <c r="L223" i="42"/>
  <c r="K223" i="42"/>
  <c r="J223" i="42"/>
  <c r="I223" i="42"/>
  <c r="H223" i="42"/>
  <c r="F223" i="42"/>
  <c r="E223" i="42"/>
  <c r="D223" i="42"/>
  <c r="C223" i="42"/>
  <c r="B223" i="42"/>
  <c r="A223" i="42"/>
  <c r="AP218" i="42"/>
  <c r="AD218" i="42"/>
  <c r="X218" i="42"/>
  <c r="G218" i="52" s="1"/>
  <c r="R218" i="42"/>
  <c r="G218" i="53" s="1"/>
  <c r="L218" i="42"/>
  <c r="F218" i="42"/>
  <c r="AP217" i="42"/>
  <c r="AD217" i="42"/>
  <c r="G217" i="51" s="1"/>
  <c r="G234" i="51" s="1"/>
  <c r="X217" i="42"/>
  <c r="G217" i="52" s="1"/>
  <c r="G234" i="52" s="1"/>
  <c r="R217" i="42"/>
  <c r="G217" i="53" s="1"/>
  <c r="G234" i="53" s="1"/>
  <c r="L217" i="42"/>
  <c r="G217" i="50" s="1"/>
  <c r="G234" i="50" s="1"/>
  <c r="F217" i="42"/>
  <c r="G217" i="49" s="1"/>
  <c r="G234" i="49" s="1"/>
  <c r="AP216" i="42"/>
  <c r="AD216" i="42"/>
  <c r="G216" i="51" s="1"/>
  <c r="G233" i="51" s="1"/>
  <c r="X216" i="42"/>
  <c r="G216" i="52" s="1"/>
  <c r="G233" i="52" s="1"/>
  <c r="R216" i="42"/>
  <c r="G216" i="53" s="1"/>
  <c r="G233" i="53" s="1"/>
  <c r="L216" i="42"/>
  <c r="G216" i="50" s="1"/>
  <c r="G233" i="50" s="1"/>
  <c r="F216" i="42"/>
  <c r="G216" i="49" s="1"/>
  <c r="G233" i="49" s="1"/>
  <c r="AP215" i="42"/>
  <c r="AD215" i="42"/>
  <c r="G215" i="51" s="1"/>
  <c r="X215" i="42"/>
  <c r="G215" i="52" s="1"/>
  <c r="R215" i="42"/>
  <c r="G215" i="53" s="1"/>
  <c r="L215" i="42"/>
  <c r="G215" i="50" s="1"/>
  <c r="F215" i="42"/>
  <c r="G215" i="49" s="1"/>
  <c r="AP214" i="42"/>
  <c r="AD214" i="42"/>
  <c r="G214" i="51" s="1"/>
  <c r="X214" i="42"/>
  <c r="G214" i="52" s="1"/>
  <c r="R214" i="42"/>
  <c r="G214" i="53" s="1"/>
  <c r="L214" i="42"/>
  <c r="G214" i="50" s="1"/>
  <c r="F214" i="42"/>
  <c r="G214" i="49" s="1"/>
  <c r="AP213" i="42"/>
  <c r="AD213" i="42"/>
  <c r="G213" i="51" s="1"/>
  <c r="X213" i="42"/>
  <c r="G213" i="52" s="1"/>
  <c r="R213" i="42"/>
  <c r="G213" i="53" s="1"/>
  <c r="L213" i="42"/>
  <c r="G213" i="50" s="1"/>
  <c r="F213" i="42"/>
  <c r="G213" i="49" s="1"/>
  <c r="AP212" i="42"/>
  <c r="AD212" i="42"/>
  <c r="G212" i="51" s="1"/>
  <c r="X212" i="42"/>
  <c r="G212" i="52" s="1"/>
  <c r="R212" i="42"/>
  <c r="G212" i="53" s="1"/>
  <c r="L212" i="42"/>
  <c r="G212" i="50" s="1"/>
  <c r="F212" i="42"/>
  <c r="G212" i="49" s="1"/>
  <c r="AP211" i="42"/>
  <c r="AD211" i="42"/>
  <c r="G211" i="51" s="1"/>
  <c r="G232" i="51" s="1"/>
  <c r="X211" i="42"/>
  <c r="G211" i="52" s="1"/>
  <c r="G232" i="52" s="1"/>
  <c r="R211" i="42"/>
  <c r="G211" i="53" s="1"/>
  <c r="G232" i="53" s="1"/>
  <c r="L211" i="42"/>
  <c r="G211" i="50" s="1"/>
  <c r="G232" i="50" s="1"/>
  <c r="F211" i="42"/>
  <c r="G211" i="49" s="1"/>
  <c r="G232" i="49" s="1"/>
  <c r="AP210" i="42"/>
  <c r="AD210" i="42"/>
  <c r="G210" i="51" s="1"/>
  <c r="G231" i="51" s="1"/>
  <c r="X210" i="42"/>
  <c r="G210" i="52" s="1"/>
  <c r="G231" i="52" s="1"/>
  <c r="R210" i="42"/>
  <c r="G210" i="53" s="1"/>
  <c r="G231" i="53" s="1"/>
  <c r="L210" i="42"/>
  <c r="G210" i="50" s="1"/>
  <c r="G231" i="50" s="1"/>
  <c r="F210" i="42"/>
  <c r="G210" i="49" s="1"/>
  <c r="G231" i="49" s="1"/>
  <c r="AP209" i="42"/>
  <c r="AD209" i="42"/>
  <c r="G209" i="51" s="1"/>
  <c r="G230" i="51" s="1"/>
  <c r="X209" i="42"/>
  <c r="G209" i="52" s="1"/>
  <c r="G230" i="52" s="1"/>
  <c r="R209" i="42"/>
  <c r="G209" i="53" s="1"/>
  <c r="G230" i="53" s="1"/>
  <c r="L209" i="42"/>
  <c r="G209" i="50" s="1"/>
  <c r="G230" i="50" s="1"/>
  <c r="G235" i="50" s="1"/>
  <c r="F209" i="42"/>
  <c r="G209" i="49" s="1"/>
  <c r="G230" i="49" s="1"/>
  <c r="AO205" i="42"/>
  <c r="AN205" i="42"/>
  <c r="AM205" i="42"/>
  <c r="AL205" i="42"/>
  <c r="AC205" i="42"/>
  <c r="AB205" i="42"/>
  <c r="AA205" i="42"/>
  <c r="W205" i="42"/>
  <c r="V205" i="42"/>
  <c r="U205" i="42"/>
  <c r="Q205" i="42"/>
  <c r="P205" i="42"/>
  <c r="O205" i="42"/>
  <c r="K205" i="42"/>
  <c r="J205" i="42"/>
  <c r="I205" i="42"/>
  <c r="E205" i="42"/>
  <c r="D205" i="42"/>
  <c r="C205" i="42"/>
  <c r="AP204" i="42"/>
  <c r="AP203" i="42"/>
  <c r="AP202" i="42"/>
  <c r="AP201" i="42"/>
  <c r="AP199" i="42"/>
  <c r="AP198" i="42"/>
  <c r="AP197" i="42"/>
  <c r="AP196" i="42"/>
  <c r="AP195" i="42"/>
  <c r="AP194" i="42"/>
  <c r="AO192" i="42"/>
  <c r="AN192" i="42"/>
  <c r="AM192" i="42"/>
  <c r="AL192" i="42"/>
  <c r="AB192" i="42"/>
  <c r="AA192" i="42"/>
  <c r="V192" i="42"/>
  <c r="U192" i="42"/>
  <c r="P192" i="42"/>
  <c r="O192" i="42"/>
  <c r="J192" i="42"/>
  <c r="I192" i="42"/>
  <c r="D192" i="42"/>
  <c r="C192" i="42"/>
  <c r="AP191" i="42"/>
  <c r="AD191" i="42"/>
  <c r="G191" i="51" s="1"/>
  <c r="X191" i="42"/>
  <c r="G191" i="52" s="1"/>
  <c r="R191" i="42"/>
  <c r="G191" i="53" s="1"/>
  <c r="L191" i="42"/>
  <c r="G191" i="50" s="1"/>
  <c r="F191" i="42"/>
  <c r="G191" i="49" s="1"/>
  <c r="AP190" i="42"/>
  <c r="AD190" i="42"/>
  <c r="G190" i="51" s="1"/>
  <c r="X190" i="42"/>
  <c r="G190" i="52" s="1"/>
  <c r="R190" i="42"/>
  <c r="G190" i="53" s="1"/>
  <c r="L190" i="42"/>
  <c r="G190" i="50" s="1"/>
  <c r="F190" i="42"/>
  <c r="G190" i="49" s="1"/>
  <c r="AP189" i="42"/>
  <c r="AD189" i="42"/>
  <c r="G189" i="51" s="1"/>
  <c r="X189" i="42"/>
  <c r="G189" i="52" s="1"/>
  <c r="R189" i="42"/>
  <c r="G189" i="53" s="1"/>
  <c r="L189" i="42"/>
  <c r="G189" i="50" s="1"/>
  <c r="F189" i="42"/>
  <c r="G189" i="49" s="1"/>
  <c r="AP188" i="42"/>
  <c r="AD188" i="42"/>
  <c r="G188" i="51" s="1"/>
  <c r="X188" i="42"/>
  <c r="G188" i="52" s="1"/>
  <c r="R188" i="42"/>
  <c r="G188" i="53" s="1"/>
  <c r="L188" i="42"/>
  <c r="G188" i="50" s="1"/>
  <c r="F188" i="42"/>
  <c r="G188" i="49" s="1"/>
  <c r="AP187" i="42"/>
  <c r="AD187" i="42"/>
  <c r="G187" i="51" s="1"/>
  <c r="X187" i="42"/>
  <c r="G187" i="52" s="1"/>
  <c r="R187" i="42"/>
  <c r="G187" i="53" s="1"/>
  <c r="L187" i="42"/>
  <c r="G187" i="50" s="1"/>
  <c r="F187" i="42"/>
  <c r="G187" i="49" s="1"/>
  <c r="AP186" i="42"/>
  <c r="AD186" i="42"/>
  <c r="G186" i="51" s="1"/>
  <c r="X186" i="42"/>
  <c r="G186" i="52" s="1"/>
  <c r="R186" i="42"/>
  <c r="G186" i="53" s="1"/>
  <c r="L186" i="42"/>
  <c r="G186" i="50" s="1"/>
  <c r="F186" i="42"/>
  <c r="G186" i="49" s="1"/>
  <c r="AP185" i="42"/>
  <c r="AD185" i="42"/>
  <c r="G185" i="51" s="1"/>
  <c r="X185" i="42"/>
  <c r="G185" i="52" s="1"/>
  <c r="R185" i="42"/>
  <c r="G185" i="53" s="1"/>
  <c r="L185" i="42"/>
  <c r="G185" i="50" s="1"/>
  <c r="F185" i="42"/>
  <c r="G185" i="49" s="1"/>
  <c r="AP184" i="42"/>
  <c r="AD184" i="42"/>
  <c r="G184" i="51" s="1"/>
  <c r="X184" i="42"/>
  <c r="G184" i="52" s="1"/>
  <c r="R184" i="42"/>
  <c r="G184" i="53" s="1"/>
  <c r="L184" i="42"/>
  <c r="G184" i="50" s="1"/>
  <c r="F184" i="42"/>
  <c r="G184" i="49" s="1"/>
  <c r="AP183" i="42"/>
  <c r="Z183" i="42"/>
  <c r="Z192" i="42" s="1"/>
  <c r="T183" i="42"/>
  <c r="T192" i="42" s="1"/>
  <c r="N183" i="42"/>
  <c r="N192" i="42" s="1"/>
  <c r="H183" i="42"/>
  <c r="B183" i="42"/>
  <c r="AP182" i="42"/>
  <c r="AP193" i="42" s="1"/>
  <c r="AO182" i="42"/>
  <c r="AO193" i="42" s="1"/>
  <c r="AN182" i="42"/>
  <c r="AN193" i="42" s="1"/>
  <c r="AM182" i="42"/>
  <c r="AM193" i="42" s="1"/>
  <c r="AL182" i="42"/>
  <c r="AL193" i="42" s="1"/>
  <c r="AD182" i="42"/>
  <c r="AD193" i="42" s="1"/>
  <c r="AC182" i="42"/>
  <c r="AC193" i="42" s="1"/>
  <c r="AB182" i="42"/>
  <c r="AB193" i="42" s="1"/>
  <c r="AA182" i="42"/>
  <c r="AA193" i="42" s="1"/>
  <c r="Z182" i="42"/>
  <c r="Z193" i="42" s="1"/>
  <c r="X182" i="42"/>
  <c r="X193" i="42" s="1"/>
  <c r="W182" i="42"/>
  <c r="W193" i="42" s="1"/>
  <c r="V182" i="42"/>
  <c r="V193" i="42" s="1"/>
  <c r="U182" i="42"/>
  <c r="U193" i="42" s="1"/>
  <c r="T182" i="42"/>
  <c r="T193" i="42" s="1"/>
  <c r="R182" i="42"/>
  <c r="R193" i="42" s="1"/>
  <c r="Q182" i="42"/>
  <c r="Q193" i="42" s="1"/>
  <c r="P182" i="42"/>
  <c r="P193" i="42" s="1"/>
  <c r="O182" i="42"/>
  <c r="O193" i="42" s="1"/>
  <c r="N182" i="42"/>
  <c r="N193" i="42" s="1"/>
  <c r="L182" i="42"/>
  <c r="L193" i="42" s="1"/>
  <c r="K182" i="42"/>
  <c r="K193" i="42" s="1"/>
  <c r="J182" i="42"/>
  <c r="J193" i="42" s="1"/>
  <c r="I182" i="42"/>
  <c r="I193" i="42" s="1"/>
  <c r="H182" i="42"/>
  <c r="H193" i="42" s="1"/>
  <c r="F182" i="42"/>
  <c r="F193" i="42" s="1"/>
  <c r="E182" i="42"/>
  <c r="E193" i="42" s="1"/>
  <c r="D182" i="42"/>
  <c r="D193" i="42" s="1"/>
  <c r="C182" i="42"/>
  <c r="C193" i="42" s="1"/>
  <c r="B182" i="42"/>
  <c r="B193" i="42" s="1"/>
  <c r="AO181" i="42"/>
  <c r="AN181" i="42"/>
  <c r="AM181" i="42"/>
  <c r="AL181" i="42"/>
  <c r="AC181" i="42"/>
  <c r="AB181" i="42"/>
  <c r="AA181" i="42"/>
  <c r="W181" i="42"/>
  <c r="V181" i="42"/>
  <c r="U181" i="42"/>
  <c r="Q181" i="42"/>
  <c r="P181" i="42"/>
  <c r="O181" i="42"/>
  <c r="K181" i="42"/>
  <c r="J181" i="42"/>
  <c r="I181" i="42"/>
  <c r="E181" i="42"/>
  <c r="D181" i="42"/>
  <c r="C181" i="42"/>
  <c r="AP180" i="42"/>
  <c r="AP179" i="42"/>
  <c r="AP178" i="42"/>
  <c r="AO176" i="42"/>
  <c r="AN176" i="42"/>
  <c r="AM176" i="42"/>
  <c r="AL176" i="42"/>
  <c r="AC176" i="42"/>
  <c r="AB176" i="42"/>
  <c r="AA176" i="42"/>
  <c r="W176" i="42"/>
  <c r="V176" i="42"/>
  <c r="U176" i="42"/>
  <c r="Q176" i="42"/>
  <c r="P176" i="42"/>
  <c r="O176" i="42"/>
  <c r="K176" i="42"/>
  <c r="J176" i="42"/>
  <c r="I176" i="42"/>
  <c r="E176" i="42"/>
  <c r="D176" i="42"/>
  <c r="C176" i="42"/>
  <c r="AP174" i="42"/>
  <c r="AP173" i="42"/>
  <c r="AP172" i="42"/>
  <c r="AD172" i="42"/>
  <c r="G172" i="51" s="1"/>
  <c r="X172" i="42"/>
  <c r="G172" i="52" s="1"/>
  <c r="R172" i="42"/>
  <c r="G172" i="53" s="1"/>
  <c r="L172" i="42"/>
  <c r="G172" i="50" s="1"/>
  <c r="F172" i="42"/>
  <c r="G172" i="49" s="1"/>
  <c r="AP171" i="42"/>
  <c r="AD171" i="42"/>
  <c r="G171" i="51" s="1"/>
  <c r="X171" i="42"/>
  <c r="G171" i="52" s="1"/>
  <c r="R171" i="42"/>
  <c r="G171" i="53" s="1"/>
  <c r="L171" i="42"/>
  <c r="G171" i="50" s="1"/>
  <c r="F171" i="42"/>
  <c r="G171" i="49" s="1"/>
  <c r="AP170" i="42"/>
  <c r="AP169" i="42"/>
  <c r="AP162" i="42"/>
  <c r="AD162" i="42"/>
  <c r="G162" i="51" s="1"/>
  <c r="X162" i="42"/>
  <c r="G162" i="52" s="1"/>
  <c r="R162" i="42"/>
  <c r="G162" i="53" s="1"/>
  <c r="L162" i="42"/>
  <c r="G162" i="50" s="1"/>
  <c r="F162" i="42"/>
  <c r="G162" i="49" s="1"/>
  <c r="AP160" i="42"/>
  <c r="AD160" i="42"/>
  <c r="G160" i="51" s="1"/>
  <c r="X160" i="42"/>
  <c r="G160" i="52" s="1"/>
  <c r="R160" i="42"/>
  <c r="G160" i="53" s="1"/>
  <c r="L160" i="42"/>
  <c r="G160" i="50" s="1"/>
  <c r="F160" i="42"/>
  <c r="G160" i="49" s="1"/>
  <c r="AP159" i="42"/>
  <c r="AP156" i="42"/>
  <c r="AD156" i="42"/>
  <c r="G156" i="51" s="1"/>
  <c r="X156" i="42"/>
  <c r="G156" i="52" s="1"/>
  <c r="R156" i="42"/>
  <c r="G156" i="53" s="1"/>
  <c r="L156" i="42"/>
  <c r="G156" i="50" s="1"/>
  <c r="F156" i="42"/>
  <c r="G156" i="49" s="1"/>
  <c r="AP155" i="42"/>
  <c r="AD155" i="42"/>
  <c r="G155" i="51" s="1"/>
  <c r="X155" i="42"/>
  <c r="G155" i="52" s="1"/>
  <c r="R155" i="42"/>
  <c r="G155" i="53" s="1"/>
  <c r="L155" i="42"/>
  <c r="G155" i="50" s="1"/>
  <c r="F155" i="42"/>
  <c r="G155" i="49" s="1"/>
  <c r="AP153" i="42"/>
  <c r="AP152" i="42"/>
  <c r="AP168" i="42" s="1"/>
  <c r="AO152" i="42"/>
  <c r="AO168" i="42" s="1"/>
  <c r="AN152" i="42"/>
  <c r="AN168" i="42" s="1"/>
  <c r="AM152" i="42"/>
  <c r="AM168" i="42" s="1"/>
  <c r="AL152" i="42"/>
  <c r="AL168" i="42" s="1"/>
  <c r="AD152" i="42"/>
  <c r="AD168" i="42" s="1"/>
  <c r="AC152" i="42"/>
  <c r="AC168" i="42" s="1"/>
  <c r="AB152" i="42"/>
  <c r="AB168" i="42" s="1"/>
  <c r="AA152" i="42"/>
  <c r="AA168" i="42" s="1"/>
  <c r="Z152" i="42"/>
  <c r="Z168" i="42" s="1"/>
  <c r="X152" i="42"/>
  <c r="X168" i="42" s="1"/>
  <c r="W152" i="42"/>
  <c r="W168" i="42" s="1"/>
  <c r="V152" i="42"/>
  <c r="V168" i="42" s="1"/>
  <c r="U152" i="42"/>
  <c r="U168" i="42" s="1"/>
  <c r="T152" i="42"/>
  <c r="T168" i="42" s="1"/>
  <c r="R152" i="42"/>
  <c r="R168" i="42" s="1"/>
  <c r="Q152" i="42"/>
  <c r="Q168" i="42" s="1"/>
  <c r="P152" i="42"/>
  <c r="P168" i="42" s="1"/>
  <c r="O152" i="42"/>
  <c r="O168" i="42" s="1"/>
  <c r="N152" i="42"/>
  <c r="N168" i="42" s="1"/>
  <c r="L152" i="42"/>
  <c r="L168" i="42" s="1"/>
  <c r="K152" i="42"/>
  <c r="K168" i="42" s="1"/>
  <c r="J152" i="42"/>
  <c r="J168" i="42" s="1"/>
  <c r="I152" i="42"/>
  <c r="I168" i="42" s="1"/>
  <c r="H152" i="42"/>
  <c r="H168" i="42" s="1"/>
  <c r="F152" i="42"/>
  <c r="F168" i="42" s="1"/>
  <c r="E152" i="42"/>
  <c r="E168" i="42" s="1"/>
  <c r="D152" i="42"/>
  <c r="D168" i="42" s="1"/>
  <c r="C152" i="42"/>
  <c r="C168" i="42" s="1"/>
  <c r="B152" i="42"/>
  <c r="B168" i="42" s="1"/>
  <c r="AO151" i="42"/>
  <c r="AC151" i="42"/>
  <c r="W151" i="42"/>
  <c r="Q151" i="42"/>
  <c r="K151" i="42"/>
  <c r="E151" i="42"/>
  <c r="AP150" i="42"/>
  <c r="AD150" i="42"/>
  <c r="G150" i="51" s="1"/>
  <c r="X150" i="42"/>
  <c r="G150" i="52" s="1"/>
  <c r="R150" i="42"/>
  <c r="G150" i="53" s="1"/>
  <c r="L150" i="42"/>
  <c r="G150" i="50" s="1"/>
  <c r="F150" i="42"/>
  <c r="G150" i="49" s="1"/>
  <c r="AN149" i="42"/>
  <c r="AN151" i="42" s="1"/>
  <c r="AM149" i="42"/>
  <c r="AY149" i="42" s="1"/>
  <c r="AL149" i="42"/>
  <c r="AX149" i="42" s="1"/>
  <c r="AM148" i="42"/>
  <c r="AY148" i="42" s="1"/>
  <c r="AM147" i="42"/>
  <c r="AY147" i="42" s="1"/>
  <c r="AM145" i="42"/>
  <c r="I151" i="42"/>
  <c r="AP144" i="42"/>
  <c r="AD144" i="42"/>
  <c r="G144" i="51" s="1"/>
  <c r="X144" i="42"/>
  <c r="G144" i="52" s="1"/>
  <c r="R144" i="42"/>
  <c r="G144" i="53" s="1"/>
  <c r="L144" i="42"/>
  <c r="G144" i="50" s="1"/>
  <c r="F144" i="42"/>
  <c r="G144" i="49" s="1"/>
  <c r="AP142" i="42"/>
  <c r="AD142" i="42"/>
  <c r="G142" i="51" s="1"/>
  <c r="X142" i="42"/>
  <c r="G142" i="52" s="1"/>
  <c r="R142" i="42"/>
  <c r="G142" i="53" s="1"/>
  <c r="L142" i="42"/>
  <c r="G142" i="50" s="1"/>
  <c r="F142" i="42"/>
  <c r="G142" i="49" s="1"/>
  <c r="AP140" i="42"/>
  <c r="AO140" i="42"/>
  <c r="AN140" i="42"/>
  <c r="AM140" i="42"/>
  <c r="AL140" i="42"/>
  <c r="AD140" i="42"/>
  <c r="AC140" i="42"/>
  <c r="AB140" i="42"/>
  <c r="AA140" i="42"/>
  <c r="Z140" i="42"/>
  <c r="X140" i="42"/>
  <c r="W140" i="42"/>
  <c r="V140" i="42"/>
  <c r="U140" i="42"/>
  <c r="T140" i="42"/>
  <c r="R140" i="42"/>
  <c r="Q140" i="42"/>
  <c r="P140" i="42"/>
  <c r="O140" i="42"/>
  <c r="N140" i="42"/>
  <c r="L140" i="42"/>
  <c r="K140" i="42"/>
  <c r="J140" i="42"/>
  <c r="I140" i="42"/>
  <c r="H140" i="42"/>
  <c r="F140" i="42"/>
  <c r="E140" i="42"/>
  <c r="D140" i="42"/>
  <c r="C140" i="42"/>
  <c r="B140" i="42"/>
  <c r="AL128" i="42"/>
  <c r="Z128" i="42"/>
  <c r="T128" i="42"/>
  <c r="N128" i="42"/>
  <c r="H128" i="42"/>
  <c r="B128" i="42"/>
  <c r="G127" i="50"/>
  <c r="AO126" i="42"/>
  <c r="BA126" i="42" s="1"/>
  <c r="BB126" i="42" s="1"/>
  <c r="AD126" i="42"/>
  <c r="G126" i="51" s="1"/>
  <c r="X126" i="42"/>
  <c r="G126" i="52" s="1"/>
  <c r="R126" i="42"/>
  <c r="G126" i="53" s="1"/>
  <c r="L126" i="42"/>
  <c r="G126" i="50" s="1"/>
  <c r="F126" i="42"/>
  <c r="G126" i="49" s="1"/>
  <c r="AP125" i="42"/>
  <c r="AD125" i="42"/>
  <c r="G125" i="51" s="1"/>
  <c r="X125" i="42"/>
  <c r="G125" i="52" s="1"/>
  <c r="R125" i="42"/>
  <c r="G125" i="53" s="1"/>
  <c r="L125" i="42"/>
  <c r="G125" i="50" s="1"/>
  <c r="F125" i="42"/>
  <c r="G125" i="49" s="1"/>
  <c r="AP118" i="42"/>
  <c r="AD118" i="42"/>
  <c r="G118" i="51" s="1"/>
  <c r="X118" i="42"/>
  <c r="G118" i="52" s="1"/>
  <c r="R118" i="42"/>
  <c r="G118" i="53" s="1"/>
  <c r="L118" i="42"/>
  <c r="G118" i="50" s="1"/>
  <c r="F118" i="42"/>
  <c r="G118" i="49" s="1"/>
  <c r="AP117" i="42"/>
  <c r="AO117" i="42"/>
  <c r="AN117" i="42"/>
  <c r="AM117" i="42"/>
  <c r="AL117" i="42"/>
  <c r="AD117" i="42"/>
  <c r="AC117" i="42"/>
  <c r="AB117" i="42"/>
  <c r="AA117" i="42"/>
  <c r="Z117" i="42"/>
  <c r="X117" i="42"/>
  <c r="W117" i="42"/>
  <c r="V117" i="42"/>
  <c r="U117" i="42"/>
  <c r="T117" i="42"/>
  <c r="R117" i="42"/>
  <c r="Q117" i="42"/>
  <c r="P117" i="42"/>
  <c r="O117" i="42"/>
  <c r="N117" i="42"/>
  <c r="L117" i="42"/>
  <c r="K117" i="42"/>
  <c r="J117" i="42"/>
  <c r="I117" i="42"/>
  <c r="H117" i="42"/>
  <c r="F117" i="42"/>
  <c r="E117" i="42"/>
  <c r="D117" i="42"/>
  <c r="C117" i="42"/>
  <c r="B117" i="42"/>
  <c r="AO116" i="42"/>
  <c r="AN116" i="42"/>
  <c r="AP115" i="42"/>
  <c r="AA115" i="42"/>
  <c r="AD115" i="42" s="1"/>
  <c r="G115" i="51" s="1"/>
  <c r="U115" i="42"/>
  <c r="X115" i="42" s="1"/>
  <c r="G115" i="52" s="1"/>
  <c r="O115" i="42"/>
  <c r="R115" i="42" s="1"/>
  <c r="G115" i="53" s="1"/>
  <c r="I115" i="42"/>
  <c r="L115" i="42" s="1"/>
  <c r="G115" i="50" s="1"/>
  <c r="C115" i="42"/>
  <c r="AP114" i="42"/>
  <c r="AB114" i="42"/>
  <c r="AD114" i="42" s="1"/>
  <c r="G114" i="51" s="1"/>
  <c r="V114" i="42"/>
  <c r="X114" i="42" s="1"/>
  <c r="G114" i="52" s="1"/>
  <c r="P114" i="42"/>
  <c r="R114" i="42" s="1"/>
  <c r="G114" i="53" s="1"/>
  <c r="J114" i="42"/>
  <c r="L114" i="42" s="1"/>
  <c r="G114" i="50" s="1"/>
  <c r="D114" i="42"/>
  <c r="AP113" i="42"/>
  <c r="Z113" i="42"/>
  <c r="N113" i="42"/>
  <c r="R113" i="42" s="1"/>
  <c r="G113" i="53" s="1"/>
  <c r="J113" i="42"/>
  <c r="AZ113" i="42" s="1"/>
  <c r="I113" i="42"/>
  <c r="AY113" i="42" s="1"/>
  <c r="H113" i="42"/>
  <c r="B113" i="42"/>
  <c r="AP112" i="42"/>
  <c r="AD112" i="42"/>
  <c r="G112" i="51" s="1"/>
  <c r="X112" i="42"/>
  <c r="G112" i="52" s="1"/>
  <c r="R112" i="42"/>
  <c r="G112" i="53" s="1"/>
  <c r="F112" i="42"/>
  <c r="G112" i="49" s="1"/>
  <c r="AP110" i="42"/>
  <c r="AD110" i="42"/>
  <c r="G110" i="51" s="1"/>
  <c r="R110" i="42"/>
  <c r="G110" i="53" s="1"/>
  <c r="F110" i="42"/>
  <c r="G110" i="49" s="1"/>
  <c r="AP109" i="42"/>
  <c r="AD109" i="42"/>
  <c r="G109" i="51" s="1"/>
  <c r="X109" i="42"/>
  <c r="G109" i="52" s="1"/>
  <c r="R109" i="42"/>
  <c r="G109" i="53" s="1"/>
  <c r="L109" i="42"/>
  <c r="G109" i="50" s="1"/>
  <c r="F109" i="42"/>
  <c r="G109" i="49" s="1"/>
  <c r="AP108" i="42"/>
  <c r="AP101" i="42"/>
  <c r="AO101" i="42"/>
  <c r="AN101" i="42"/>
  <c r="AM101" i="42"/>
  <c r="AL101" i="42"/>
  <c r="AD101" i="42"/>
  <c r="AC101" i="42"/>
  <c r="AB101" i="42"/>
  <c r="AA101" i="42"/>
  <c r="Z101" i="42"/>
  <c r="X101" i="42"/>
  <c r="W101" i="42"/>
  <c r="V101" i="42"/>
  <c r="U101" i="42"/>
  <c r="T101" i="42"/>
  <c r="R101" i="42"/>
  <c r="Q101" i="42"/>
  <c r="P101" i="42"/>
  <c r="O101" i="42"/>
  <c r="N101" i="42"/>
  <c r="L101" i="42"/>
  <c r="K101" i="42"/>
  <c r="J101" i="42"/>
  <c r="I101" i="42"/>
  <c r="H101" i="42"/>
  <c r="F101" i="42"/>
  <c r="E101" i="42"/>
  <c r="D101" i="42"/>
  <c r="C101" i="42"/>
  <c r="B101" i="42"/>
  <c r="AO98" i="42"/>
  <c r="AC98" i="42"/>
  <c r="W98" i="42"/>
  <c r="Q98" i="42"/>
  <c r="K98" i="42"/>
  <c r="AO97" i="42"/>
  <c r="AN97" i="42"/>
  <c r="AM97" i="42"/>
  <c r="AL97" i="42"/>
  <c r="AC97" i="42"/>
  <c r="AB97" i="42"/>
  <c r="AA97" i="42"/>
  <c r="Z97" i="42"/>
  <c r="W97" i="42"/>
  <c r="V97" i="42"/>
  <c r="U97" i="42"/>
  <c r="T97" i="42"/>
  <c r="Q97" i="42"/>
  <c r="P97" i="42"/>
  <c r="O97" i="42"/>
  <c r="N97" i="42"/>
  <c r="K97" i="42"/>
  <c r="J97" i="42"/>
  <c r="I97" i="42"/>
  <c r="H97" i="42"/>
  <c r="E97" i="42"/>
  <c r="D97" i="42"/>
  <c r="C97" i="42"/>
  <c r="B97" i="42"/>
  <c r="AO96" i="42"/>
  <c r="AN96" i="42"/>
  <c r="AM96" i="42"/>
  <c r="AL96" i="42"/>
  <c r="AC96" i="42"/>
  <c r="AB96" i="42"/>
  <c r="AA96" i="42"/>
  <c r="Z96" i="42"/>
  <c r="W96" i="42"/>
  <c r="V96" i="42"/>
  <c r="U96" i="42"/>
  <c r="T96" i="42"/>
  <c r="Q96" i="42"/>
  <c r="P96" i="42"/>
  <c r="O96" i="42"/>
  <c r="N96" i="42"/>
  <c r="K96" i="42"/>
  <c r="J96" i="42"/>
  <c r="I96" i="42"/>
  <c r="H96" i="42"/>
  <c r="E96" i="42"/>
  <c r="D96" i="42"/>
  <c r="C96" i="42"/>
  <c r="B96" i="42"/>
  <c r="AO95" i="42"/>
  <c r="AN95" i="42"/>
  <c r="AM95" i="42"/>
  <c r="AC95" i="42"/>
  <c r="AB95" i="42"/>
  <c r="AA95" i="42"/>
  <c r="W95" i="42"/>
  <c r="V95" i="42"/>
  <c r="U95" i="42"/>
  <c r="T95" i="42"/>
  <c r="Q95" i="42"/>
  <c r="P95" i="42"/>
  <c r="O95" i="42"/>
  <c r="N95" i="42"/>
  <c r="K95" i="42"/>
  <c r="J95" i="42"/>
  <c r="I95" i="42"/>
  <c r="E95" i="42"/>
  <c r="D95" i="42"/>
  <c r="C95" i="42"/>
  <c r="AY95" i="42" s="1"/>
  <c r="B95" i="42"/>
  <c r="AO94" i="42"/>
  <c r="AN94" i="42"/>
  <c r="AC94" i="42"/>
  <c r="AB94" i="42"/>
  <c r="W94" i="42"/>
  <c r="V94" i="42"/>
  <c r="Q94" i="42"/>
  <c r="P94" i="42"/>
  <c r="K94" i="42"/>
  <c r="J94" i="42"/>
  <c r="E94" i="42"/>
  <c r="D94" i="42"/>
  <c r="AO93" i="42"/>
  <c r="AN93" i="42"/>
  <c r="AC93" i="42"/>
  <c r="AB93" i="42"/>
  <c r="W93" i="42"/>
  <c r="V93" i="42"/>
  <c r="Q93" i="42"/>
  <c r="P93" i="42"/>
  <c r="K93" i="42"/>
  <c r="J93" i="42"/>
  <c r="E93" i="42"/>
  <c r="D93" i="42"/>
  <c r="AO92" i="42"/>
  <c r="AN92" i="42"/>
  <c r="AC92" i="42"/>
  <c r="AB92" i="42"/>
  <c r="W92" i="42"/>
  <c r="V92" i="42"/>
  <c r="Q92" i="42"/>
  <c r="P92" i="42"/>
  <c r="K92" i="42"/>
  <c r="J92" i="42"/>
  <c r="E92" i="42"/>
  <c r="D92" i="42"/>
  <c r="AO91" i="42"/>
  <c r="AC91" i="42"/>
  <c r="W91" i="42"/>
  <c r="Q91" i="42"/>
  <c r="K91" i="42"/>
  <c r="E91" i="42"/>
  <c r="AO90" i="42"/>
  <c r="AC90" i="42"/>
  <c r="W90" i="42"/>
  <c r="Q90" i="42"/>
  <c r="K90" i="42"/>
  <c r="E90" i="42"/>
  <c r="AN89" i="42"/>
  <c r="AB89" i="42"/>
  <c r="V89" i="42"/>
  <c r="P89" i="42"/>
  <c r="J89" i="42"/>
  <c r="D89" i="42"/>
  <c r="AO88" i="42"/>
  <c r="AN88" i="42"/>
  <c r="AM88" i="42"/>
  <c r="AC88" i="42"/>
  <c r="AB88" i="42"/>
  <c r="AA88" i="42"/>
  <c r="W88" i="42"/>
  <c r="V88" i="42"/>
  <c r="U88" i="42"/>
  <c r="Q88" i="42"/>
  <c r="P88" i="42"/>
  <c r="O88" i="42"/>
  <c r="K88" i="42"/>
  <c r="J88" i="42"/>
  <c r="I88" i="42"/>
  <c r="E88" i="42"/>
  <c r="D88" i="42"/>
  <c r="AZ88" i="42" s="1"/>
  <c r="C88" i="42"/>
  <c r="AO87" i="42"/>
  <c r="AN87" i="42"/>
  <c r="AM87" i="42"/>
  <c r="AC87" i="42"/>
  <c r="AB87" i="42"/>
  <c r="AA87" i="42"/>
  <c r="W87" i="42"/>
  <c r="V87" i="42"/>
  <c r="U87" i="42"/>
  <c r="Q87" i="42"/>
  <c r="P87" i="42"/>
  <c r="O87" i="42"/>
  <c r="K87" i="42"/>
  <c r="J87" i="42"/>
  <c r="I87" i="42"/>
  <c r="E87" i="42"/>
  <c r="D87" i="42"/>
  <c r="C87" i="42"/>
  <c r="AP84" i="42"/>
  <c r="AP97" i="42" s="1"/>
  <c r="AD84" i="42"/>
  <c r="X84" i="42"/>
  <c r="R84" i="42"/>
  <c r="L84" i="42"/>
  <c r="F84" i="42"/>
  <c r="AP83" i="42"/>
  <c r="AP96" i="42" s="1"/>
  <c r="AD83" i="42"/>
  <c r="X83" i="42"/>
  <c r="R83" i="42"/>
  <c r="L83" i="42"/>
  <c r="F83" i="42"/>
  <c r="AL95" i="42"/>
  <c r="X82" i="42"/>
  <c r="R82" i="42"/>
  <c r="F82" i="42"/>
  <c r="AM81" i="42"/>
  <c r="AM94" i="42" s="1"/>
  <c r="AL81" i="42"/>
  <c r="Z81" i="42"/>
  <c r="Z94" i="42" s="1"/>
  <c r="T81" i="42"/>
  <c r="T94" i="42" s="1"/>
  <c r="N81" i="42"/>
  <c r="N94" i="42" s="1"/>
  <c r="H81" i="42"/>
  <c r="B81" i="42"/>
  <c r="AM80" i="42"/>
  <c r="AM93" i="42" s="1"/>
  <c r="AL80" i="42"/>
  <c r="AL93" i="42" s="1"/>
  <c r="Z80" i="42"/>
  <c r="T80" i="42"/>
  <c r="T93" i="42" s="1"/>
  <c r="N80" i="42"/>
  <c r="N93" i="42" s="1"/>
  <c r="H80" i="42"/>
  <c r="H93" i="42" s="1"/>
  <c r="B80" i="42"/>
  <c r="AM79" i="42"/>
  <c r="AM92" i="42" s="1"/>
  <c r="AL79" i="42"/>
  <c r="AL92" i="42" s="1"/>
  <c r="Z79" i="42"/>
  <c r="Z92" i="42" s="1"/>
  <c r="T79" i="42"/>
  <c r="T92" i="42" s="1"/>
  <c r="N79" i="42"/>
  <c r="H79" i="42"/>
  <c r="H92" i="42" s="1"/>
  <c r="B79" i="42"/>
  <c r="AN78" i="42"/>
  <c r="AN91" i="42" s="1"/>
  <c r="AM78" i="42"/>
  <c r="AM91" i="42" s="1"/>
  <c r="AL78" i="42"/>
  <c r="AL91" i="42" s="1"/>
  <c r="AA78" i="42"/>
  <c r="AA91" i="42" s="1"/>
  <c r="Z78" i="42"/>
  <c r="Z91" i="42" s="1"/>
  <c r="U78" i="42"/>
  <c r="U91" i="42" s="1"/>
  <c r="T78" i="42"/>
  <c r="T91" i="42" s="1"/>
  <c r="O78" i="42"/>
  <c r="O91" i="42" s="1"/>
  <c r="N78" i="42"/>
  <c r="N91" i="42" s="1"/>
  <c r="I78" i="42"/>
  <c r="I91" i="42" s="1"/>
  <c r="H78" i="42"/>
  <c r="H91" i="42" s="1"/>
  <c r="C78" i="42"/>
  <c r="B78" i="42"/>
  <c r="AN77" i="42"/>
  <c r="AN90" i="42" s="1"/>
  <c r="AM77" i="42"/>
  <c r="AM90" i="42" s="1"/>
  <c r="AL77" i="42"/>
  <c r="AA77" i="42"/>
  <c r="AA90" i="42" s="1"/>
  <c r="Z77" i="42"/>
  <c r="U77" i="42"/>
  <c r="U90" i="42" s="1"/>
  <c r="T77" i="42"/>
  <c r="O77" i="42"/>
  <c r="O90" i="42" s="1"/>
  <c r="N77" i="42"/>
  <c r="N90" i="42" s="1"/>
  <c r="I77" i="42"/>
  <c r="I90" i="42" s="1"/>
  <c r="H77" i="42"/>
  <c r="C77" i="42"/>
  <c r="B77" i="42"/>
  <c r="AM76" i="42"/>
  <c r="AL76" i="42"/>
  <c r="AA76" i="42"/>
  <c r="AA89" i="42" s="1"/>
  <c r="Z76" i="42"/>
  <c r="U76" i="42"/>
  <c r="T76" i="42"/>
  <c r="O76" i="42"/>
  <c r="N76" i="42"/>
  <c r="I76" i="42"/>
  <c r="H76" i="42"/>
  <c r="C76" i="42"/>
  <c r="B76" i="42"/>
  <c r="AX76" i="42" s="1"/>
  <c r="AP73" i="42"/>
  <c r="AO73" i="42"/>
  <c r="AM73" i="42"/>
  <c r="AL73" i="42"/>
  <c r="AD73" i="42"/>
  <c r="AC73" i="42"/>
  <c r="AA73" i="42"/>
  <c r="Z73" i="42"/>
  <c r="X73" i="42"/>
  <c r="W73" i="42"/>
  <c r="U73" i="42"/>
  <c r="T73" i="42"/>
  <c r="R73" i="42"/>
  <c r="Q73" i="42"/>
  <c r="O73" i="42"/>
  <c r="N73" i="42"/>
  <c r="L73" i="42"/>
  <c r="K73" i="42"/>
  <c r="I73" i="42"/>
  <c r="H73" i="42"/>
  <c r="F73" i="42"/>
  <c r="E73" i="42"/>
  <c r="C73" i="42"/>
  <c r="B73" i="42"/>
  <c r="AO62" i="42"/>
  <c r="AO65" i="42" s="1"/>
  <c r="AN62" i="42"/>
  <c r="AN65" i="42" s="1"/>
  <c r="AM62" i="42"/>
  <c r="AM65" i="42" s="1"/>
  <c r="AL62" i="42"/>
  <c r="AL65" i="42" s="1"/>
  <c r="AC62" i="42"/>
  <c r="AC65" i="42" s="1"/>
  <c r="AB62" i="42"/>
  <c r="AB65" i="42" s="1"/>
  <c r="AA62" i="42"/>
  <c r="AA65" i="42" s="1"/>
  <c r="Z62" i="42"/>
  <c r="Z65" i="42" s="1"/>
  <c r="W62" i="42"/>
  <c r="W65" i="42" s="1"/>
  <c r="V62" i="42"/>
  <c r="V65" i="42" s="1"/>
  <c r="U62" i="42"/>
  <c r="U65" i="42" s="1"/>
  <c r="T62" i="42"/>
  <c r="T65" i="42" s="1"/>
  <c r="Q62" i="42"/>
  <c r="Q65" i="42" s="1"/>
  <c r="P62" i="42"/>
  <c r="P65" i="42" s="1"/>
  <c r="O62" i="42"/>
  <c r="O65" i="42" s="1"/>
  <c r="N62" i="42"/>
  <c r="N65" i="42" s="1"/>
  <c r="K62" i="42"/>
  <c r="K65" i="42" s="1"/>
  <c r="J62" i="42"/>
  <c r="J65" i="42" s="1"/>
  <c r="I62" i="42"/>
  <c r="I65" i="42" s="1"/>
  <c r="H62" i="42"/>
  <c r="H65" i="42" s="1"/>
  <c r="E62" i="42"/>
  <c r="E65" i="42" s="1"/>
  <c r="D62" i="42"/>
  <c r="D65" i="42" s="1"/>
  <c r="C62" i="42"/>
  <c r="C65" i="42" s="1"/>
  <c r="B62" i="42"/>
  <c r="B65" i="42" s="1"/>
  <c r="AP62" i="42"/>
  <c r="AP65" i="42" s="1"/>
  <c r="AD62" i="42"/>
  <c r="AD65" i="42" s="1"/>
  <c r="L62" i="42"/>
  <c r="L65" i="42" s="1"/>
  <c r="F62" i="42"/>
  <c r="F65" i="42" s="1"/>
  <c r="AP41" i="42"/>
  <c r="AO41" i="42"/>
  <c r="AN41" i="42"/>
  <c r="AM41" i="42"/>
  <c r="AL41" i="42"/>
  <c r="AD41" i="42"/>
  <c r="AC41" i="42"/>
  <c r="AB41" i="42"/>
  <c r="AA41" i="42"/>
  <c r="Z41" i="42"/>
  <c r="X41" i="42"/>
  <c r="W41" i="42"/>
  <c r="V41" i="42"/>
  <c r="U41" i="42"/>
  <c r="T41" i="42"/>
  <c r="R41" i="42"/>
  <c r="Q41" i="42"/>
  <c r="P41" i="42"/>
  <c r="O41" i="42"/>
  <c r="N41" i="42"/>
  <c r="L41" i="42"/>
  <c r="K41" i="42"/>
  <c r="J41" i="42"/>
  <c r="I41" i="42"/>
  <c r="H41" i="42"/>
  <c r="F41" i="42"/>
  <c r="E41" i="42"/>
  <c r="D41" i="42"/>
  <c r="C41" i="42"/>
  <c r="B41" i="42"/>
  <c r="AO39" i="42"/>
  <c r="AO137" i="42" s="1"/>
  <c r="AN39" i="42"/>
  <c r="AN137" i="42" s="1"/>
  <c r="AM39" i="42"/>
  <c r="AM64" i="42" s="1"/>
  <c r="AL39" i="42"/>
  <c r="AL137" i="42" s="1"/>
  <c r="AC39" i="42"/>
  <c r="AB39" i="42"/>
  <c r="AA39" i="42"/>
  <c r="Z39" i="42"/>
  <c r="W39" i="42"/>
  <c r="V39" i="42"/>
  <c r="U39" i="42"/>
  <c r="T39" i="42"/>
  <c r="Q39" i="42"/>
  <c r="P39" i="42"/>
  <c r="O39" i="42"/>
  <c r="N39" i="42"/>
  <c r="K39" i="42"/>
  <c r="J39" i="42"/>
  <c r="I39" i="42"/>
  <c r="H39" i="42"/>
  <c r="E39" i="42"/>
  <c r="D39" i="42"/>
  <c r="C39" i="42"/>
  <c r="B39" i="42"/>
  <c r="AP38" i="42"/>
  <c r="AD38" i="42"/>
  <c r="G38" i="51" s="1"/>
  <c r="X38" i="42"/>
  <c r="G38" i="52" s="1"/>
  <c r="R38" i="42"/>
  <c r="G38" i="53" s="1"/>
  <c r="L38" i="42"/>
  <c r="G38" i="50" s="1"/>
  <c r="F38" i="42"/>
  <c r="G38" i="49" s="1"/>
  <c r="AP37" i="42"/>
  <c r="AD37" i="42"/>
  <c r="G37" i="51" s="1"/>
  <c r="X37" i="42"/>
  <c r="G37" i="52" s="1"/>
  <c r="R37" i="42"/>
  <c r="G37" i="53" s="1"/>
  <c r="L37" i="42"/>
  <c r="G37" i="50" s="1"/>
  <c r="F37" i="42"/>
  <c r="G37" i="49" s="1"/>
  <c r="AP36" i="42"/>
  <c r="AD36" i="42"/>
  <c r="G36" i="51" s="1"/>
  <c r="X36" i="42"/>
  <c r="G36" i="52" s="1"/>
  <c r="R36" i="42"/>
  <c r="G36" i="53" s="1"/>
  <c r="L36" i="42"/>
  <c r="G36" i="50" s="1"/>
  <c r="F36" i="42"/>
  <c r="G36" i="49" s="1"/>
  <c r="AP35" i="42"/>
  <c r="AD35" i="42"/>
  <c r="G35" i="51" s="1"/>
  <c r="X35" i="42"/>
  <c r="G35" i="52" s="1"/>
  <c r="R35" i="42"/>
  <c r="G35" i="53" s="1"/>
  <c r="L35" i="42"/>
  <c r="G35" i="50" s="1"/>
  <c r="F35" i="42"/>
  <c r="G35" i="49" s="1"/>
  <c r="AP34" i="42"/>
  <c r="AD34" i="42"/>
  <c r="G34" i="51" s="1"/>
  <c r="X34" i="42"/>
  <c r="G34" i="52" s="1"/>
  <c r="R34" i="42"/>
  <c r="G34" i="53" s="1"/>
  <c r="L34" i="42"/>
  <c r="G34" i="50" s="1"/>
  <c r="F34" i="42"/>
  <c r="G34" i="49" s="1"/>
  <c r="AP33" i="42"/>
  <c r="AD33" i="42"/>
  <c r="G33" i="51" s="1"/>
  <c r="X33" i="42"/>
  <c r="G33" i="52" s="1"/>
  <c r="R33" i="42"/>
  <c r="G33" i="53" s="1"/>
  <c r="L33" i="42"/>
  <c r="G33" i="50" s="1"/>
  <c r="F33" i="42"/>
  <c r="G33" i="49" s="1"/>
  <c r="AP32" i="42"/>
  <c r="AD32" i="42"/>
  <c r="G32" i="51" s="1"/>
  <c r="X32" i="42"/>
  <c r="G32" i="52" s="1"/>
  <c r="R32" i="42"/>
  <c r="G32" i="53" s="1"/>
  <c r="L32" i="42"/>
  <c r="G32" i="50" s="1"/>
  <c r="F32" i="42"/>
  <c r="G32" i="49" s="1"/>
  <c r="AP31" i="42"/>
  <c r="AD31" i="42"/>
  <c r="G31" i="51" s="1"/>
  <c r="X31" i="42"/>
  <c r="G31" i="52" s="1"/>
  <c r="R31" i="42"/>
  <c r="G31" i="53" s="1"/>
  <c r="L31" i="42"/>
  <c r="G31" i="50" s="1"/>
  <c r="F31" i="42"/>
  <c r="G31" i="49" s="1"/>
  <c r="AP30" i="42"/>
  <c r="AD30" i="42"/>
  <c r="G30" i="51" s="1"/>
  <c r="X30" i="42"/>
  <c r="G30" i="52" s="1"/>
  <c r="R30" i="42"/>
  <c r="G30" i="53" s="1"/>
  <c r="L30" i="42"/>
  <c r="G30" i="50" s="1"/>
  <c r="F30" i="42"/>
  <c r="G30" i="49" s="1"/>
  <c r="AP29" i="42"/>
  <c r="AD29" i="42"/>
  <c r="G29" i="51" s="1"/>
  <c r="X29" i="42"/>
  <c r="G29" i="52" s="1"/>
  <c r="R29" i="42"/>
  <c r="G29" i="53" s="1"/>
  <c r="L29" i="42"/>
  <c r="G29" i="50" s="1"/>
  <c r="F29" i="42"/>
  <c r="G29" i="49" s="1"/>
  <c r="AP27" i="42"/>
  <c r="AD27" i="42"/>
  <c r="X27" i="42"/>
  <c r="R27" i="42"/>
  <c r="L27" i="42"/>
  <c r="F27" i="42"/>
  <c r="AP26" i="42"/>
  <c r="AP25" i="42"/>
  <c r="AD25" i="42"/>
  <c r="G25" i="51" s="1"/>
  <c r="X25" i="42"/>
  <c r="G25" i="52" s="1"/>
  <c r="R25" i="42"/>
  <c r="G25" i="53" s="1"/>
  <c r="L25" i="42"/>
  <c r="G25" i="50" s="1"/>
  <c r="F25" i="42"/>
  <c r="G25" i="49" s="1"/>
  <c r="AP24" i="42"/>
  <c r="AP23" i="42"/>
  <c r="AP22" i="42"/>
  <c r="AL19" i="42"/>
  <c r="AL161" i="42" s="1"/>
  <c r="AP161" i="42" s="1"/>
  <c r="AP18" i="42"/>
  <c r="AD18" i="42"/>
  <c r="G18" i="51" s="1"/>
  <c r="X18" i="42"/>
  <c r="G18" i="52" s="1"/>
  <c r="L18" i="42"/>
  <c r="G18" i="50" s="1"/>
  <c r="F18" i="42"/>
  <c r="G18" i="49" s="1"/>
  <c r="AP17" i="42"/>
  <c r="AD17" i="42"/>
  <c r="G17" i="51" s="1"/>
  <c r="X17" i="42"/>
  <c r="G17" i="52" s="1"/>
  <c r="L17" i="42"/>
  <c r="G17" i="50" s="1"/>
  <c r="F17" i="42"/>
  <c r="G17" i="49" s="1"/>
  <c r="AP16" i="42"/>
  <c r="Z16" i="42"/>
  <c r="AX16" i="42" s="1"/>
  <c r="BB16" i="42" s="1"/>
  <c r="X16" i="42"/>
  <c r="G16" i="52" s="1"/>
  <c r="L16" i="42"/>
  <c r="G16" i="50" s="1"/>
  <c r="F16" i="42"/>
  <c r="G16" i="49" s="1"/>
  <c r="AP15" i="42"/>
  <c r="Z15" i="42"/>
  <c r="AD15" i="42" s="1"/>
  <c r="X15" i="42"/>
  <c r="G15" i="52" s="1"/>
  <c r="H15" i="42"/>
  <c r="F15" i="42"/>
  <c r="G15" i="49" s="1"/>
  <c r="AP14" i="42"/>
  <c r="Z14" i="42"/>
  <c r="AD14" i="42" s="1"/>
  <c r="X14" i="42"/>
  <c r="G14" i="52" s="1"/>
  <c r="N14" i="42"/>
  <c r="R14" i="42" s="1"/>
  <c r="H14" i="42"/>
  <c r="F14" i="42"/>
  <c r="G14" i="49" s="1"/>
  <c r="AP13" i="42"/>
  <c r="AD13" i="42"/>
  <c r="N13" i="42"/>
  <c r="R13" i="42" s="1"/>
  <c r="H13" i="42"/>
  <c r="F13" i="42"/>
  <c r="G13" i="49" s="1"/>
  <c r="AP12" i="42"/>
  <c r="Z12" i="42"/>
  <c r="AD12" i="42" s="1"/>
  <c r="N12" i="42"/>
  <c r="R12" i="42" s="1"/>
  <c r="H12" i="42"/>
  <c r="F12" i="42"/>
  <c r="G12" i="49" s="1"/>
  <c r="AP11" i="42"/>
  <c r="Z11" i="42"/>
  <c r="AD11" i="42" s="1"/>
  <c r="X11" i="42"/>
  <c r="R11" i="42"/>
  <c r="H11" i="42"/>
  <c r="F11" i="42"/>
  <c r="AP10" i="42"/>
  <c r="Z10" i="42"/>
  <c r="AD10" i="42" s="1"/>
  <c r="X10" i="42"/>
  <c r="N10" i="42"/>
  <c r="R10" i="42" s="1"/>
  <c r="H10" i="42"/>
  <c r="F10" i="42"/>
  <c r="AP9" i="42"/>
  <c r="Z9" i="42"/>
  <c r="AD9" i="42" s="1"/>
  <c r="X9" i="42"/>
  <c r="R9" i="42"/>
  <c r="H9" i="42"/>
  <c r="F9" i="42"/>
  <c r="AP8" i="42"/>
  <c r="Z8" i="42"/>
  <c r="AD8" i="42" s="1"/>
  <c r="X8" i="42"/>
  <c r="N8" i="42"/>
  <c r="R8" i="42" s="1"/>
  <c r="H8" i="42"/>
  <c r="F8" i="42"/>
  <c r="AP7" i="42"/>
  <c r="Z7" i="42"/>
  <c r="AD7" i="42" s="1"/>
  <c r="X7" i="42"/>
  <c r="N7" i="42"/>
  <c r="R7" i="42" s="1"/>
  <c r="H7" i="42"/>
  <c r="AX7" i="42" s="1"/>
  <c r="BB7" i="42" s="1"/>
  <c r="F7" i="42"/>
  <c r="AP6" i="42"/>
  <c r="Z6" i="42"/>
  <c r="AD6" i="42" s="1"/>
  <c r="R6" i="42"/>
  <c r="N6" i="42"/>
  <c r="H6" i="42"/>
  <c r="F6" i="42"/>
  <c r="AL5" i="42"/>
  <c r="AL75" i="42" s="1"/>
  <c r="AP75" i="42" s="1"/>
  <c r="AP3" i="42"/>
  <c r="AD3" i="42"/>
  <c r="X3" i="42"/>
  <c r="R3" i="42"/>
  <c r="L3" i="42"/>
  <c r="F3" i="42"/>
  <c r="AP2" i="42"/>
  <c r="AD2" i="42"/>
  <c r="G2" i="51" s="1"/>
  <c r="X2" i="42"/>
  <c r="G2" i="52" s="1"/>
  <c r="R2" i="42"/>
  <c r="G2" i="53" s="1"/>
  <c r="L2" i="42"/>
  <c r="G2" i="50" s="1"/>
  <c r="F2" i="42"/>
  <c r="G2" i="49" s="1"/>
  <c r="BA93" i="42" l="1"/>
  <c r="G235" i="49"/>
  <c r="BA94" i="42"/>
  <c r="AX96" i="42"/>
  <c r="AX97" i="42"/>
  <c r="G235" i="51"/>
  <c r="AY96" i="42"/>
  <c r="AY97" i="42"/>
  <c r="AX9" i="42"/>
  <c r="BB9" i="42" s="1"/>
  <c r="G39" i="53"/>
  <c r="G64" i="53" s="1"/>
  <c r="G66" i="53" s="1"/>
  <c r="AZ96" i="42"/>
  <c r="AZ97" i="42"/>
  <c r="BA96" i="42"/>
  <c r="BA97" i="42"/>
  <c r="O135" i="42"/>
  <c r="O137" i="42"/>
  <c r="O132" i="42"/>
  <c r="O108" i="42"/>
  <c r="X96" i="42"/>
  <c r="G96" i="52" s="1"/>
  <c r="G83" i="52"/>
  <c r="F115" i="42"/>
  <c r="G115" i="49" s="1"/>
  <c r="AY115" i="42"/>
  <c r="BB115" i="42" s="1"/>
  <c r="G6" i="42"/>
  <c r="G6" i="49"/>
  <c r="S7" i="42"/>
  <c r="N7" i="53" s="1"/>
  <c r="G7" i="53"/>
  <c r="AE8" i="42"/>
  <c r="N8" i="51" s="1"/>
  <c r="G8" i="51"/>
  <c r="S9" i="42"/>
  <c r="N9" i="53" s="1"/>
  <c r="G9" i="53"/>
  <c r="G10" i="42"/>
  <c r="G10" i="49"/>
  <c r="AE10" i="42"/>
  <c r="N10" i="51" s="1"/>
  <c r="G10" i="51"/>
  <c r="S11" i="42"/>
  <c r="N11" i="53" s="1"/>
  <c r="G11" i="53"/>
  <c r="AE13" i="42"/>
  <c r="N13" i="51" s="1"/>
  <c r="G13" i="51"/>
  <c r="S14" i="42"/>
  <c r="N14" i="53" s="1"/>
  <c r="G14" i="53"/>
  <c r="AE15" i="42"/>
  <c r="N15" i="51" s="1"/>
  <c r="G15" i="51"/>
  <c r="D64" i="42"/>
  <c r="D137" i="42"/>
  <c r="D135" i="42"/>
  <c r="D132" i="42"/>
  <c r="J137" i="42"/>
  <c r="J135" i="42"/>
  <c r="J132" i="42"/>
  <c r="P135" i="42"/>
  <c r="P137" i="42"/>
  <c r="P132" i="42"/>
  <c r="V135" i="42"/>
  <c r="V137" i="42"/>
  <c r="V132" i="42"/>
  <c r="AB135" i="42"/>
  <c r="AB132" i="42"/>
  <c r="AB137" i="42"/>
  <c r="B90" i="42"/>
  <c r="AX77" i="42"/>
  <c r="B94" i="42"/>
  <c r="AX81" i="42"/>
  <c r="R95" i="42"/>
  <c r="G95" i="53" s="1"/>
  <c r="G82" i="53"/>
  <c r="F96" i="42"/>
  <c r="G96" i="49" s="1"/>
  <c r="G83" i="49"/>
  <c r="AD96" i="42"/>
  <c r="G96" i="51" s="1"/>
  <c r="G83" i="51"/>
  <c r="R97" i="42"/>
  <c r="G97" i="53" s="1"/>
  <c r="G84" i="53"/>
  <c r="AY87" i="42"/>
  <c r="BA88" i="42"/>
  <c r="AZ89" i="42"/>
  <c r="BA91" i="42"/>
  <c r="AZ95" i="42"/>
  <c r="S6" i="42"/>
  <c r="N6" i="53" s="1"/>
  <c r="G6" i="53"/>
  <c r="Y10" i="42"/>
  <c r="N10" i="52" s="1"/>
  <c r="G10" i="52"/>
  <c r="AE12" i="42"/>
  <c r="N12" i="51" s="1"/>
  <c r="G12" i="51"/>
  <c r="L14" i="42"/>
  <c r="AX14" i="42"/>
  <c r="BB14" i="42" s="1"/>
  <c r="G39" i="50"/>
  <c r="G64" i="50" s="1"/>
  <c r="G66" i="50" s="1"/>
  <c r="C137" i="42"/>
  <c r="C135" i="42"/>
  <c r="C132" i="42"/>
  <c r="U135" i="42"/>
  <c r="U137" i="42"/>
  <c r="U132" i="42"/>
  <c r="U108" i="42"/>
  <c r="AA135" i="42"/>
  <c r="AA132" i="42"/>
  <c r="AA137" i="42"/>
  <c r="AA108" i="42"/>
  <c r="AE6" i="42"/>
  <c r="N6" i="51" s="1"/>
  <c r="G6" i="51"/>
  <c r="G8" i="42"/>
  <c r="G8" i="49"/>
  <c r="L6" i="42"/>
  <c r="AX6" i="42"/>
  <c r="BB6" i="42" s="1"/>
  <c r="Y7" i="42"/>
  <c r="N7" i="52" s="1"/>
  <c r="G7" i="52"/>
  <c r="L8" i="42"/>
  <c r="AX8" i="42"/>
  <c r="BB8" i="42" s="1"/>
  <c r="Y9" i="42"/>
  <c r="N9" i="52" s="1"/>
  <c r="G9" i="52"/>
  <c r="L10" i="42"/>
  <c r="AX10" i="42"/>
  <c r="BB10" i="42" s="1"/>
  <c r="Y11" i="42"/>
  <c r="N11" i="52" s="1"/>
  <c r="G11" i="52"/>
  <c r="AX12" i="42"/>
  <c r="BB12" i="42" s="1"/>
  <c r="AX15" i="42"/>
  <c r="BB15" i="42" s="1"/>
  <c r="G39" i="52"/>
  <c r="G64" i="52" s="1"/>
  <c r="G66" i="52" s="1"/>
  <c r="E132" i="42"/>
  <c r="E135" i="42"/>
  <c r="E137" i="42"/>
  <c r="K132" i="42"/>
  <c r="K137" i="42"/>
  <c r="K135" i="42"/>
  <c r="Q137" i="42"/>
  <c r="Q132" i="42"/>
  <c r="Q135" i="42"/>
  <c r="W137" i="42"/>
  <c r="W132" i="42"/>
  <c r="W135" i="42"/>
  <c r="AC132" i="42"/>
  <c r="AC137" i="42"/>
  <c r="AC135" i="42"/>
  <c r="C89" i="42"/>
  <c r="AY76" i="42"/>
  <c r="C90" i="42"/>
  <c r="AY90" i="42" s="1"/>
  <c r="AY77" i="42"/>
  <c r="B91" i="42"/>
  <c r="AX91" i="42" s="1"/>
  <c r="AX78" i="42"/>
  <c r="AX80" i="42"/>
  <c r="X95" i="42"/>
  <c r="G95" i="52" s="1"/>
  <c r="G82" i="52"/>
  <c r="L96" i="42"/>
  <c r="G96" i="50" s="1"/>
  <c r="G83" i="50"/>
  <c r="X97" i="42"/>
  <c r="G97" i="52" s="1"/>
  <c r="G84" i="52"/>
  <c r="AZ87" i="42"/>
  <c r="BA95" i="42"/>
  <c r="AZ116" i="42"/>
  <c r="F114" i="42"/>
  <c r="G114" i="49" s="1"/>
  <c r="AZ114" i="42"/>
  <c r="BB114" i="42" s="1"/>
  <c r="AM151" i="42"/>
  <c r="AY145" i="42"/>
  <c r="AY151" i="42" s="1"/>
  <c r="G235" i="53"/>
  <c r="Y8" i="42"/>
  <c r="N8" i="52" s="1"/>
  <c r="G8" i="52"/>
  <c r="L11" i="42"/>
  <c r="AX11" i="42"/>
  <c r="BB11" i="42" s="1"/>
  <c r="S13" i="42"/>
  <c r="N13" i="53" s="1"/>
  <c r="G13" i="53"/>
  <c r="I137" i="42"/>
  <c r="I135" i="42"/>
  <c r="I132" i="42"/>
  <c r="I108" i="42"/>
  <c r="F95" i="42"/>
  <c r="G95" i="49" s="1"/>
  <c r="G82" i="49"/>
  <c r="L97" i="42"/>
  <c r="G97" i="50" s="1"/>
  <c r="G84" i="50"/>
  <c r="BA92" i="42"/>
  <c r="N5" i="42"/>
  <c r="G7" i="42"/>
  <c r="G7" i="49"/>
  <c r="AE7" i="42"/>
  <c r="N7" i="51" s="1"/>
  <c r="G7" i="51"/>
  <c r="S8" i="42"/>
  <c r="N8" i="53" s="1"/>
  <c r="G8" i="53"/>
  <c r="G9" i="42"/>
  <c r="G9" i="49"/>
  <c r="AE9" i="42"/>
  <c r="N9" i="51" s="1"/>
  <c r="G9" i="51"/>
  <c r="S10" i="42"/>
  <c r="N10" i="53" s="1"/>
  <c r="G10" i="53"/>
  <c r="G11" i="42"/>
  <c r="G11" i="49"/>
  <c r="AE11" i="42"/>
  <c r="N11" i="51" s="1"/>
  <c r="G11" i="51"/>
  <c r="S12" i="42"/>
  <c r="N12" i="53" s="1"/>
  <c r="G12" i="53"/>
  <c r="L13" i="42"/>
  <c r="AX13" i="42"/>
  <c r="BB13" i="42" s="1"/>
  <c r="AE14" i="42"/>
  <c r="N14" i="51" s="1"/>
  <c r="G14" i="51"/>
  <c r="L15" i="42"/>
  <c r="G39" i="51"/>
  <c r="G64" i="51" s="1"/>
  <c r="G66" i="51" s="1"/>
  <c r="G39" i="49"/>
  <c r="G64" i="49" s="1"/>
  <c r="G66" i="49" s="1"/>
  <c r="B135" i="42"/>
  <c r="B132" i="42"/>
  <c r="B137" i="42"/>
  <c r="B108" i="42"/>
  <c r="H137" i="42"/>
  <c r="H135" i="42"/>
  <c r="L135" i="42" s="1"/>
  <c r="G135" i="50" s="1"/>
  <c r="H132" i="42"/>
  <c r="H108" i="42"/>
  <c r="N135" i="42"/>
  <c r="N132" i="42"/>
  <c r="R132" i="42" s="1"/>
  <c r="G132" i="53" s="1"/>
  <c r="N137" i="42"/>
  <c r="N108" i="42"/>
  <c r="T135" i="42"/>
  <c r="T137" i="42"/>
  <c r="X137" i="42" s="1"/>
  <c r="G137" i="52" s="1"/>
  <c r="T132" i="42"/>
  <c r="T108" i="42"/>
  <c r="Z135" i="42"/>
  <c r="AD135" i="42" s="1"/>
  <c r="G135" i="51" s="1"/>
  <c r="Z132" i="42"/>
  <c r="AD132" i="42" s="1"/>
  <c r="G132" i="51" s="1"/>
  <c r="Z137" i="42"/>
  <c r="Z108" i="42"/>
  <c r="AP137" i="42"/>
  <c r="C91" i="42"/>
  <c r="AY91" i="42" s="1"/>
  <c r="AY78" i="42"/>
  <c r="B92" i="42"/>
  <c r="AX79" i="42"/>
  <c r="R96" i="42"/>
  <c r="G96" i="53" s="1"/>
  <c r="G83" i="53"/>
  <c r="F97" i="42"/>
  <c r="G97" i="49" s="1"/>
  <c r="G84" i="49"/>
  <c r="AD97" i="42"/>
  <c r="G97" i="51" s="1"/>
  <c r="G84" i="51"/>
  <c r="BA87" i="42"/>
  <c r="AY88" i="42"/>
  <c r="BA90" i="42"/>
  <c r="AZ92" i="42"/>
  <c r="AZ93" i="42"/>
  <c r="AZ94" i="42"/>
  <c r="AX113" i="42"/>
  <c r="BB113" i="42" s="1"/>
  <c r="AP181" i="42"/>
  <c r="B192" i="42"/>
  <c r="AX183" i="42"/>
  <c r="G235" i="52"/>
  <c r="G218" i="51"/>
  <c r="G218" i="50"/>
  <c r="AA151" i="42"/>
  <c r="AP176" i="42"/>
  <c r="AP149" i="42"/>
  <c r="AP77" i="42"/>
  <c r="AP90" i="42" s="1"/>
  <c r="D66" i="42"/>
  <c r="D133" i="42" s="1"/>
  <c r="G30" i="39"/>
  <c r="H119" i="45" s="1"/>
  <c r="G32" i="39"/>
  <c r="G34" i="39"/>
  <c r="G36" i="39"/>
  <c r="G38" i="39"/>
  <c r="P116" i="42"/>
  <c r="X39" i="42"/>
  <c r="X64" i="42" s="1"/>
  <c r="X12" i="42"/>
  <c r="G12" i="52" s="1"/>
  <c r="X13" i="42"/>
  <c r="G13" i="52" s="1"/>
  <c r="L39" i="42"/>
  <c r="L64" i="42" s="1"/>
  <c r="L66" i="42" s="1"/>
  <c r="AP39" i="42"/>
  <c r="AP64" i="42" s="1"/>
  <c r="AP66" i="42" s="1"/>
  <c r="AL87" i="42"/>
  <c r="AP192" i="42"/>
  <c r="G190" i="39"/>
  <c r="N19" i="42"/>
  <c r="G12" i="39"/>
  <c r="H44" i="43" s="1"/>
  <c r="H23" i="43" s="1"/>
  <c r="AP126" i="42"/>
  <c r="AP82" i="42"/>
  <c r="AP95" i="42" s="1"/>
  <c r="AP205" i="42"/>
  <c r="Z5" i="42"/>
  <c r="Z88" i="42" s="1"/>
  <c r="L12" i="42"/>
  <c r="B19" i="42"/>
  <c r="R39" i="42"/>
  <c r="R64" i="42" s="1"/>
  <c r="AQ29" i="42"/>
  <c r="AM66" i="42"/>
  <c r="AM132" i="42" s="1"/>
  <c r="R62" i="42"/>
  <c r="R65" i="42" s="1"/>
  <c r="AP78" i="42"/>
  <c r="AP91" i="42" s="1"/>
  <c r="L113" i="42"/>
  <c r="G113" i="50" s="1"/>
  <c r="G127" i="39"/>
  <c r="H11" i="44"/>
  <c r="H77" i="45"/>
  <c r="H98" i="45"/>
  <c r="X62" i="42"/>
  <c r="X65" i="42" s="1"/>
  <c r="AP79" i="42"/>
  <c r="AP92" i="42" s="1"/>
  <c r="G160" i="39"/>
  <c r="B5" i="42"/>
  <c r="F39" i="42"/>
  <c r="F64" i="42" s="1"/>
  <c r="F66" i="42" s="1"/>
  <c r="AD39" i="42"/>
  <c r="AD64" i="42" s="1"/>
  <c r="AD66" i="42" s="1"/>
  <c r="G43" i="39"/>
  <c r="G45" i="39"/>
  <c r="G47" i="39"/>
  <c r="G49" i="39"/>
  <c r="G53" i="39"/>
  <c r="H18" i="44" s="1"/>
  <c r="G55" i="39"/>
  <c r="G57" i="39"/>
  <c r="G59" i="39"/>
  <c r="G61" i="39"/>
  <c r="AP81" i="42"/>
  <c r="AP94" i="42" s="1"/>
  <c r="G136" i="39"/>
  <c r="G142" i="39"/>
  <c r="G144" i="39"/>
  <c r="O151" i="42"/>
  <c r="G212" i="39"/>
  <c r="G216" i="39"/>
  <c r="G233" i="39" s="1"/>
  <c r="G51" i="39"/>
  <c r="G209" i="39"/>
  <c r="G213" i="39"/>
  <c r="G217" i="39"/>
  <c r="G234" i="39" s="1"/>
  <c r="G84" i="39"/>
  <c r="G185" i="39"/>
  <c r="G187" i="39"/>
  <c r="G189" i="39"/>
  <c r="G15" i="39"/>
  <c r="H47" i="43" s="1"/>
  <c r="H26" i="43" s="1"/>
  <c r="G17" i="39"/>
  <c r="H49" i="43" s="1"/>
  <c r="H28" i="43" s="1"/>
  <c r="G29" i="39"/>
  <c r="G31" i="39"/>
  <c r="G33" i="39"/>
  <c r="G35" i="39"/>
  <c r="G37" i="39"/>
  <c r="G44" i="39"/>
  <c r="G46" i="39"/>
  <c r="G48" i="39"/>
  <c r="G50" i="39"/>
  <c r="G52" i="39"/>
  <c r="G54" i="39"/>
  <c r="G56" i="39"/>
  <c r="G58" i="39"/>
  <c r="G60" i="39"/>
  <c r="G143" i="39"/>
  <c r="G16" i="39"/>
  <c r="H48" i="43" s="1"/>
  <c r="H27" i="43" s="1"/>
  <c r="G150" i="39"/>
  <c r="G184" i="39"/>
  <c r="G186" i="39"/>
  <c r="G188" i="39"/>
  <c r="Z19" i="42"/>
  <c r="J64" i="42"/>
  <c r="J66" i="42" s="1"/>
  <c r="J133" i="42" s="1"/>
  <c r="AM158" i="42"/>
  <c r="T19" i="42"/>
  <c r="T5" i="42"/>
  <c r="X6" i="42"/>
  <c r="G6" i="52" s="1"/>
  <c r="G7" i="39"/>
  <c r="H39" i="43" s="1"/>
  <c r="H18" i="43" s="1"/>
  <c r="H5" i="42"/>
  <c r="L7" i="42"/>
  <c r="G6" i="39"/>
  <c r="G10" i="39"/>
  <c r="H42" i="43" s="1"/>
  <c r="H21" i="43" s="1"/>
  <c r="G9" i="39"/>
  <c r="H41" i="43" s="1"/>
  <c r="H20" i="43" s="1"/>
  <c r="L9" i="42"/>
  <c r="G11" i="39"/>
  <c r="H43" i="43" s="1"/>
  <c r="H22" i="43" s="1"/>
  <c r="E108" i="42"/>
  <c r="E64" i="42"/>
  <c r="E66" i="42" s="1"/>
  <c r="E133" i="42" s="1"/>
  <c r="AN64" i="42"/>
  <c r="AN66" i="42" s="1"/>
  <c r="AN132" i="42" s="1"/>
  <c r="O64" i="42"/>
  <c r="O66" i="42" s="1"/>
  <c r="O133" i="42" s="1"/>
  <c r="G13" i="39"/>
  <c r="H45" i="43" s="1"/>
  <c r="H24" i="43" s="1"/>
  <c r="B88" i="42"/>
  <c r="N88" i="42"/>
  <c r="N87" i="42"/>
  <c r="N74" i="42"/>
  <c r="N75" i="42"/>
  <c r="R75" i="42" s="1"/>
  <c r="G75" i="53" s="1"/>
  <c r="R5" i="42"/>
  <c r="R87" i="42" s="1"/>
  <c r="G87" i="53" s="1"/>
  <c r="S29" i="42"/>
  <c r="G8" i="39"/>
  <c r="H40" i="43" s="1"/>
  <c r="H19" i="43" s="1"/>
  <c r="G14" i="39"/>
  <c r="H46" i="43" s="1"/>
  <c r="H25" i="43" s="1"/>
  <c r="G18" i="39"/>
  <c r="H50" i="43" s="1"/>
  <c r="H29" i="43" s="1"/>
  <c r="F19" i="42"/>
  <c r="X3" i="48" s="1"/>
  <c r="T64" i="42"/>
  <c r="T66" i="42" s="1"/>
  <c r="T133" i="42" s="1"/>
  <c r="AC108" i="42"/>
  <c r="AC116" i="42" s="1"/>
  <c r="AC64" i="42"/>
  <c r="AC66" i="42" s="1"/>
  <c r="AC133" i="42" s="1"/>
  <c r="K108" i="42"/>
  <c r="K116" i="42" s="1"/>
  <c r="AD108" i="42"/>
  <c r="G108" i="51" s="1"/>
  <c r="B64" i="42"/>
  <c r="B66" i="42" s="1"/>
  <c r="B133" i="42" s="1"/>
  <c r="K64" i="42"/>
  <c r="K66" i="42" s="1"/>
  <c r="K133" i="42" s="1"/>
  <c r="P64" i="42"/>
  <c r="P66" i="42" s="1"/>
  <c r="P133" i="42" s="1"/>
  <c r="U64" i="42"/>
  <c r="U66" i="42" s="1"/>
  <c r="U133" i="42" s="1"/>
  <c r="Z64" i="42"/>
  <c r="Z66" i="42" s="1"/>
  <c r="Z133" i="42" s="1"/>
  <c r="AO64" i="42"/>
  <c r="AO66" i="42" s="1"/>
  <c r="AO132" i="42" s="1"/>
  <c r="T89" i="42"/>
  <c r="Z93" i="42"/>
  <c r="G83" i="39"/>
  <c r="H89" i="42"/>
  <c r="AL89" i="42"/>
  <c r="H90" i="42"/>
  <c r="AL90" i="42"/>
  <c r="H19" i="42"/>
  <c r="AL157" i="42"/>
  <c r="AL141" i="42"/>
  <c r="AL148" i="42"/>
  <c r="AP148" i="42" s="1"/>
  <c r="AN154" i="42"/>
  <c r="AL147" i="42"/>
  <c r="AP147" i="42" s="1"/>
  <c r="AL146" i="42"/>
  <c r="AP146" i="42" s="1"/>
  <c r="AO76" i="42"/>
  <c r="AP76" i="42" s="1"/>
  <c r="AP89" i="42" s="1"/>
  <c r="AQ30" i="42"/>
  <c r="C108" i="42"/>
  <c r="AY108" i="42" s="1"/>
  <c r="Q108" i="42"/>
  <c r="Q116" i="42" s="1"/>
  <c r="C64" i="42"/>
  <c r="C66" i="42" s="1"/>
  <c r="C133" i="42" s="1"/>
  <c r="H64" i="42"/>
  <c r="H66" i="42" s="1"/>
  <c r="H133" i="42" s="1"/>
  <c r="Q64" i="42"/>
  <c r="Q66" i="42" s="1"/>
  <c r="Q133" i="42" s="1"/>
  <c r="V64" i="42"/>
  <c r="V66" i="42" s="1"/>
  <c r="V133" i="42" s="1"/>
  <c r="AA64" i="42"/>
  <c r="AA66" i="42" s="1"/>
  <c r="AA133" i="42" s="1"/>
  <c r="AL64" i="42"/>
  <c r="AL66" i="42" s="1"/>
  <c r="AL132" i="42" s="1"/>
  <c r="AL74" i="42"/>
  <c r="I89" i="42"/>
  <c r="U89" i="42"/>
  <c r="AM89" i="42"/>
  <c r="T90" i="42"/>
  <c r="N92" i="42"/>
  <c r="AP80" i="42"/>
  <c r="AP93" i="42" s="1"/>
  <c r="AL88" i="42"/>
  <c r="AL94" i="42"/>
  <c r="O89" i="42"/>
  <c r="Z90" i="42"/>
  <c r="AP5" i="42"/>
  <c r="AP87" i="42" s="1"/>
  <c r="AD16" i="42"/>
  <c r="AP19" i="42"/>
  <c r="W108" i="42"/>
  <c r="W116" i="42" s="1"/>
  <c r="I64" i="42"/>
  <c r="I66" i="42" s="1"/>
  <c r="I133" i="42" s="1"/>
  <c r="N64" i="42"/>
  <c r="N66" i="42" s="1"/>
  <c r="N133" i="42" s="1"/>
  <c r="W64" i="42"/>
  <c r="W66" i="42" s="1"/>
  <c r="W133" i="42" s="1"/>
  <c r="AB64" i="42"/>
  <c r="AB66" i="42" s="1"/>
  <c r="AB133" i="42" s="1"/>
  <c r="B89" i="42"/>
  <c r="AX89" i="42" s="1"/>
  <c r="N89" i="42"/>
  <c r="Z89" i="42"/>
  <c r="B93" i="42"/>
  <c r="AX93" i="42" s="1"/>
  <c r="Z95" i="42"/>
  <c r="AD82" i="42"/>
  <c r="H94" i="42"/>
  <c r="V116" i="42"/>
  <c r="X110" i="42"/>
  <c r="G110" i="52" s="1"/>
  <c r="G114" i="39"/>
  <c r="G126" i="39"/>
  <c r="G134" i="39"/>
  <c r="G109" i="39"/>
  <c r="F113" i="42"/>
  <c r="G113" i="49" s="1"/>
  <c r="AD113" i="42"/>
  <c r="G113" i="51" s="1"/>
  <c r="G118" i="39"/>
  <c r="J116" i="42"/>
  <c r="L110" i="42"/>
  <c r="G110" i="50" s="1"/>
  <c r="X113" i="42"/>
  <c r="G113" i="52" s="1"/>
  <c r="G125" i="39"/>
  <c r="U151" i="42"/>
  <c r="D116" i="42"/>
  <c r="AB116" i="42"/>
  <c r="G172" i="39"/>
  <c r="AP145" i="42"/>
  <c r="C151" i="42"/>
  <c r="G171" i="39"/>
  <c r="G162" i="39"/>
  <c r="G191" i="39"/>
  <c r="H192" i="42"/>
  <c r="G211" i="39"/>
  <c r="G215" i="39"/>
  <c r="G210" i="39"/>
  <c r="G231" i="39" s="1"/>
  <c r="G214" i="39"/>
  <c r="G218" i="39"/>
  <c r="H19" i="40"/>
  <c r="H21" i="40"/>
  <c r="H23" i="40"/>
  <c r="H27" i="40"/>
  <c r="H29" i="40"/>
  <c r="H18" i="40"/>
  <c r="H22" i="40"/>
  <c r="H69" i="40"/>
  <c r="H70" i="40"/>
  <c r="H17" i="40"/>
  <c r="A5" i="40"/>
  <c r="C15" i="40"/>
  <c r="D14" i="40" s="1"/>
  <c r="D15" i="40" s="1"/>
  <c r="E14" i="40" s="1"/>
  <c r="E15" i="40" s="1"/>
  <c r="F14" i="40" s="1"/>
  <c r="F15" i="40" s="1"/>
  <c r="G14" i="40" s="1"/>
  <c r="G15" i="40" s="1"/>
  <c r="H14" i="40" s="1"/>
  <c r="H15" i="40" s="1"/>
  <c r="C35" i="40"/>
  <c r="C36" i="40" s="1"/>
  <c r="D35" i="40" s="1"/>
  <c r="D36" i="40" s="1"/>
  <c r="E35" i="40" s="1"/>
  <c r="E36" i="40" s="1"/>
  <c r="F35" i="40" s="1"/>
  <c r="F36" i="40" s="1"/>
  <c r="G35" i="40" s="1"/>
  <c r="G36" i="40" s="1"/>
  <c r="H35" i="40" s="1"/>
  <c r="H36" i="40" s="1"/>
  <c r="C58" i="40"/>
  <c r="C59" i="40" s="1"/>
  <c r="D58" i="40" s="1"/>
  <c r="D59" i="40" s="1"/>
  <c r="E58" i="40" s="1"/>
  <c r="E59" i="40" s="1"/>
  <c r="F58" i="40" s="1"/>
  <c r="F59" i="40" s="1"/>
  <c r="G58" i="40" s="1"/>
  <c r="G59" i="40" s="1"/>
  <c r="H58" i="40" s="1"/>
  <c r="H59" i="40" s="1"/>
  <c r="BB97" i="42" l="1"/>
  <c r="BB96" i="42"/>
  <c r="G19" i="49"/>
  <c r="AY89" i="42"/>
  <c r="R108" i="42"/>
  <c r="G108" i="53" s="1"/>
  <c r="G230" i="39"/>
  <c r="M13" i="42"/>
  <c r="G13" i="50"/>
  <c r="N9" i="49"/>
  <c r="M14" i="42"/>
  <c r="G14" i="50"/>
  <c r="H200" i="42"/>
  <c r="L200" i="42" s="1"/>
  <c r="G200" i="50" s="1"/>
  <c r="H175" i="42"/>
  <c r="L175" i="42" s="1"/>
  <c r="G175" i="50" s="1"/>
  <c r="H161" i="42"/>
  <c r="L161" i="42" s="1"/>
  <c r="G161" i="50" s="1"/>
  <c r="H147" i="42"/>
  <c r="H146" i="42"/>
  <c r="L146" i="42" s="1"/>
  <c r="G146" i="50" s="1"/>
  <c r="H148" i="42"/>
  <c r="H145" i="42"/>
  <c r="T200" i="42"/>
  <c r="X200" i="42" s="1"/>
  <c r="G200" i="52" s="1"/>
  <c r="T175" i="42"/>
  <c r="X175" i="42" s="1"/>
  <c r="G175" i="52" s="1"/>
  <c r="T147" i="42"/>
  <c r="T161" i="42"/>
  <c r="X161" i="42" s="1"/>
  <c r="G161" i="52" s="1"/>
  <c r="T146" i="42"/>
  <c r="T148" i="42"/>
  <c r="X148" i="42" s="1"/>
  <c r="G148" i="52" s="1"/>
  <c r="T145" i="42"/>
  <c r="N200" i="42"/>
  <c r="R200" i="42" s="1"/>
  <c r="G200" i="53" s="1"/>
  <c r="N175" i="42"/>
  <c r="R175" i="42" s="1"/>
  <c r="G175" i="53" s="1"/>
  <c r="N148" i="42"/>
  <c r="N145" i="42"/>
  <c r="N147" i="42"/>
  <c r="R147" i="42" s="1"/>
  <c r="G147" i="53" s="1"/>
  <c r="N161" i="42"/>
  <c r="R161" i="42" s="1"/>
  <c r="G161" i="53" s="1"/>
  <c r="N146" i="42"/>
  <c r="R146" i="42" s="1"/>
  <c r="G146" i="53" s="1"/>
  <c r="X135" i="42"/>
  <c r="G135" i="52" s="1"/>
  <c r="R135" i="42"/>
  <c r="G135" i="53" s="1"/>
  <c r="L137" i="42"/>
  <c r="G137" i="50" s="1"/>
  <c r="F135" i="42"/>
  <c r="G135" i="49" s="1"/>
  <c r="AX135" i="42"/>
  <c r="G5" i="53"/>
  <c r="G5" i="52"/>
  <c r="BA137" i="42"/>
  <c r="N8" i="49"/>
  <c r="G19" i="53"/>
  <c r="AZ135" i="42"/>
  <c r="F132" i="42"/>
  <c r="G132" i="49" s="1"/>
  <c r="AX132" i="42"/>
  <c r="M11" i="42"/>
  <c r="N11" i="50" s="1"/>
  <c r="G11" i="50"/>
  <c r="AY137" i="42"/>
  <c r="AP132" i="42"/>
  <c r="G29" i="42"/>
  <c r="BA133" i="42"/>
  <c r="D158" i="42"/>
  <c r="AD133" i="42"/>
  <c r="G133" i="51" s="1"/>
  <c r="F133" i="42"/>
  <c r="G133" i="49" s="1"/>
  <c r="AX133" i="42"/>
  <c r="BA108" i="42"/>
  <c r="BA116" i="42" s="1"/>
  <c r="Z75" i="42"/>
  <c r="AD75" i="42" s="1"/>
  <c r="G75" i="51" s="1"/>
  <c r="Z175" i="42"/>
  <c r="AD175" i="42" s="1"/>
  <c r="G175" i="51" s="1"/>
  <c r="Z200" i="42"/>
  <c r="AD200" i="42" s="1"/>
  <c r="G200" i="51" s="1"/>
  <c r="Z161" i="42"/>
  <c r="AD161" i="42" s="1"/>
  <c r="G161" i="51" s="1"/>
  <c r="Z148" i="42"/>
  <c r="Z145" i="42"/>
  <c r="Z147" i="42"/>
  <c r="Z146" i="42"/>
  <c r="AD146" i="42" s="1"/>
  <c r="G146" i="51" s="1"/>
  <c r="X66" i="42"/>
  <c r="E183" i="42"/>
  <c r="B200" i="42"/>
  <c r="B175" i="42"/>
  <c r="B148" i="42"/>
  <c r="B145" i="42"/>
  <c r="B161" i="42"/>
  <c r="B147" i="42"/>
  <c r="F147" i="42" s="1"/>
  <c r="G147" i="49" s="1"/>
  <c r="B146" i="42"/>
  <c r="AX19" i="42"/>
  <c r="AX92" i="42"/>
  <c r="AX108" i="42"/>
  <c r="N11" i="49"/>
  <c r="N11" i="39"/>
  <c r="N19" i="53"/>
  <c r="N29" i="53" s="1"/>
  <c r="N7" i="49"/>
  <c r="BA135" i="42"/>
  <c r="M10" i="42"/>
  <c r="N10" i="50" s="1"/>
  <c r="G10" i="50"/>
  <c r="M8" i="42"/>
  <c r="N8" i="50" s="1"/>
  <c r="G8" i="50"/>
  <c r="M6" i="42"/>
  <c r="N6" i="50" s="1"/>
  <c r="G6" i="50"/>
  <c r="AY132" i="42"/>
  <c r="AX90" i="42"/>
  <c r="AZ137" i="42"/>
  <c r="G5" i="49"/>
  <c r="AE16" i="42"/>
  <c r="G16" i="51"/>
  <c r="G19" i="51" s="1"/>
  <c r="M9" i="42"/>
  <c r="N9" i="50" s="1"/>
  <c r="G9" i="50"/>
  <c r="M7" i="42"/>
  <c r="N7" i="50" s="1"/>
  <c r="G7" i="50"/>
  <c r="AZ133" i="42"/>
  <c r="M15" i="42"/>
  <c r="G15" i="50"/>
  <c r="AX94" i="42"/>
  <c r="AZ132" i="42"/>
  <c r="AD95" i="42"/>
  <c r="G95" i="51" s="1"/>
  <c r="G82" i="51"/>
  <c r="R133" i="42"/>
  <c r="G133" i="53" s="1"/>
  <c r="X133" i="42"/>
  <c r="G133" i="52" s="1"/>
  <c r="G19" i="52"/>
  <c r="B87" i="42"/>
  <c r="AX5" i="42"/>
  <c r="BB5" i="42" s="1"/>
  <c r="M12" i="42"/>
  <c r="G12" i="50"/>
  <c r="AX192" i="42"/>
  <c r="AD137" i="42"/>
  <c r="G137" i="51" s="1"/>
  <c r="X132" i="42"/>
  <c r="G132" i="52" s="1"/>
  <c r="R137" i="42"/>
  <c r="G137" i="53" s="1"/>
  <c r="L132" i="42"/>
  <c r="G132" i="50" s="1"/>
  <c r="F137" i="42"/>
  <c r="G137" i="49" s="1"/>
  <c r="AX137" i="42"/>
  <c r="BA132" i="42"/>
  <c r="AY135" i="42"/>
  <c r="N10" i="49"/>
  <c r="N10" i="39"/>
  <c r="N6" i="49"/>
  <c r="L133" i="42"/>
  <c r="G133" i="50" s="1"/>
  <c r="AY133" i="42"/>
  <c r="G86" i="47"/>
  <c r="G220" i="47" s="1"/>
  <c r="G225" i="47" s="1"/>
  <c r="G96" i="39"/>
  <c r="R148" i="42"/>
  <c r="G148" i="53" s="1"/>
  <c r="Z74" i="42"/>
  <c r="Q76" i="42"/>
  <c r="R76" i="42" s="1"/>
  <c r="N157" i="42"/>
  <c r="Z87" i="42"/>
  <c r="Z164" i="42" s="1"/>
  <c r="AD164" i="42" s="1"/>
  <c r="G164" i="51" s="1"/>
  <c r="Y6" i="42"/>
  <c r="N6" i="52" s="1"/>
  <c r="N19" i="52" s="1"/>
  <c r="N29" i="52" s="1"/>
  <c r="L108" i="42"/>
  <c r="P154" i="42"/>
  <c r="R154" i="42" s="1"/>
  <c r="G154" i="53" s="1"/>
  <c r="AL165" i="42"/>
  <c r="AP165" i="42" s="1"/>
  <c r="N141" i="42"/>
  <c r="R141" i="42" s="1"/>
  <c r="G141" i="53" s="1"/>
  <c r="Q183" i="42"/>
  <c r="AD5" i="42"/>
  <c r="AD88" i="42" s="1"/>
  <c r="G88" i="51" s="1"/>
  <c r="R66" i="42"/>
  <c r="R19" i="42"/>
  <c r="X4" i="48" s="1"/>
  <c r="R145" i="42"/>
  <c r="G145" i="53" s="1"/>
  <c r="E76" i="42"/>
  <c r="D154" i="42"/>
  <c r="B141" i="42"/>
  <c r="B157" i="42"/>
  <c r="F5" i="42"/>
  <c r="F88" i="42" s="1"/>
  <c r="G88" i="49" s="1"/>
  <c r="AL163" i="42"/>
  <c r="AP163" i="42" s="1"/>
  <c r="R88" i="42"/>
  <c r="G88" i="53" s="1"/>
  <c r="H26" i="40"/>
  <c r="H45" i="45"/>
  <c r="P45" i="45" s="1"/>
  <c r="H63" i="43"/>
  <c r="H62" i="43"/>
  <c r="H14" i="44"/>
  <c r="H102" i="45"/>
  <c r="H123" i="45"/>
  <c r="H81" i="45"/>
  <c r="H9" i="44"/>
  <c r="G39" i="39"/>
  <c r="G64" i="39" s="1"/>
  <c r="H104" i="45"/>
  <c r="H83" i="45"/>
  <c r="H125" i="45"/>
  <c r="H5" i="44"/>
  <c r="H68" i="45"/>
  <c r="H89" i="45"/>
  <c r="H110" i="45"/>
  <c r="AE29" i="42"/>
  <c r="B75" i="42"/>
  <c r="H68" i="43"/>
  <c r="H66" i="43"/>
  <c r="H38" i="43"/>
  <c r="H17" i="43" s="1"/>
  <c r="G19" i="39"/>
  <c r="H53" i="45" s="1"/>
  <c r="G5" i="39"/>
  <c r="G42" i="39"/>
  <c r="G62" i="39" s="1"/>
  <c r="G65" i="39" s="1"/>
  <c r="H71" i="43"/>
  <c r="H8" i="44"/>
  <c r="H71" i="45"/>
  <c r="H92" i="45"/>
  <c r="H113" i="45"/>
  <c r="H72" i="43"/>
  <c r="H100" i="45"/>
  <c r="H79" i="45"/>
  <c r="H121" i="45"/>
  <c r="H124" i="45"/>
  <c r="H82" i="45"/>
  <c r="H103" i="45"/>
  <c r="H15" i="44"/>
  <c r="H65" i="43"/>
  <c r="G232" i="39"/>
  <c r="G235" i="39" s="1"/>
  <c r="G115" i="39"/>
  <c r="H73" i="43"/>
  <c r="B74" i="42"/>
  <c r="H67" i="43"/>
  <c r="H76" i="45"/>
  <c r="H118" i="45"/>
  <c r="H97" i="45"/>
  <c r="H10" i="44"/>
  <c r="H17" i="44"/>
  <c r="H126" i="45"/>
  <c r="H84" i="45"/>
  <c r="H105" i="45"/>
  <c r="H120" i="45"/>
  <c r="H99" i="45"/>
  <c r="H78" i="45"/>
  <c r="H6" i="44"/>
  <c r="H70" i="43"/>
  <c r="H13" i="44"/>
  <c r="H122" i="45"/>
  <c r="H80" i="45"/>
  <c r="H101" i="45"/>
  <c r="X108" i="42"/>
  <c r="H69" i="43"/>
  <c r="H64" i="43"/>
  <c r="H115" i="45"/>
  <c r="H94" i="45"/>
  <c r="H73" i="45"/>
  <c r="H12" i="44"/>
  <c r="H7" i="44"/>
  <c r="H111" i="45"/>
  <c r="H90" i="45"/>
  <c r="H69" i="45"/>
  <c r="H16" i="44"/>
  <c r="G97" i="39"/>
  <c r="AD87" i="42"/>
  <c r="G87" i="51" s="1"/>
  <c r="S108" i="42"/>
  <c r="AB158" i="42"/>
  <c r="AB85" i="42" s="1"/>
  <c r="AB98" i="42" s="1"/>
  <c r="AL158" i="42"/>
  <c r="H158" i="42"/>
  <c r="AP157" i="42"/>
  <c r="AL164" i="42"/>
  <c r="AP164" i="42" s="1"/>
  <c r="P158" i="42"/>
  <c r="P85" i="42" s="1"/>
  <c r="P98" i="42" s="1"/>
  <c r="H82" i="42"/>
  <c r="AX82" i="42" s="1"/>
  <c r="BB82" i="42" s="1"/>
  <c r="E192" i="42"/>
  <c r="F183" i="42"/>
  <c r="AP88" i="42"/>
  <c r="R157" i="42"/>
  <c r="G157" i="53" s="1"/>
  <c r="H75" i="42"/>
  <c r="L75" i="42" s="1"/>
  <c r="G75" i="50" s="1"/>
  <c r="L5" i="42"/>
  <c r="H88" i="42"/>
  <c r="H87" i="42"/>
  <c r="H74" i="42"/>
  <c r="W183" i="42"/>
  <c r="T157" i="42"/>
  <c r="X147" i="42"/>
  <c r="G147" i="52" s="1"/>
  <c r="X145" i="42"/>
  <c r="G145" i="52" s="1"/>
  <c r="T141" i="42"/>
  <c r="V154" i="42"/>
  <c r="X146" i="42"/>
  <c r="G146" i="52" s="1"/>
  <c r="W76" i="42"/>
  <c r="X19" i="42"/>
  <c r="X5" i="48" s="1"/>
  <c r="Z165" i="42"/>
  <c r="AD165" i="42" s="1"/>
  <c r="G165" i="51" s="1"/>
  <c r="J158" i="42"/>
  <c r="J85" i="42" s="1"/>
  <c r="J98" i="42" s="1"/>
  <c r="AC183" i="42"/>
  <c r="AB154" i="42"/>
  <c r="AD148" i="42"/>
  <c r="G148" i="51" s="1"/>
  <c r="AD147" i="42"/>
  <c r="G147" i="51" s="1"/>
  <c r="AD145" i="42"/>
  <c r="G145" i="51" s="1"/>
  <c r="Z141" i="42"/>
  <c r="Z157" i="42"/>
  <c r="AC76" i="42"/>
  <c r="AD19" i="42"/>
  <c r="X7" i="48" s="1"/>
  <c r="Q158" i="42"/>
  <c r="Q167" i="42" s="1"/>
  <c r="AE108" i="42"/>
  <c r="F108" i="42"/>
  <c r="G108" i="49" s="1"/>
  <c r="AC158" i="42"/>
  <c r="AC167" i="42" s="1"/>
  <c r="Q89" i="42"/>
  <c r="Q99" i="42" s="1"/>
  <c r="Q86" i="42"/>
  <c r="E158" i="42"/>
  <c r="T88" i="42"/>
  <c r="T87" i="42"/>
  <c r="T75" i="42"/>
  <c r="X75" i="42" s="1"/>
  <c r="G75" i="52" s="1"/>
  <c r="X5" i="42"/>
  <c r="T74" i="42"/>
  <c r="AD74" i="42"/>
  <c r="G74" i="51" s="1"/>
  <c r="G113" i="39"/>
  <c r="W158" i="42"/>
  <c r="W167" i="42" s="1"/>
  <c r="AA158" i="42"/>
  <c r="C158" i="42"/>
  <c r="AP154" i="42"/>
  <c r="AO158" i="42"/>
  <c r="AO167" i="42" s="1"/>
  <c r="K158" i="42"/>
  <c r="K167" i="42" s="1"/>
  <c r="F146" i="42"/>
  <c r="G146" i="49" s="1"/>
  <c r="R74" i="42"/>
  <c r="G74" i="53" s="1"/>
  <c r="O158" i="42"/>
  <c r="AN158" i="42"/>
  <c r="AN85" i="42" s="1"/>
  <c r="E116" i="42"/>
  <c r="I158" i="42"/>
  <c r="AL151" i="42"/>
  <c r="AP141" i="42"/>
  <c r="AP151" i="42" s="1"/>
  <c r="U158" i="42"/>
  <c r="E89" i="42"/>
  <c r="F75" i="42"/>
  <c r="G75" i="49" s="1"/>
  <c r="AM167" i="42"/>
  <c r="AM85" i="42"/>
  <c r="D85" i="42"/>
  <c r="G110" i="39"/>
  <c r="N158" i="42"/>
  <c r="AP74" i="42"/>
  <c r="V158" i="42"/>
  <c r="V85" i="42" s="1"/>
  <c r="V98" i="42" s="1"/>
  <c r="AO89" i="42"/>
  <c r="AO99" i="42" s="1"/>
  <c r="AO86" i="42"/>
  <c r="K183" i="42"/>
  <c r="H157" i="42"/>
  <c r="H141" i="42"/>
  <c r="L148" i="42"/>
  <c r="G148" i="50" s="1"/>
  <c r="J154" i="42"/>
  <c r="L147" i="42"/>
  <c r="G147" i="50" s="1"/>
  <c r="L145" i="42"/>
  <c r="G145" i="50" s="1"/>
  <c r="K76" i="42"/>
  <c r="L19" i="42"/>
  <c r="X6" i="48" s="1"/>
  <c r="Z158" i="42"/>
  <c r="B158" i="42"/>
  <c r="T158" i="42"/>
  <c r="G156" i="39"/>
  <c r="F145" i="42"/>
  <c r="G145" i="49" s="1"/>
  <c r="F148" i="42"/>
  <c r="G148" i="49" s="1"/>
  <c r="N163" i="42"/>
  <c r="R163" i="42" s="1"/>
  <c r="G163" i="53" s="1"/>
  <c r="N164" i="42"/>
  <c r="R164" i="42" s="1"/>
  <c r="G164" i="53" s="1"/>
  <c r="N165" i="42"/>
  <c r="R165" i="42" s="1"/>
  <c r="G165" i="53" s="1"/>
  <c r="B163" i="42"/>
  <c r="B164" i="42"/>
  <c r="B165" i="42"/>
  <c r="H62" i="40"/>
  <c r="H66" i="40"/>
  <c r="H61" i="40"/>
  <c r="H64" i="40"/>
  <c r="H20" i="40"/>
  <c r="H24" i="40"/>
  <c r="H68" i="40"/>
  <c r="H72" i="40"/>
  <c r="H28" i="40"/>
  <c r="H67" i="40"/>
  <c r="H73" i="40"/>
  <c r="H65" i="40"/>
  <c r="H71" i="40"/>
  <c r="H63" i="40"/>
  <c r="H51" i="40"/>
  <c r="N51" i="40" s="1"/>
  <c r="H25" i="40"/>
  <c r="AX158" i="42" l="1"/>
  <c r="AX148" i="42"/>
  <c r="BB148" i="42" s="1"/>
  <c r="N6" i="39"/>
  <c r="BB108" i="42"/>
  <c r="AX157" i="42"/>
  <c r="BB157" i="42" s="1"/>
  <c r="G157" i="39" s="1"/>
  <c r="AX88" i="42"/>
  <c r="BB88" i="42" s="1"/>
  <c r="M29" i="42"/>
  <c r="AX146" i="42"/>
  <c r="BB146" i="42" s="1"/>
  <c r="BB133" i="42"/>
  <c r="G133" i="39" s="1"/>
  <c r="M108" i="42"/>
  <c r="G108" i="50"/>
  <c r="N151" i="42"/>
  <c r="F157" i="42"/>
  <c r="G157" i="49" s="1"/>
  <c r="F74" i="42"/>
  <c r="G74" i="49" s="1"/>
  <c r="AX74" i="42"/>
  <c r="AX75" i="42"/>
  <c r="BB75" i="42" s="1"/>
  <c r="F141" i="42"/>
  <c r="G141" i="49" s="1"/>
  <c r="AX141" i="42"/>
  <c r="R89" i="42"/>
  <c r="G89" i="53" s="1"/>
  <c r="G76" i="53"/>
  <c r="N19" i="49"/>
  <c r="N29" i="49" s="1"/>
  <c r="N12" i="50"/>
  <c r="N12" i="39"/>
  <c r="N15" i="50"/>
  <c r="N15" i="39"/>
  <c r="G5" i="51"/>
  <c r="AX147" i="42"/>
  <c r="BB147" i="42" s="1"/>
  <c r="AX175" i="42"/>
  <c r="BB175" i="42" s="1"/>
  <c r="F175" i="42"/>
  <c r="AZ158" i="42"/>
  <c r="N14" i="50"/>
  <c r="N19" i="50" s="1"/>
  <c r="N29" i="50" s="1"/>
  <c r="N14" i="39"/>
  <c r="N13" i="50"/>
  <c r="N13" i="39"/>
  <c r="AZ85" i="42"/>
  <c r="E85" i="42"/>
  <c r="BA158" i="42"/>
  <c r="BA167" i="42" s="1"/>
  <c r="D167" i="42"/>
  <c r="AZ154" i="42"/>
  <c r="BB154" i="42" s="1"/>
  <c r="Y29" i="42"/>
  <c r="BB132" i="42"/>
  <c r="N16" i="51"/>
  <c r="N19" i="51" s="1"/>
  <c r="N29" i="51" s="1"/>
  <c r="N16" i="39"/>
  <c r="BB137" i="42"/>
  <c r="G19" i="50"/>
  <c r="G5" i="50"/>
  <c r="AX161" i="42"/>
  <c r="BB161" i="42" s="1"/>
  <c r="G161" i="39" s="1"/>
  <c r="F161" i="42"/>
  <c r="G161" i="49" s="1"/>
  <c r="AX200" i="42"/>
  <c r="BB200" i="42" s="1"/>
  <c r="F200" i="42"/>
  <c r="G200" i="49" s="1"/>
  <c r="N8" i="39"/>
  <c r="N9" i="39"/>
  <c r="Y108" i="42"/>
  <c r="G108" i="52"/>
  <c r="F192" i="42"/>
  <c r="G183" i="49"/>
  <c r="G192" i="49" s="1"/>
  <c r="F76" i="42"/>
  <c r="BA76" i="42"/>
  <c r="BB76" i="42" s="1"/>
  <c r="AX87" i="42"/>
  <c r="X9" i="48"/>
  <c r="N7" i="39"/>
  <c r="H75" i="45" s="1"/>
  <c r="BA25" i="42"/>
  <c r="BB25" i="42" s="1"/>
  <c r="G25" i="39" s="1"/>
  <c r="BB19" i="42"/>
  <c r="AX145" i="42"/>
  <c r="BB145" i="42" s="1"/>
  <c r="BA183" i="42"/>
  <c r="BB135" i="42"/>
  <c r="G135" i="39" s="1"/>
  <c r="AY158" i="42"/>
  <c r="G99" i="47"/>
  <c r="G71" i="47"/>
  <c r="G228" i="47"/>
  <c r="G237" i="47" s="1"/>
  <c r="Q192" i="42"/>
  <c r="R183" i="42"/>
  <c r="G66" i="39"/>
  <c r="Z163" i="42"/>
  <c r="AD163" i="42" s="1"/>
  <c r="G163" i="51" s="1"/>
  <c r="F154" i="42"/>
  <c r="G154" i="49" s="1"/>
  <c r="P167" i="42"/>
  <c r="B151" i="42"/>
  <c r="F87" i="42"/>
  <c r="G87" i="49" s="1"/>
  <c r="G75" i="39"/>
  <c r="AN167" i="42"/>
  <c r="H4" i="44"/>
  <c r="H19" i="44" s="1"/>
  <c r="H88" i="45"/>
  <c r="H67" i="45"/>
  <c r="H109" i="45"/>
  <c r="H30" i="43"/>
  <c r="H61" i="43"/>
  <c r="H74" i="43" s="1"/>
  <c r="H51" i="43"/>
  <c r="N51" i="43" s="1"/>
  <c r="G88" i="39"/>
  <c r="L157" i="42"/>
  <c r="G157" i="50" s="1"/>
  <c r="G148" i="39"/>
  <c r="K89" i="42"/>
  <c r="K99" i="42" s="1"/>
  <c r="K86" i="42"/>
  <c r="L76" i="42"/>
  <c r="O85" i="42"/>
  <c r="O98" i="42" s="1"/>
  <c r="X87" i="42"/>
  <c r="G87" i="52" s="1"/>
  <c r="X88" i="42"/>
  <c r="G88" i="52" s="1"/>
  <c r="AC89" i="42"/>
  <c r="AC99" i="42" s="1"/>
  <c r="AC86" i="42"/>
  <c r="AD76" i="42"/>
  <c r="W192" i="42"/>
  <c r="X183" i="42"/>
  <c r="L88" i="42"/>
  <c r="G88" i="50" s="1"/>
  <c r="L87" i="42"/>
  <c r="G87" i="50" s="1"/>
  <c r="G155" i="39"/>
  <c r="G137" i="39"/>
  <c r="I85" i="42"/>
  <c r="C85" i="42"/>
  <c r="X74" i="42"/>
  <c r="G74" i="52" s="1"/>
  <c r="AB167" i="42"/>
  <c r="AD154" i="42"/>
  <c r="G154" i="51" s="1"/>
  <c r="F165" i="42"/>
  <c r="G165" i="49" s="1"/>
  <c r="AN98" i="42"/>
  <c r="AN86" i="42"/>
  <c r="F164" i="42"/>
  <c r="G164" i="49" s="1"/>
  <c r="X158" i="42"/>
  <c r="G158" i="52" s="1"/>
  <c r="T85" i="42"/>
  <c r="T86" i="42" s="1"/>
  <c r="AD158" i="42"/>
  <c r="G158" i="51" s="1"/>
  <c r="Z85" i="42"/>
  <c r="R158" i="42"/>
  <c r="G158" i="53" s="1"/>
  <c r="N85" i="42"/>
  <c r="G146" i="39"/>
  <c r="AA85" i="42"/>
  <c r="AA98" i="42" s="1"/>
  <c r="E167" i="42"/>
  <c r="G108" i="42"/>
  <c r="AD157" i="42"/>
  <c r="G157" i="51" s="1"/>
  <c r="AC192" i="42"/>
  <c r="AD183" i="42"/>
  <c r="L74" i="42"/>
  <c r="G74" i="50" s="1"/>
  <c r="AL167" i="42"/>
  <c r="AP158" i="42"/>
  <c r="AP167" i="42" s="1"/>
  <c r="AL85" i="42"/>
  <c r="G154" i="39"/>
  <c r="N154" i="39" s="1"/>
  <c r="U85" i="42"/>
  <c r="U98" i="42" s="1"/>
  <c r="X141" i="42"/>
  <c r="G141" i="52" s="1"/>
  <c r="T151" i="42"/>
  <c r="G82" i="39"/>
  <c r="L82" i="42"/>
  <c r="H95" i="42"/>
  <c r="L158" i="42"/>
  <c r="G158" i="50" s="1"/>
  <c r="H85" i="42"/>
  <c r="G147" i="39"/>
  <c r="J167" i="42"/>
  <c r="L154" i="42"/>
  <c r="G154" i="50" s="1"/>
  <c r="D98" i="42"/>
  <c r="AZ98" i="42" s="1"/>
  <c r="F163" i="42"/>
  <c r="G163" i="49" s="1"/>
  <c r="G145" i="39"/>
  <c r="F158" i="42"/>
  <c r="G158" i="49" s="1"/>
  <c r="B85" i="42"/>
  <c r="H151" i="42"/>
  <c r="L141" i="42"/>
  <c r="G141" i="50" s="1"/>
  <c r="K192" i="42"/>
  <c r="L183" i="42"/>
  <c r="AM98" i="42"/>
  <c r="AM99" i="42" s="1"/>
  <c r="AM86" i="42"/>
  <c r="T165" i="42"/>
  <c r="X165" i="42" s="1"/>
  <c r="G165" i="52" s="1"/>
  <c r="T163" i="42"/>
  <c r="X163" i="42" s="1"/>
  <c r="G163" i="52" s="1"/>
  <c r="T164" i="42"/>
  <c r="X164" i="42" s="1"/>
  <c r="G164" i="52" s="1"/>
  <c r="G108" i="39"/>
  <c r="AD141" i="42"/>
  <c r="G141" i="51" s="1"/>
  <c r="Z151" i="42"/>
  <c r="W89" i="42"/>
  <c r="W99" i="42" s="1"/>
  <c r="W86" i="42"/>
  <c r="X76" i="42"/>
  <c r="V167" i="42"/>
  <c r="X154" i="42"/>
  <c r="G154" i="52" s="1"/>
  <c r="X157" i="42"/>
  <c r="G157" i="52" s="1"/>
  <c r="H165" i="42"/>
  <c r="L165" i="42" s="1"/>
  <c r="G165" i="50" s="1"/>
  <c r="H163" i="42"/>
  <c r="L163" i="42" s="1"/>
  <c r="G163" i="50" s="1"/>
  <c r="H164" i="42"/>
  <c r="L164" i="42" s="1"/>
  <c r="G164" i="50" s="1"/>
  <c r="H30" i="40"/>
  <c r="N30" i="40" s="1"/>
  <c r="H74" i="40"/>
  <c r="N74" i="40" s="1"/>
  <c r="AX85" i="42" l="1"/>
  <c r="H117" i="45"/>
  <c r="H127" i="45" s="1"/>
  <c r="BA192" i="42"/>
  <c r="BB183" i="42"/>
  <c r="BB192" i="42" s="1"/>
  <c r="AX2" i="42"/>
  <c r="BB2" i="42" s="1"/>
  <c r="BB87" i="42"/>
  <c r="G87" i="39" s="1"/>
  <c r="BA85" i="42"/>
  <c r="BA86" i="42" s="1"/>
  <c r="E86" i="42"/>
  <c r="AX163" i="42"/>
  <c r="BB163" i="42" s="1"/>
  <c r="G163" i="39" s="1"/>
  <c r="AD192" i="42"/>
  <c r="G183" i="51"/>
  <c r="G192" i="51" s="1"/>
  <c r="AD89" i="42"/>
  <c r="G89" i="51" s="1"/>
  <c r="G76" i="51"/>
  <c r="AX164" i="42"/>
  <c r="BB164" i="42" s="1"/>
  <c r="G164" i="39" s="1"/>
  <c r="AZ167" i="42"/>
  <c r="BB74" i="42"/>
  <c r="G74" i="39" s="1"/>
  <c r="AX86" i="42"/>
  <c r="L192" i="42"/>
  <c r="G183" i="50"/>
  <c r="G192" i="50" s="1"/>
  <c r="X89" i="42"/>
  <c r="G89" i="52" s="1"/>
  <c r="G76" i="52"/>
  <c r="AX95" i="42"/>
  <c r="BB95" i="42" s="1"/>
  <c r="G95" i="39" s="1"/>
  <c r="N19" i="39"/>
  <c r="N29" i="39" s="1"/>
  <c r="H96" i="45"/>
  <c r="H106" i="45" s="1"/>
  <c r="BB141" i="42"/>
  <c r="AX151" i="42"/>
  <c r="L95" i="42"/>
  <c r="G95" i="50" s="1"/>
  <c r="G82" i="50"/>
  <c r="X192" i="42"/>
  <c r="G183" i="52"/>
  <c r="G192" i="52" s="1"/>
  <c r="L89" i="42"/>
  <c r="G89" i="50" s="1"/>
  <c r="G76" i="50"/>
  <c r="E98" i="42"/>
  <c r="BA98" i="42" s="1"/>
  <c r="R192" i="42"/>
  <c r="G183" i="53"/>
  <c r="F89" i="42"/>
  <c r="G89" i="49" s="1"/>
  <c r="G76" i="49"/>
  <c r="BA89" i="42"/>
  <c r="AX165" i="42"/>
  <c r="BB165" i="42" s="1"/>
  <c r="G165" i="39" s="1"/>
  <c r="BB158" i="42"/>
  <c r="I98" i="42"/>
  <c r="AY85" i="42"/>
  <c r="H22" i="44"/>
  <c r="G221" i="47"/>
  <c r="G242" i="47"/>
  <c r="E99" i="42"/>
  <c r="N74" i="43"/>
  <c r="N30" i="43"/>
  <c r="H85" i="45"/>
  <c r="G2" i="39"/>
  <c r="H98" i="42"/>
  <c r="H99" i="42" s="1"/>
  <c r="L85" i="42"/>
  <c r="Z98" i="42"/>
  <c r="Z99" i="42" s="1"/>
  <c r="AD85" i="42"/>
  <c r="Z86" i="42"/>
  <c r="G132" i="39"/>
  <c r="AL98" i="42"/>
  <c r="AL99" i="42" s="1"/>
  <c r="AP85" i="42"/>
  <c r="AL86" i="42"/>
  <c r="H86" i="42"/>
  <c r="G76" i="39"/>
  <c r="G200" i="39"/>
  <c r="N98" i="42"/>
  <c r="N99" i="42" s="1"/>
  <c r="R85" i="42"/>
  <c r="N86" i="42"/>
  <c r="T98" i="42"/>
  <c r="T99" i="42" s="1"/>
  <c r="X85" i="42"/>
  <c r="B98" i="42"/>
  <c r="F85" i="42"/>
  <c r="B86" i="42"/>
  <c r="C98" i="42"/>
  <c r="X98" i="42" l="1"/>
  <c r="G98" i="52" s="1"/>
  <c r="G85" i="52"/>
  <c r="H129" i="45"/>
  <c r="H137" i="45" s="1"/>
  <c r="H138" i="45" s="1"/>
  <c r="AY98" i="42"/>
  <c r="G192" i="53"/>
  <c r="G141" i="39"/>
  <c r="BB89" i="42"/>
  <c r="BA99" i="42"/>
  <c r="F98" i="42"/>
  <c r="G98" i="49" s="1"/>
  <c r="G85" i="49"/>
  <c r="AX98" i="42"/>
  <c r="AX99" i="42" s="1"/>
  <c r="R98" i="42"/>
  <c r="G98" i="53" s="1"/>
  <c r="G85" i="53"/>
  <c r="G158" i="39"/>
  <c r="AD98" i="42"/>
  <c r="G98" i="51" s="1"/>
  <c r="G85" i="51"/>
  <c r="BB85" i="42"/>
  <c r="L98" i="42"/>
  <c r="G98" i="50" s="1"/>
  <c r="G85" i="50"/>
  <c r="G183" i="39"/>
  <c r="G192" i="39" s="1"/>
  <c r="AP98" i="42"/>
  <c r="AP99" i="42" s="1"/>
  <c r="AP86" i="42"/>
  <c r="B99" i="42"/>
  <c r="G89" i="39"/>
  <c r="BB98" i="42" l="1"/>
  <c r="G85" i="39"/>
  <c r="AP71" i="42"/>
  <c r="G98" i="39" l="1"/>
  <c r="AV226" i="42"/>
  <c r="Z190" i="33" l="1"/>
  <c r="Z190" i="36" s="1"/>
  <c r="Z190" i="37" s="1"/>
  <c r="Z190" i="38" s="1"/>
  <c r="H190" i="33"/>
  <c r="Z203" i="33"/>
  <c r="Z203" i="36" s="1"/>
  <c r="Z203" i="37" s="1"/>
  <c r="Z203" i="38" s="1"/>
  <c r="Z203" i="42" s="1"/>
  <c r="AD203" i="42" s="1"/>
  <c r="G203" i="51" s="1"/>
  <c r="Z201" i="33"/>
  <c r="Z201" i="36" s="1"/>
  <c r="Z201" i="37" s="1"/>
  <c r="Z201" i="38" s="1"/>
  <c r="Z201" i="42" s="1"/>
  <c r="AD201" i="42" s="1"/>
  <c r="G201" i="51" s="1"/>
  <c r="Z195" i="33"/>
  <c r="Z195" i="36" s="1"/>
  <c r="Z195" i="37" s="1"/>
  <c r="Z195" i="38" s="1"/>
  <c r="Z195" i="42" s="1"/>
  <c r="AD195" i="42" s="1"/>
  <c r="G195" i="51" s="1"/>
  <c r="T203" i="33"/>
  <c r="T203" i="36" s="1"/>
  <c r="T203" i="37" s="1"/>
  <c r="T203" i="38" s="1"/>
  <c r="T203" i="42" s="1"/>
  <c r="X203" i="42" s="1"/>
  <c r="G203" i="52" s="1"/>
  <c r="T201" i="33"/>
  <c r="T201" i="36" s="1"/>
  <c r="T201" i="37" s="1"/>
  <c r="T201" i="38" s="1"/>
  <c r="T201" i="42" s="1"/>
  <c r="X201" i="42" s="1"/>
  <c r="G201" i="52" s="1"/>
  <c r="T195" i="33"/>
  <c r="T195" i="36" s="1"/>
  <c r="T195" i="37" s="1"/>
  <c r="T195" i="38" s="1"/>
  <c r="T195" i="42" s="1"/>
  <c r="X195" i="42" s="1"/>
  <c r="G195" i="52" s="1"/>
  <c r="N203" i="33"/>
  <c r="N203" i="36" s="1"/>
  <c r="N203" i="37" s="1"/>
  <c r="N203" i="38" s="1"/>
  <c r="N203" i="42" s="1"/>
  <c r="R203" i="42" s="1"/>
  <c r="G203" i="53" s="1"/>
  <c r="N201" i="33"/>
  <c r="N201" i="36" s="1"/>
  <c r="N201" i="37" s="1"/>
  <c r="N201" i="38" s="1"/>
  <c r="N201" i="42" s="1"/>
  <c r="R201" i="42" s="1"/>
  <c r="G201" i="53" s="1"/>
  <c r="N195" i="33"/>
  <c r="N195" i="36" s="1"/>
  <c r="N195" i="37" s="1"/>
  <c r="N195" i="38" s="1"/>
  <c r="N195" i="42" s="1"/>
  <c r="R195" i="42" s="1"/>
  <c r="G195" i="53" s="1"/>
  <c r="H203" i="33"/>
  <c r="H203" i="36" s="1"/>
  <c r="H203" i="37" s="1"/>
  <c r="H203" i="38" s="1"/>
  <c r="H203" i="42" s="1"/>
  <c r="L203" i="42" s="1"/>
  <c r="G203" i="50" s="1"/>
  <c r="H201" i="33"/>
  <c r="H201" i="36" s="1"/>
  <c r="H201" i="37" s="1"/>
  <c r="H201" i="38" s="1"/>
  <c r="H201" i="42" s="1"/>
  <c r="L201" i="42" s="1"/>
  <c r="G201" i="50" s="1"/>
  <c r="H195" i="33"/>
  <c r="H195" i="36" s="1"/>
  <c r="H195" i="37" s="1"/>
  <c r="H195" i="38" s="1"/>
  <c r="H195" i="42" s="1"/>
  <c r="L195" i="42" s="1"/>
  <c r="G195" i="50" s="1"/>
  <c r="B203" i="33"/>
  <c r="Z173" i="33"/>
  <c r="Z173" i="36" s="1"/>
  <c r="Z173" i="37" s="1"/>
  <c r="Z173" i="38" s="1"/>
  <c r="Z173" i="42" s="1"/>
  <c r="AD173" i="42" s="1"/>
  <c r="G173" i="51" s="1"/>
  <c r="T173" i="33"/>
  <c r="T173" i="36" s="1"/>
  <c r="T173" i="37" s="1"/>
  <c r="T173" i="38" s="1"/>
  <c r="T173" i="42" s="1"/>
  <c r="X173" i="42" s="1"/>
  <c r="G173" i="52" s="1"/>
  <c r="N173" i="33"/>
  <c r="N173" i="36" s="1"/>
  <c r="N173" i="37" s="1"/>
  <c r="N173" i="38" s="1"/>
  <c r="N173" i="42" s="1"/>
  <c r="R173" i="42" s="1"/>
  <c r="G173" i="53" s="1"/>
  <c r="H173" i="33"/>
  <c r="H173" i="36" s="1"/>
  <c r="H173" i="37" s="1"/>
  <c r="H173" i="38" s="1"/>
  <c r="H173" i="42" s="1"/>
  <c r="L173" i="42" s="1"/>
  <c r="G173" i="50" s="1"/>
  <c r="B173" i="33"/>
  <c r="Z159" i="33"/>
  <c r="Z159" i="36" s="1"/>
  <c r="Z159" i="37" s="1"/>
  <c r="T159" i="33"/>
  <c r="T159" i="36" s="1"/>
  <c r="T159" i="37" s="1"/>
  <c r="N159" i="33"/>
  <c r="N159" i="36" s="1"/>
  <c r="N159" i="37" s="1"/>
  <c r="H159" i="33"/>
  <c r="H159" i="36" s="1"/>
  <c r="H159" i="37" s="1"/>
  <c r="B159" i="33"/>
  <c r="AA153" i="33"/>
  <c r="AA153" i="36" s="1"/>
  <c r="AA153" i="37" s="1"/>
  <c r="AA153" i="42" s="1"/>
  <c r="U153" i="33"/>
  <c r="U153" i="36" s="1"/>
  <c r="U153" i="37" s="1"/>
  <c r="O153" i="33"/>
  <c r="O153" i="36" s="1"/>
  <c r="O153" i="37" s="1"/>
  <c r="I153" i="33"/>
  <c r="I153" i="36" s="1"/>
  <c r="I153" i="37" s="1"/>
  <c r="C153" i="33"/>
  <c r="AC126" i="38"/>
  <c r="AD126" i="38" s="1"/>
  <c r="F126" i="51" s="1"/>
  <c r="W126" i="38"/>
  <c r="X126" i="38" s="1"/>
  <c r="F126" i="52" s="1"/>
  <c r="Q126" i="38"/>
  <c r="R126" i="38" s="1"/>
  <c r="F126" i="53" s="1"/>
  <c r="K126" i="38"/>
  <c r="L126" i="38" s="1"/>
  <c r="F126" i="50" s="1"/>
  <c r="E126" i="38"/>
  <c r="F127" i="50"/>
  <c r="AV126" i="38"/>
  <c r="AO126" i="38"/>
  <c r="AP126" i="38" s="1"/>
  <c r="AC126" i="37"/>
  <c r="AD126" i="37" s="1"/>
  <c r="E126" i="51" s="1"/>
  <c r="W126" i="37"/>
  <c r="X126" i="37" s="1"/>
  <c r="E126" i="52" s="1"/>
  <c r="Q126" i="37"/>
  <c r="R126" i="37" s="1"/>
  <c r="E126" i="53" s="1"/>
  <c r="K126" i="37"/>
  <c r="L126" i="37" s="1"/>
  <c r="E126" i="50" s="1"/>
  <c r="E126" i="37"/>
  <c r="E127" i="50"/>
  <c r="AV126" i="37"/>
  <c r="AO126" i="37"/>
  <c r="AP126" i="37" s="1"/>
  <c r="AC126" i="36"/>
  <c r="AD126" i="36" s="1"/>
  <c r="D126" i="51" s="1"/>
  <c r="W126" i="36"/>
  <c r="X126" i="36" s="1"/>
  <c r="D126" i="52" s="1"/>
  <c r="Q126" i="36"/>
  <c r="R126" i="36" s="1"/>
  <c r="D126" i="53" s="1"/>
  <c r="K126" i="36"/>
  <c r="E126" i="36"/>
  <c r="D127" i="50"/>
  <c r="AV126" i="36"/>
  <c r="AO126" i="36"/>
  <c r="AP126" i="36" s="1"/>
  <c r="AC126" i="33"/>
  <c r="AD126" i="33" s="1"/>
  <c r="C126" i="51" s="1"/>
  <c r="W126" i="33"/>
  <c r="X126" i="33" s="1"/>
  <c r="C126" i="52" s="1"/>
  <c r="Q126" i="33"/>
  <c r="R126" i="33" s="1"/>
  <c r="C126" i="53" s="1"/>
  <c r="K126" i="33"/>
  <c r="L126" i="33" s="1"/>
  <c r="C126" i="50" s="1"/>
  <c r="E126" i="33"/>
  <c r="C127" i="50"/>
  <c r="AV126" i="33"/>
  <c r="AO126" i="33"/>
  <c r="AP126" i="33" s="1"/>
  <c r="AO124" i="33"/>
  <c r="AO124" i="36" s="1"/>
  <c r="AO124" i="37" s="1"/>
  <c r="AN124" i="33"/>
  <c r="AN124" i="36" s="1"/>
  <c r="AN124" i="37" s="1"/>
  <c r="AO123" i="33"/>
  <c r="AO123" i="36" s="1"/>
  <c r="AO123" i="37" s="1"/>
  <c r="AN123" i="33"/>
  <c r="AN123" i="36" s="1"/>
  <c r="AN123" i="37" s="1"/>
  <c r="AM123" i="33"/>
  <c r="AM123" i="36" s="1"/>
  <c r="AM123" i="37" s="1"/>
  <c r="AO122" i="33"/>
  <c r="AO122" i="36" s="1"/>
  <c r="AO122" i="37" s="1"/>
  <c r="AN122" i="33"/>
  <c r="AN122" i="36" s="1"/>
  <c r="AN122" i="37" s="1"/>
  <c r="AM122" i="33"/>
  <c r="AM122" i="36" s="1"/>
  <c r="AM122" i="37" s="1"/>
  <c r="AO121" i="33"/>
  <c r="AO121" i="36" s="1"/>
  <c r="AO121" i="37" s="1"/>
  <c r="AN121" i="33"/>
  <c r="AN121" i="36" s="1"/>
  <c r="AN121" i="37" s="1"/>
  <c r="AM121" i="33"/>
  <c r="AM121" i="36" s="1"/>
  <c r="AM121" i="37" s="1"/>
  <c r="AO120" i="33"/>
  <c r="AO120" i="36" s="1"/>
  <c r="AO120" i="37" s="1"/>
  <c r="AN120" i="33"/>
  <c r="AN120" i="36" s="1"/>
  <c r="AN120" i="37" s="1"/>
  <c r="AM120" i="33"/>
  <c r="AM120" i="36" s="1"/>
  <c r="AM120" i="37" s="1"/>
  <c r="AO119" i="33"/>
  <c r="AO119" i="36" s="1"/>
  <c r="AO119" i="37" s="1"/>
  <c r="AN119" i="33"/>
  <c r="AN119" i="36" s="1"/>
  <c r="AN119" i="37" s="1"/>
  <c r="AM119" i="33"/>
  <c r="AM119" i="36" s="1"/>
  <c r="AM119" i="37" s="1"/>
  <c r="AC124" i="33"/>
  <c r="AC124" i="36" s="1"/>
  <c r="AC124" i="37" s="1"/>
  <c r="AC124" i="38" s="1"/>
  <c r="AC124" i="42" s="1"/>
  <c r="AB124" i="33"/>
  <c r="AB124" i="36" s="1"/>
  <c r="AB124" i="37" s="1"/>
  <c r="AB124" i="38" s="1"/>
  <c r="AB124" i="42" s="1"/>
  <c r="AC123" i="33"/>
  <c r="AC123" i="36" s="1"/>
  <c r="AC123" i="37" s="1"/>
  <c r="AC123" i="38" s="1"/>
  <c r="AC123" i="42" s="1"/>
  <c r="AA123" i="33"/>
  <c r="AA123" i="36" s="1"/>
  <c r="AA123" i="37" s="1"/>
  <c r="AA123" i="38" s="1"/>
  <c r="AA123" i="42" s="1"/>
  <c r="AC122" i="33"/>
  <c r="AC122" i="36" s="1"/>
  <c r="AC122" i="37" s="1"/>
  <c r="AC122" i="38" s="1"/>
  <c r="AC122" i="42" s="1"/>
  <c r="AA122" i="33"/>
  <c r="AA122" i="36" s="1"/>
  <c r="AA122" i="37" s="1"/>
  <c r="AA122" i="38" s="1"/>
  <c r="AA122" i="42" s="1"/>
  <c r="AC121" i="33"/>
  <c r="AC121" i="36" s="1"/>
  <c r="AC121" i="37" s="1"/>
  <c r="AC121" i="38" s="1"/>
  <c r="AC121" i="42" s="1"/>
  <c r="AA121" i="33"/>
  <c r="AA121" i="36" s="1"/>
  <c r="AA121" i="37" s="1"/>
  <c r="AA121" i="38" s="1"/>
  <c r="AA121" i="42" s="1"/>
  <c r="AC120" i="33"/>
  <c r="AC120" i="36" s="1"/>
  <c r="AC120" i="37" s="1"/>
  <c r="AC120" i="38" s="1"/>
  <c r="AC120" i="42" s="1"/>
  <c r="AA120" i="33"/>
  <c r="AA120" i="36" s="1"/>
  <c r="AA120" i="37" s="1"/>
  <c r="AA120" i="38" s="1"/>
  <c r="AA120" i="42" s="1"/>
  <c r="AC119" i="33"/>
  <c r="AC119" i="36" s="1"/>
  <c r="AC119" i="37" s="1"/>
  <c r="AC119" i="38" s="1"/>
  <c r="AC119" i="42" s="1"/>
  <c r="AA119" i="33"/>
  <c r="AA119" i="36" s="1"/>
  <c r="AA119" i="37" s="1"/>
  <c r="AA119" i="38" s="1"/>
  <c r="AA119" i="42" s="1"/>
  <c r="W124" i="33"/>
  <c r="W124" i="36" s="1"/>
  <c r="W124" i="37" s="1"/>
  <c r="W124" i="38" s="1"/>
  <c r="W124" i="42" s="1"/>
  <c r="V124" i="33"/>
  <c r="V124" i="36" s="1"/>
  <c r="V124" i="37" s="1"/>
  <c r="V124" i="38" s="1"/>
  <c r="V124" i="42" s="1"/>
  <c r="W123" i="33"/>
  <c r="W123" i="36" s="1"/>
  <c r="W123" i="37" s="1"/>
  <c r="W123" i="38" s="1"/>
  <c r="W123" i="42" s="1"/>
  <c r="U123" i="33"/>
  <c r="U123" i="36" s="1"/>
  <c r="U123" i="37" s="1"/>
  <c r="U123" i="38" s="1"/>
  <c r="U123" i="42" s="1"/>
  <c r="W122" i="33"/>
  <c r="W122" i="36" s="1"/>
  <c r="W122" i="37" s="1"/>
  <c r="W122" i="38" s="1"/>
  <c r="W122" i="42" s="1"/>
  <c r="U122" i="33"/>
  <c r="U122" i="36" s="1"/>
  <c r="U122" i="37" s="1"/>
  <c r="U122" i="38" s="1"/>
  <c r="U122" i="42" s="1"/>
  <c r="W121" i="33"/>
  <c r="W121" i="36" s="1"/>
  <c r="W121" i="37" s="1"/>
  <c r="W121" i="38" s="1"/>
  <c r="W121" i="42" s="1"/>
  <c r="U121" i="33"/>
  <c r="U121" i="36" s="1"/>
  <c r="U121" i="37" s="1"/>
  <c r="U121" i="38" s="1"/>
  <c r="U121" i="42" s="1"/>
  <c r="W120" i="33"/>
  <c r="W120" i="36" s="1"/>
  <c r="W120" i="37" s="1"/>
  <c r="W120" i="38" s="1"/>
  <c r="W120" i="42" s="1"/>
  <c r="U120" i="33"/>
  <c r="U120" i="36" s="1"/>
  <c r="U120" i="37" s="1"/>
  <c r="U120" i="38" s="1"/>
  <c r="U120" i="42" s="1"/>
  <c r="W119" i="33"/>
  <c r="W119" i="36" s="1"/>
  <c r="W119" i="37" s="1"/>
  <c r="W119" i="38" s="1"/>
  <c r="W119" i="42" s="1"/>
  <c r="U119" i="33"/>
  <c r="U119" i="36" s="1"/>
  <c r="U119" i="37" s="1"/>
  <c r="U119" i="38" s="1"/>
  <c r="U119" i="42" s="1"/>
  <c r="Q124" i="33"/>
  <c r="Q124" i="36" s="1"/>
  <c r="Q124" i="37" s="1"/>
  <c r="Q124" i="38" s="1"/>
  <c r="Q124" i="42" s="1"/>
  <c r="P124" i="33"/>
  <c r="P124" i="36" s="1"/>
  <c r="P124" i="37" s="1"/>
  <c r="P124" i="38" s="1"/>
  <c r="P124" i="42" s="1"/>
  <c r="Q123" i="33"/>
  <c r="Q123" i="36" s="1"/>
  <c r="Q123" i="37" s="1"/>
  <c r="Q123" i="38" s="1"/>
  <c r="Q123" i="42" s="1"/>
  <c r="P123" i="33"/>
  <c r="P123" i="36" s="1"/>
  <c r="P123" i="37" s="1"/>
  <c r="P123" i="38" s="1"/>
  <c r="P123" i="42" s="1"/>
  <c r="O123" i="33"/>
  <c r="O123" i="36" s="1"/>
  <c r="O123" i="37" s="1"/>
  <c r="O123" i="38" s="1"/>
  <c r="O123" i="42" s="1"/>
  <c r="Q122" i="33"/>
  <c r="Q122" i="36" s="1"/>
  <c r="Q122" i="37" s="1"/>
  <c r="Q122" i="38" s="1"/>
  <c r="Q122" i="42" s="1"/>
  <c r="P122" i="33"/>
  <c r="P122" i="36" s="1"/>
  <c r="P122" i="37" s="1"/>
  <c r="P122" i="38" s="1"/>
  <c r="P122" i="42" s="1"/>
  <c r="O122" i="33"/>
  <c r="O122" i="36" s="1"/>
  <c r="O122" i="37" s="1"/>
  <c r="O122" i="38" s="1"/>
  <c r="O122" i="42" s="1"/>
  <c r="Q121" i="33"/>
  <c r="Q121" i="36" s="1"/>
  <c r="Q121" i="37" s="1"/>
  <c r="Q121" i="38" s="1"/>
  <c r="Q121" i="42" s="1"/>
  <c r="O121" i="33"/>
  <c r="O121" i="36" s="1"/>
  <c r="O121" i="37" s="1"/>
  <c r="O121" i="38" s="1"/>
  <c r="O121" i="42" s="1"/>
  <c r="Q120" i="33"/>
  <c r="Q120" i="36" s="1"/>
  <c r="Q120" i="37" s="1"/>
  <c r="Q120" i="38" s="1"/>
  <c r="Q120" i="42" s="1"/>
  <c r="P120" i="33"/>
  <c r="P120" i="36" s="1"/>
  <c r="P120" i="37" s="1"/>
  <c r="P120" i="38" s="1"/>
  <c r="P120" i="42" s="1"/>
  <c r="O120" i="33"/>
  <c r="O120" i="36" s="1"/>
  <c r="O120" i="37" s="1"/>
  <c r="O120" i="38" s="1"/>
  <c r="O120" i="42" s="1"/>
  <c r="Q119" i="33"/>
  <c r="Q119" i="36" s="1"/>
  <c r="Q119" i="37" s="1"/>
  <c r="Q119" i="38" s="1"/>
  <c r="Q119" i="42" s="1"/>
  <c r="P119" i="33"/>
  <c r="P119" i="36" s="1"/>
  <c r="P119" i="37" s="1"/>
  <c r="P119" i="38" s="1"/>
  <c r="P119" i="42" s="1"/>
  <c r="O119" i="33"/>
  <c r="O119" i="36" s="1"/>
  <c r="O119" i="37" s="1"/>
  <c r="O119" i="38" s="1"/>
  <c r="O119" i="42" s="1"/>
  <c r="K124" i="33"/>
  <c r="K124" i="36" s="1"/>
  <c r="K124" i="37" s="1"/>
  <c r="K124" i="38" s="1"/>
  <c r="K124" i="42" s="1"/>
  <c r="J124" i="33"/>
  <c r="J124" i="36" s="1"/>
  <c r="J124" i="37" s="1"/>
  <c r="J124" i="38" s="1"/>
  <c r="J124" i="42" s="1"/>
  <c r="K123" i="33"/>
  <c r="K123" i="36" s="1"/>
  <c r="K123" i="37" s="1"/>
  <c r="K123" i="38" s="1"/>
  <c r="K123" i="42" s="1"/>
  <c r="I123" i="33"/>
  <c r="I123" i="36" s="1"/>
  <c r="I123" i="37" s="1"/>
  <c r="I123" i="38" s="1"/>
  <c r="I123" i="42" s="1"/>
  <c r="K122" i="33"/>
  <c r="K122" i="36" s="1"/>
  <c r="K122" i="37" s="1"/>
  <c r="K122" i="38" s="1"/>
  <c r="K122" i="42" s="1"/>
  <c r="J122" i="33"/>
  <c r="J122" i="36" s="1"/>
  <c r="J122" i="37" s="1"/>
  <c r="J122" i="38" s="1"/>
  <c r="J122" i="42" s="1"/>
  <c r="I122" i="33"/>
  <c r="I122" i="36" s="1"/>
  <c r="I122" i="37" s="1"/>
  <c r="I122" i="38" s="1"/>
  <c r="I122" i="42" s="1"/>
  <c r="K121" i="33"/>
  <c r="K121" i="36" s="1"/>
  <c r="K121" i="37" s="1"/>
  <c r="K121" i="38" s="1"/>
  <c r="K121" i="42" s="1"/>
  <c r="J121" i="33"/>
  <c r="J121" i="36" s="1"/>
  <c r="J121" i="37" s="1"/>
  <c r="J121" i="38" s="1"/>
  <c r="J121" i="42" s="1"/>
  <c r="I121" i="33"/>
  <c r="I121" i="36" s="1"/>
  <c r="I121" i="37" s="1"/>
  <c r="I121" i="38" s="1"/>
  <c r="I121" i="42" s="1"/>
  <c r="K120" i="33"/>
  <c r="K120" i="36" s="1"/>
  <c r="K120" i="37" s="1"/>
  <c r="K120" i="38" s="1"/>
  <c r="K120" i="42" s="1"/>
  <c r="I120" i="33"/>
  <c r="I120" i="36" s="1"/>
  <c r="I120" i="37" s="1"/>
  <c r="I120" i="38" s="1"/>
  <c r="I120" i="42" s="1"/>
  <c r="K119" i="33"/>
  <c r="K119" i="36" s="1"/>
  <c r="K119" i="37" s="1"/>
  <c r="K119" i="38" s="1"/>
  <c r="K119" i="42" s="1"/>
  <c r="I119" i="33"/>
  <c r="I119" i="36" s="1"/>
  <c r="I119" i="37" s="1"/>
  <c r="I119" i="38" s="1"/>
  <c r="I119" i="42" s="1"/>
  <c r="C119" i="33"/>
  <c r="C120" i="33"/>
  <c r="C121" i="33"/>
  <c r="C122" i="33"/>
  <c r="C123" i="33"/>
  <c r="E119" i="33"/>
  <c r="E120" i="33"/>
  <c r="E121" i="33"/>
  <c r="E122" i="33"/>
  <c r="E123" i="33"/>
  <c r="E124" i="33"/>
  <c r="D120" i="33"/>
  <c r="D121" i="33"/>
  <c r="D122" i="33"/>
  <c r="D123" i="33"/>
  <c r="D124" i="33"/>
  <c r="Z114" i="38"/>
  <c r="AB113" i="38"/>
  <c r="AA113" i="38"/>
  <c r="T114" i="38"/>
  <c r="V113" i="38"/>
  <c r="U113" i="38"/>
  <c r="T113" i="38"/>
  <c r="N114" i="38"/>
  <c r="P113" i="38"/>
  <c r="O113" i="38"/>
  <c r="H114" i="38"/>
  <c r="J113" i="38"/>
  <c r="I113" i="38"/>
  <c r="B114" i="38"/>
  <c r="D113" i="38"/>
  <c r="C113" i="38"/>
  <c r="AB114" i="38"/>
  <c r="V114" i="38"/>
  <c r="P114" i="38"/>
  <c r="J114" i="38"/>
  <c r="D114" i="38"/>
  <c r="Z113" i="38"/>
  <c r="N113" i="38"/>
  <c r="H113" i="38"/>
  <c r="B113" i="38"/>
  <c r="Z114" i="37"/>
  <c r="AB113" i="37"/>
  <c r="AA113" i="37"/>
  <c r="T114" i="37"/>
  <c r="V113" i="37"/>
  <c r="U113" i="37"/>
  <c r="T113" i="37"/>
  <c r="N114" i="37"/>
  <c r="P113" i="37"/>
  <c r="O113" i="37"/>
  <c r="H114" i="37"/>
  <c r="J113" i="37"/>
  <c r="I113" i="37"/>
  <c r="B114" i="37"/>
  <c r="D113" i="37"/>
  <c r="C113" i="37"/>
  <c r="AB114" i="37"/>
  <c r="V114" i="37"/>
  <c r="P114" i="37"/>
  <c r="J114" i="37"/>
  <c r="D114" i="37"/>
  <c r="Z113" i="37"/>
  <c r="N113" i="37"/>
  <c r="H113" i="37"/>
  <c r="B113" i="37"/>
  <c r="Z114" i="36"/>
  <c r="AB113" i="36"/>
  <c r="AA113" i="36"/>
  <c r="AB114" i="36"/>
  <c r="Z113" i="36"/>
  <c r="T114" i="36"/>
  <c r="V113" i="36"/>
  <c r="U113" i="36"/>
  <c r="T113" i="36"/>
  <c r="V114" i="36"/>
  <c r="N114" i="36"/>
  <c r="P113" i="36"/>
  <c r="O113" i="36"/>
  <c r="P114" i="36"/>
  <c r="N113" i="36"/>
  <c r="H114" i="36"/>
  <c r="J113" i="36"/>
  <c r="I113" i="36"/>
  <c r="J114" i="36"/>
  <c r="H113" i="36"/>
  <c r="D113" i="36"/>
  <c r="C113" i="36"/>
  <c r="B114" i="36"/>
  <c r="Z114" i="33"/>
  <c r="AB113" i="33"/>
  <c r="AA113" i="33"/>
  <c r="T114" i="33"/>
  <c r="V113" i="33"/>
  <c r="U113" i="33"/>
  <c r="T113" i="33"/>
  <c r="N114" i="33"/>
  <c r="P113" i="33"/>
  <c r="O113" i="33"/>
  <c r="H114" i="33"/>
  <c r="J113" i="33"/>
  <c r="I113" i="33"/>
  <c r="B114" i="33"/>
  <c r="C113" i="33"/>
  <c r="D113" i="33"/>
  <c r="AM107" i="36"/>
  <c r="AM107" i="37" s="1"/>
  <c r="AM107" i="38" s="1"/>
  <c r="AM107" i="42" s="1"/>
  <c r="AL107" i="36"/>
  <c r="AL107" i="37" s="1"/>
  <c r="AL107" i="38" s="1"/>
  <c r="AL107" i="42" s="1"/>
  <c r="AM106" i="36"/>
  <c r="AM106" i="37" s="1"/>
  <c r="AM106" i="38" s="1"/>
  <c r="AM106" i="42" s="1"/>
  <c r="AL106" i="36"/>
  <c r="AL106" i="37" s="1"/>
  <c r="AL106" i="38" s="1"/>
  <c r="AL106" i="42" s="1"/>
  <c r="AM105" i="36"/>
  <c r="AM105" i="37" s="1"/>
  <c r="AM105" i="38" s="1"/>
  <c r="AM105" i="42" s="1"/>
  <c r="AM104" i="36"/>
  <c r="AM104" i="37" s="1"/>
  <c r="AM104" i="38" s="1"/>
  <c r="AM104" i="42" s="1"/>
  <c r="AL104" i="36"/>
  <c r="AL104" i="37" s="1"/>
  <c r="AL104" i="38" s="1"/>
  <c r="AL104" i="42" s="1"/>
  <c r="AM103" i="36"/>
  <c r="AM103" i="37" s="1"/>
  <c r="AM103" i="38" s="1"/>
  <c r="AM103" i="42" s="1"/>
  <c r="AL103" i="36"/>
  <c r="AL103" i="37" s="1"/>
  <c r="AL103" i="38" s="1"/>
  <c r="AL103" i="42" s="1"/>
  <c r="T105" i="36"/>
  <c r="T105" i="37" s="1"/>
  <c r="T105" i="38" s="1"/>
  <c r="T105" i="42" s="1"/>
  <c r="U104" i="36"/>
  <c r="U103" i="36"/>
  <c r="O105" i="36"/>
  <c r="O105" i="37" s="1"/>
  <c r="O105" i="38" s="1"/>
  <c r="O105" i="42" s="1"/>
  <c r="N105" i="36"/>
  <c r="N105" i="37" s="1"/>
  <c r="N105" i="38" s="1"/>
  <c r="N105" i="42" s="1"/>
  <c r="O104" i="36"/>
  <c r="O104" i="37" s="1"/>
  <c r="O104" i="38" s="1"/>
  <c r="O104" i="42" s="1"/>
  <c r="O103" i="36"/>
  <c r="O103" i="37" s="1"/>
  <c r="O103" i="38" s="1"/>
  <c r="O103" i="42" s="1"/>
  <c r="I107" i="36"/>
  <c r="I107" i="37" s="1"/>
  <c r="I107" i="38" s="1"/>
  <c r="I107" i="42" s="1"/>
  <c r="H106" i="36"/>
  <c r="H106" i="37" s="1"/>
  <c r="H106" i="38" s="1"/>
  <c r="H106" i="42" s="1"/>
  <c r="I104" i="36"/>
  <c r="I104" i="37" s="1"/>
  <c r="I104" i="38" s="1"/>
  <c r="I104" i="42" s="1"/>
  <c r="I103" i="36"/>
  <c r="I103" i="37" s="1"/>
  <c r="I103" i="38" s="1"/>
  <c r="I103" i="42" s="1"/>
  <c r="C104" i="36"/>
  <c r="C104" i="37" s="1"/>
  <c r="C104" i="38" s="1"/>
  <c r="C104" i="42" s="1"/>
  <c r="C105" i="36"/>
  <c r="C105" i="37" s="1"/>
  <c r="C105" i="38" s="1"/>
  <c r="C105" i="42" s="1"/>
  <c r="B106" i="36"/>
  <c r="B106" i="37" s="1"/>
  <c r="B106" i="38" s="1"/>
  <c r="B106" i="42" s="1"/>
  <c r="C106" i="36"/>
  <c r="C106" i="37" s="1"/>
  <c r="C106" i="38" s="1"/>
  <c r="C106" i="42" s="1"/>
  <c r="B107" i="36"/>
  <c r="B107" i="37" s="1"/>
  <c r="B107" i="38" s="1"/>
  <c r="B107" i="42" s="1"/>
  <c r="C103" i="36"/>
  <c r="C103" i="37" s="1"/>
  <c r="C103" i="38" s="1"/>
  <c r="C103" i="42" s="1"/>
  <c r="Z106" i="36"/>
  <c r="U107" i="36"/>
  <c r="U106" i="36"/>
  <c r="T106" i="36"/>
  <c r="T106" i="37" s="1"/>
  <c r="T106" i="38" s="1"/>
  <c r="T106" i="42" s="1"/>
  <c r="O107" i="36"/>
  <c r="O107" i="37" s="1"/>
  <c r="O107" i="38" s="1"/>
  <c r="O107" i="42" s="1"/>
  <c r="N106" i="36"/>
  <c r="N106" i="37" s="1"/>
  <c r="N106" i="38" s="1"/>
  <c r="N106" i="42" s="1"/>
  <c r="I106" i="36"/>
  <c r="I106" i="37" s="1"/>
  <c r="I106" i="38" s="1"/>
  <c r="I106" i="42" s="1"/>
  <c r="AZ114" i="38" l="1"/>
  <c r="E122" i="36"/>
  <c r="BA122" i="33"/>
  <c r="D124" i="36"/>
  <c r="AZ124" i="33"/>
  <c r="D120" i="36"/>
  <c r="E121" i="36"/>
  <c r="BA121" i="33"/>
  <c r="C122" i="36"/>
  <c r="AY122" i="33"/>
  <c r="F126" i="38"/>
  <c r="F126" i="49" s="1"/>
  <c r="BA126" i="38"/>
  <c r="BB126" i="38" s="1"/>
  <c r="B203" i="36"/>
  <c r="AX203" i="33"/>
  <c r="C119" i="36"/>
  <c r="AY119" i="33"/>
  <c r="F126" i="36"/>
  <c r="D126" i="49" s="1"/>
  <c r="BA126" i="36"/>
  <c r="BB126" i="36" s="1"/>
  <c r="B173" i="36"/>
  <c r="AX173" i="33"/>
  <c r="D123" i="36"/>
  <c r="E124" i="36"/>
  <c r="BA124" i="33"/>
  <c r="E120" i="36"/>
  <c r="BA120" i="33"/>
  <c r="C121" i="36"/>
  <c r="AY121" i="33"/>
  <c r="C153" i="36"/>
  <c r="H190" i="36"/>
  <c r="AX190" i="33"/>
  <c r="D121" i="36"/>
  <c r="C123" i="36"/>
  <c r="AY123" i="33"/>
  <c r="F126" i="37"/>
  <c r="E126" i="49" s="1"/>
  <c r="BA126" i="37"/>
  <c r="BB126" i="37" s="1"/>
  <c r="AZ114" i="37"/>
  <c r="D122" i="36"/>
  <c r="E123" i="36"/>
  <c r="BA123" i="33"/>
  <c r="E119" i="36"/>
  <c r="BA119" i="33"/>
  <c r="C120" i="36"/>
  <c r="AY120" i="33"/>
  <c r="F126" i="33"/>
  <c r="C126" i="49" s="1"/>
  <c r="BA126" i="33"/>
  <c r="B159" i="36"/>
  <c r="L113" i="38"/>
  <c r="F113" i="50" s="1"/>
  <c r="U107" i="37"/>
  <c r="U104" i="37"/>
  <c r="AY104" i="36"/>
  <c r="U103" i="37"/>
  <c r="AY103" i="36"/>
  <c r="U106" i="37"/>
  <c r="Z106" i="37"/>
  <c r="AX106" i="36"/>
  <c r="AD113" i="37"/>
  <c r="E113" i="51" s="1"/>
  <c r="F114" i="37"/>
  <c r="E114" i="49" s="1"/>
  <c r="F114" i="38"/>
  <c r="F114" i="49" s="1"/>
  <c r="X114" i="38"/>
  <c r="F114" i="52" s="1"/>
  <c r="L114" i="38"/>
  <c r="F114" i="50" s="1"/>
  <c r="R113" i="37"/>
  <c r="E113" i="53" s="1"/>
  <c r="AP104" i="42"/>
  <c r="R114" i="38"/>
  <c r="F114" i="53" s="1"/>
  <c r="AD114" i="38"/>
  <c r="F114" i="51" s="1"/>
  <c r="F113" i="38"/>
  <c r="F113" i="49" s="1"/>
  <c r="AD114" i="37"/>
  <c r="E114" i="51" s="1"/>
  <c r="AA153" i="38"/>
  <c r="X114" i="37"/>
  <c r="E114" i="52" s="1"/>
  <c r="R105" i="42"/>
  <c r="G105" i="53" s="1"/>
  <c r="F113" i="37"/>
  <c r="E113" i="49" s="1"/>
  <c r="L114" i="37"/>
  <c r="E114" i="50" s="1"/>
  <c r="AP107" i="42"/>
  <c r="L122" i="42"/>
  <c r="G122" i="50" s="1"/>
  <c r="AP103" i="42"/>
  <c r="AM116" i="42"/>
  <c r="AP106" i="42"/>
  <c r="F106" i="42"/>
  <c r="G106" i="49" s="1"/>
  <c r="AC128" i="42"/>
  <c r="AC129" i="42" s="1"/>
  <c r="L106" i="42"/>
  <c r="G106" i="50" s="1"/>
  <c r="AM123" i="42"/>
  <c r="AM123" i="38"/>
  <c r="AN124" i="42"/>
  <c r="AN124" i="38"/>
  <c r="Q128" i="42"/>
  <c r="Q129" i="42" s="1"/>
  <c r="AM119" i="42"/>
  <c r="AM119" i="38"/>
  <c r="AN120" i="42"/>
  <c r="AN120" i="38"/>
  <c r="AO121" i="42"/>
  <c r="AO121" i="38"/>
  <c r="R122" i="42"/>
  <c r="G122" i="53" s="1"/>
  <c r="AM121" i="42"/>
  <c r="AM121" i="38"/>
  <c r="W128" i="42"/>
  <c r="W129" i="42" s="1"/>
  <c r="AM120" i="42"/>
  <c r="AM120" i="38"/>
  <c r="AN121" i="42"/>
  <c r="AN121" i="38"/>
  <c r="AO122" i="42"/>
  <c r="AO122" i="38"/>
  <c r="R119" i="42"/>
  <c r="G119" i="53" s="1"/>
  <c r="AN122" i="42"/>
  <c r="AN122" i="38"/>
  <c r="K128" i="42"/>
  <c r="K129" i="42" s="1"/>
  <c r="L121" i="42"/>
  <c r="G121" i="50" s="1"/>
  <c r="AO124" i="42"/>
  <c r="AO124" i="38"/>
  <c r="U153" i="42"/>
  <c r="U153" i="38"/>
  <c r="AO119" i="42"/>
  <c r="AO119" i="38"/>
  <c r="AO123" i="42"/>
  <c r="AO123" i="38"/>
  <c r="I153" i="42"/>
  <c r="I153" i="38"/>
  <c r="Z159" i="38"/>
  <c r="Z159" i="42" s="1"/>
  <c r="R120" i="42"/>
  <c r="G120" i="53" s="1"/>
  <c r="R123" i="42"/>
  <c r="G123" i="53" s="1"/>
  <c r="AN119" i="42"/>
  <c r="AN119" i="38"/>
  <c r="AO120" i="42"/>
  <c r="AO120" i="38"/>
  <c r="AM122" i="42"/>
  <c r="AM122" i="38"/>
  <c r="AN123" i="42"/>
  <c r="AN123" i="38"/>
  <c r="H159" i="38"/>
  <c r="H159" i="42" s="1"/>
  <c r="O153" i="42"/>
  <c r="O153" i="38"/>
  <c r="AD153" i="42"/>
  <c r="G153" i="51" s="1"/>
  <c r="AA167" i="42"/>
  <c r="T159" i="38"/>
  <c r="T159" i="42" s="1"/>
  <c r="N159" i="38"/>
  <c r="N159" i="42" s="1"/>
  <c r="R159" i="42" s="1"/>
  <c r="G159" i="53" s="1"/>
  <c r="L126" i="36"/>
  <c r="D126" i="50" s="1"/>
  <c r="BB126" i="33"/>
  <c r="AD113" i="38"/>
  <c r="F113" i="51" s="1"/>
  <c r="X113" i="38"/>
  <c r="F113" i="52" s="1"/>
  <c r="R113" i="38"/>
  <c r="F113" i="53" s="1"/>
  <c r="X113" i="37"/>
  <c r="E113" i="52" s="1"/>
  <c r="R114" i="37"/>
  <c r="E114" i="53" s="1"/>
  <c r="L113" i="37"/>
  <c r="E113" i="50" s="1"/>
  <c r="C120" i="37" l="1"/>
  <c r="AY120" i="36"/>
  <c r="C122" i="37"/>
  <c r="AY122" i="36"/>
  <c r="E120" i="37"/>
  <c r="BA120" i="36"/>
  <c r="D123" i="37"/>
  <c r="B173" i="37"/>
  <c r="AX173" i="36"/>
  <c r="BB173" i="36" s="1"/>
  <c r="E122" i="37"/>
  <c r="BA122" i="36"/>
  <c r="E123" i="37"/>
  <c r="BA123" i="36"/>
  <c r="N167" i="42"/>
  <c r="E119" i="37"/>
  <c r="BA119" i="36"/>
  <c r="D122" i="37"/>
  <c r="D121" i="37"/>
  <c r="H190" i="37"/>
  <c r="AX190" i="36"/>
  <c r="BB190" i="36" s="1"/>
  <c r="C119" i="37"/>
  <c r="AY119" i="36"/>
  <c r="E121" i="37"/>
  <c r="BA121" i="36"/>
  <c r="D124" i="37"/>
  <c r="AZ124" i="36"/>
  <c r="B159" i="37"/>
  <c r="C123" i="37"/>
  <c r="F123" i="37" s="1"/>
  <c r="E123" i="49" s="1"/>
  <c r="AY123" i="36"/>
  <c r="C153" i="37"/>
  <c r="B203" i="37"/>
  <c r="AX203" i="36"/>
  <c r="BB203" i="36" s="1"/>
  <c r="D120" i="37"/>
  <c r="C121" i="37"/>
  <c r="AY121" i="36"/>
  <c r="E124" i="37"/>
  <c r="BA124" i="36"/>
  <c r="W130" i="42"/>
  <c r="W131" i="42"/>
  <c r="K131" i="42"/>
  <c r="K130" i="42"/>
  <c r="Q131" i="42"/>
  <c r="Q130" i="42"/>
  <c r="U106" i="38"/>
  <c r="U104" i="38"/>
  <c r="AY104" i="37"/>
  <c r="U103" i="38"/>
  <c r="AY103" i="37"/>
  <c r="U107" i="38"/>
  <c r="Z106" i="38"/>
  <c r="AX106" i="37"/>
  <c r="AC130" i="42"/>
  <c r="AC131" i="42"/>
  <c r="AP122" i="42"/>
  <c r="AN128" i="42"/>
  <c r="AN129" i="42" s="1"/>
  <c r="R153" i="42"/>
  <c r="O167" i="42"/>
  <c r="L153" i="42"/>
  <c r="G153" i="50" s="1"/>
  <c r="G167" i="50" s="1"/>
  <c r="I167" i="42"/>
  <c r="AO128" i="42"/>
  <c r="AO129" i="42" s="1"/>
  <c r="X153" i="42"/>
  <c r="G153" i="52" s="1"/>
  <c r="U167" i="42"/>
  <c r="X159" i="42"/>
  <c r="G159" i="52" s="1"/>
  <c r="T167" i="42"/>
  <c r="L159" i="42"/>
  <c r="G159" i="50" s="1"/>
  <c r="H167" i="42"/>
  <c r="AP123" i="42"/>
  <c r="AD159" i="42"/>
  <c r="Z167" i="42"/>
  <c r="AP120" i="42"/>
  <c r="AP121" i="42"/>
  <c r="AP119" i="42"/>
  <c r="N103" i="36"/>
  <c r="N103" i="37" s="1"/>
  <c r="N103" i="38" s="1"/>
  <c r="N103" i="42" s="1"/>
  <c r="R103" i="42" s="1"/>
  <c r="G103" i="53" s="1"/>
  <c r="B166" i="39"/>
  <c r="C166" i="39"/>
  <c r="D166" i="39"/>
  <c r="E166" i="39"/>
  <c r="F166" i="39"/>
  <c r="C126" i="39"/>
  <c r="D126" i="39"/>
  <c r="E126" i="39"/>
  <c r="F126" i="39"/>
  <c r="AU88" i="37"/>
  <c r="AU88" i="38"/>
  <c r="B4" i="39"/>
  <c r="C4" i="39"/>
  <c r="D4" i="39"/>
  <c r="E4" i="39"/>
  <c r="F4" i="39"/>
  <c r="E1" i="39"/>
  <c r="D1" i="39"/>
  <c r="C1" i="39"/>
  <c r="B1" i="39"/>
  <c r="F223" i="39"/>
  <c r="A223" i="39"/>
  <c r="F182" i="39"/>
  <c r="F193" i="39" s="1"/>
  <c r="F152" i="39"/>
  <c r="F168" i="39" s="1"/>
  <c r="F140" i="39"/>
  <c r="F117" i="39"/>
  <c r="F101" i="39"/>
  <c r="F73" i="39"/>
  <c r="F41" i="39"/>
  <c r="F27" i="39"/>
  <c r="G27" i="39" s="1"/>
  <c r="Z12" i="38"/>
  <c r="AD12" i="38" s="1"/>
  <c r="AV218" i="38"/>
  <c r="AV217" i="38"/>
  <c r="AV216" i="38"/>
  <c r="AV215" i="38"/>
  <c r="AV214" i="38"/>
  <c r="AV213" i="38"/>
  <c r="AV212" i="38"/>
  <c r="AV211" i="38"/>
  <c r="AV210" i="38"/>
  <c r="AV209" i="38"/>
  <c r="AU205" i="38"/>
  <c r="AT205" i="38"/>
  <c r="AS205" i="38"/>
  <c r="AR205" i="38"/>
  <c r="AV204" i="38"/>
  <c r="AV203" i="38"/>
  <c r="AV202" i="38"/>
  <c r="AV201" i="38"/>
  <c r="AV199" i="38"/>
  <c r="AV198" i="38"/>
  <c r="AV197" i="38"/>
  <c r="AV196" i="38"/>
  <c r="AV195" i="38"/>
  <c r="AV194" i="38"/>
  <c r="AT192" i="38"/>
  <c r="AS192" i="38"/>
  <c r="AV191" i="38"/>
  <c r="AV190" i="38"/>
  <c r="AV189" i="38"/>
  <c r="AV188" i="38"/>
  <c r="AV187" i="38"/>
  <c r="AR186" i="38"/>
  <c r="AV185" i="38"/>
  <c r="AV184" i="38"/>
  <c r="AR183" i="38"/>
  <c r="AV182" i="38"/>
  <c r="AV193" i="38" s="1"/>
  <c r="AU182" i="38"/>
  <c r="AU193" i="38" s="1"/>
  <c r="AT182" i="38"/>
  <c r="AT193" i="38" s="1"/>
  <c r="AS182" i="38"/>
  <c r="AS193" i="38" s="1"/>
  <c r="AR182" i="38"/>
  <c r="AR193" i="38" s="1"/>
  <c r="AU181" i="38"/>
  <c r="AT181" i="38"/>
  <c r="AS181" i="38"/>
  <c r="AR180" i="38"/>
  <c r="AV180" i="38" s="1"/>
  <c r="AR179" i="38"/>
  <c r="AV179" i="38" s="1"/>
  <c r="AV178" i="38"/>
  <c r="AU176" i="38"/>
  <c r="AT176" i="38"/>
  <c r="AS176" i="38"/>
  <c r="AR176" i="38"/>
  <c r="AV174" i="38"/>
  <c r="AV173" i="38"/>
  <c r="AV172" i="38"/>
  <c r="AV171" i="38"/>
  <c r="AV170" i="38"/>
  <c r="AV169" i="38"/>
  <c r="AV162" i="38"/>
  <c r="AV160" i="38"/>
  <c r="AR159" i="38"/>
  <c r="AV159" i="38" s="1"/>
  <c r="AS153" i="38"/>
  <c r="AV152" i="38"/>
  <c r="AV168" i="38" s="1"/>
  <c r="AU152" i="38"/>
  <c r="AU168" i="38" s="1"/>
  <c r="AT152" i="38"/>
  <c r="AT168" i="38" s="1"/>
  <c r="AS152" i="38"/>
  <c r="AS168" i="38" s="1"/>
  <c r="AR152" i="38"/>
  <c r="AR168" i="38" s="1"/>
  <c r="AU151" i="38"/>
  <c r="AV150" i="38"/>
  <c r="AT149" i="38"/>
  <c r="AT151" i="38" s="1"/>
  <c r="AS149" i="38"/>
  <c r="AR149" i="38"/>
  <c r="AS148" i="38"/>
  <c r="AS147" i="38"/>
  <c r="AV147" i="38" s="1"/>
  <c r="AS145" i="38"/>
  <c r="AR144" i="38"/>
  <c r="AR142" i="38"/>
  <c r="AV140" i="38"/>
  <c r="AU140" i="38"/>
  <c r="AT140" i="38"/>
  <c r="AS140" i="38"/>
  <c r="AR140" i="38"/>
  <c r="AU128" i="38"/>
  <c r="AT128" i="38"/>
  <c r="AS128" i="38"/>
  <c r="AR128" i="38"/>
  <c r="AV125" i="38"/>
  <c r="AV124" i="38"/>
  <c r="AV123" i="38"/>
  <c r="AV122" i="38"/>
  <c r="AV121" i="38"/>
  <c r="AV120" i="38"/>
  <c r="AV119" i="38"/>
  <c r="AV118" i="38"/>
  <c r="AV117" i="38"/>
  <c r="AU117" i="38"/>
  <c r="AT117" i="38"/>
  <c r="AS117" i="38"/>
  <c r="AR117" i="38"/>
  <c r="AS115" i="38"/>
  <c r="AR115" i="38"/>
  <c r="AX115" i="38" s="1"/>
  <c r="AR114" i="38"/>
  <c r="AU113" i="38"/>
  <c r="AT113" i="38"/>
  <c r="AZ113" i="38" s="1"/>
  <c r="AS113" i="38"/>
  <c r="AY113" i="38" s="1"/>
  <c r="AR113" i="38"/>
  <c r="AX113" i="38" s="1"/>
  <c r="AV112" i="38"/>
  <c r="AR111" i="38"/>
  <c r="AV111" i="38" s="1"/>
  <c r="AT110" i="38"/>
  <c r="AZ110" i="38" s="1"/>
  <c r="AV109" i="38"/>
  <c r="AR107" i="38"/>
  <c r="AV107" i="38" s="1"/>
  <c r="AV106" i="38"/>
  <c r="AR105" i="38"/>
  <c r="AV104" i="38"/>
  <c r="AV103" i="38"/>
  <c r="AV101" i="38"/>
  <c r="AU101" i="38"/>
  <c r="AT101" i="38"/>
  <c r="AS101" i="38"/>
  <c r="AR101" i="38"/>
  <c r="AU98" i="38"/>
  <c r="AU97" i="38"/>
  <c r="AT97" i="38"/>
  <c r="AS97" i="38"/>
  <c r="AR97" i="38"/>
  <c r="AU96" i="38"/>
  <c r="AT96" i="38"/>
  <c r="AS96" i="38"/>
  <c r="AR96" i="38"/>
  <c r="AU95" i="38"/>
  <c r="AT95" i="38"/>
  <c r="AS95" i="38"/>
  <c r="AR95" i="38"/>
  <c r="AU94" i="38"/>
  <c r="AT94" i="38"/>
  <c r="AU93" i="38"/>
  <c r="AT93" i="38"/>
  <c r="AS93" i="38"/>
  <c r="AU92" i="38"/>
  <c r="AT92" i="38"/>
  <c r="AU91" i="38"/>
  <c r="AU90" i="38"/>
  <c r="AT89" i="38"/>
  <c r="AT88" i="38"/>
  <c r="AS88" i="38"/>
  <c r="AU87" i="38"/>
  <c r="AT87" i="38"/>
  <c r="AS87" i="38"/>
  <c r="AV84" i="38"/>
  <c r="AV83" i="38"/>
  <c r="AV82" i="38"/>
  <c r="AS94" i="38"/>
  <c r="AR93" i="38"/>
  <c r="AS92" i="38"/>
  <c r="AR92" i="38"/>
  <c r="AT78" i="38"/>
  <c r="AT91" i="38" s="1"/>
  <c r="AS78" i="38"/>
  <c r="AR78" i="38"/>
  <c r="AR91" i="38" s="1"/>
  <c r="AT77" i="38"/>
  <c r="AT90" i="38" s="1"/>
  <c r="AS77" i="38"/>
  <c r="AR77" i="38"/>
  <c r="AR90" i="38" s="1"/>
  <c r="AS76" i="38"/>
  <c r="AR76" i="38"/>
  <c r="AR89" i="38" s="1"/>
  <c r="AV73" i="38"/>
  <c r="AU73" i="38"/>
  <c r="AS73" i="38"/>
  <c r="AR73" i="38"/>
  <c r="AU62" i="38"/>
  <c r="AU65" i="38" s="1"/>
  <c r="AT62" i="38"/>
  <c r="AT65" i="38" s="1"/>
  <c r="AS62" i="38"/>
  <c r="AS65" i="38" s="1"/>
  <c r="AR62" i="38"/>
  <c r="AR65" i="38" s="1"/>
  <c r="AV41" i="38"/>
  <c r="AU41" i="38"/>
  <c r="AT41" i="38"/>
  <c r="AS41" i="38"/>
  <c r="AR41" i="38"/>
  <c r="AU39" i="38"/>
  <c r="AU137" i="38" s="1"/>
  <c r="AT39" i="38"/>
  <c r="AT137" i="38" s="1"/>
  <c r="AS39" i="38"/>
  <c r="AS64" i="38" s="1"/>
  <c r="AR39" i="38"/>
  <c r="AR137" i="38" s="1"/>
  <c r="AV38" i="38"/>
  <c r="AV37" i="38"/>
  <c r="AV36" i="38"/>
  <c r="AV35" i="38"/>
  <c r="AV34" i="38"/>
  <c r="AV33" i="38"/>
  <c r="AV32" i="38"/>
  <c r="AV31" i="38"/>
  <c r="AV30" i="38"/>
  <c r="AV29" i="38"/>
  <c r="AV27" i="38"/>
  <c r="AV26" i="38"/>
  <c r="AV25" i="38"/>
  <c r="AV24" i="38"/>
  <c r="AV23" i="38"/>
  <c r="AV22" i="38"/>
  <c r="AR19" i="38"/>
  <c r="AV18" i="38"/>
  <c r="AV17" i="38"/>
  <c r="AV16" i="38"/>
  <c r="AV15" i="38"/>
  <c r="AV14" i="38"/>
  <c r="AV13" i="38"/>
  <c r="AV12" i="38"/>
  <c r="AV11" i="38"/>
  <c r="AV10" i="38"/>
  <c r="AV9" i="38"/>
  <c r="AV8" i="38"/>
  <c r="AV7" i="38"/>
  <c r="AV6" i="38"/>
  <c r="AR5" i="38"/>
  <c r="AV5" i="38" s="1"/>
  <c r="AV3" i="38"/>
  <c r="AV2" i="38"/>
  <c r="AV223" i="38"/>
  <c r="AU223" i="38"/>
  <c r="AT223" i="38"/>
  <c r="AS223" i="38"/>
  <c r="AR223" i="38"/>
  <c r="AP223" i="38"/>
  <c r="AO223" i="38"/>
  <c r="AN223" i="38"/>
  <c r="AM223" i="38"/>
  <c r="AL223" i="38"/>
  <c r="AD223" i="38"/>
  <c r="AC223" i="38"/>
  <c r="AB223" i="38"/>
  <c r="AA223" i="38"/>
  <c r="Z223" i="38"/>
  <c r="X223" i="38"/>
  <c r="W223" i="38"/>
  <c r="V223" i="38"/>
  <c r="U223" i="38"/>
  <c r="T223" i="38"/>
  <c r="R223" i="38"/>
  <c r="Q223" i="38"/>
  <c r="P223" i="38"/>
  <c r="O223" i="38"/>
  <c r="N223" i="38"/>
  <c r="L223" i="38"/>
  <c r="K223" i="38"/>
  <c r="J223" i="38"/>
  <c r="I223" i="38"/>
  <c r="H223" i="38"/>
  <c r="F223" i="38"/>
  <c r="E223" i="38"/>
  <c r="D223" i="38"/>
  <c r="C223" i="38"/>
  <c r="B223" i="38"/>
  <c r="A223" i="38"/>
  <c r="AP218" i="38"/>
  <c r="AD218" i="38"/>
  <c r="X218" i="38"/>
  <c r="F218" i="52" s="1"/>
  <c r="R218" i="38"/>
  <c r="F218" i="53" s="1"/>
  <c r="L218" i="38"/>
  <c r="F218" i="38"/>
  <c r="AP217" i="38"/>
  <c r="AD217" i="38"/>
  <c r="F217" i="51" s="1"/>
  <c r="F234" i="51" s="1"/>
  <c r="X217" i="38"/>
  <c r="F217" i="52" s="1"/>
  <c r="F234" i="52" s="1"/>
  <c r="R217" i="38"/>
  <c r="F217" i="53" s="1"/>
  <c r="F234" i="53" s="1"/>
  <c r="L217" i="38"/>
  <c r="F217" i="50" s="1"/>
  <c r="F234" i="50" s="1"/>
  <c r="F217" i="38"/>
  <c r="F217" i="49" s="1"/>
  <c r="F234" i="49" s="1"/>
  <c r="AP216" i="38"/>
  <c r="AD216" i="38"/>
  <c r="F216" i="51" s="1"/>
  <c r="F233" i="51" s="1"/>
  <c r="X216" i="38"/>
  <c r="F216" i="52" s="1"/>
  <c r="F233" i="52" s="1"/>
  <c r="R216" i="38"/>
  <c r="F216" i="53" s="1"/>
  <c r="F233" i="53" s="1"/>
  <c r="L216" i="38"/>
  <c r="F216" i="50" s="1"/>
  <c r="F233" i="50" s="1"/>
  <c r="F216" i="38"/>
  <c r="F216" i="49" s="1"/>
  <c r="F233" i="49" s="1"/>
  <c r="AP215" i="38"/>
  <c r="AD215" i="38"/>
  <c r="F215" i="51" s="1"/>
  <c r="X215" i="38"/>
  <c r="F215" i="52" s="1"/>
  <c r="R215" i="38"/>
  <c r="F215" i="53" s="1"/>
  <c r="L215" i="38"/>
  <c r="F215" i="50" s="1"/>
  <c r="F215" i="38"/>
  <c r="F215" i="49" s="1"/>
  <c r="AP214" i="38"/>
  <c r="AD214" i="38"/>
  <c r="F214" i="51" s="1"/>
  <c r="X214" i="38"/>
  <c r="F214" i="52" s="1"/>
  <c r="R214" i="38"/>
  <c r="F214" i="53" s="1"/>
  <c r="L214" i="38"/>
  <c r="F214" i="50" s="1"/>
  <c r="F214" i="38"/>
  <c r="F214" i="49" s="1"/>
  <c r="AP213" i="38"/>
  <c r="AD213" i="38"/>
  <c r="F213" i="51" s="1"/>
  <c r="X213" i="38"/>
  <c r="F213" i="52" s="1"/>
  <c r="R213" i="38"/>
  <c r="F213" i="53" s="1"/>
  <c r="L213" i="38"/>
  <c r="F213" i="50" s="1"/>
  <c r="F213" i="38"/>
  <c r="F213" i="49" s="1"/>
  <c r="AP212" i="38"/>
  <c r="AD212" i="38"/>
  <c r="F212" i="51" s="1"/>
  <c r="X212" i="38"/>
  <c r="F212" i="52" s="1"/>
  <c r="R212" i="38"/>
  <c r="F212" i="53" s="1"/>
  <c r="L212" i="38"/>
  <c r="F212" i="50" s="1"/>
  <c r="F212" i="38"/>
  <c r="F212" i="49" s="1"/>
  <c r="AP211" i="38"/>
  <c r="AD211" i="38"/>
  <c r="F211" i="51" s="1"/>
  <c r="F232" i="51" s="1"/>
  <c r="X211" i="38"/>
  <c r="F211" i="52" s="1"/>
  <c r="F232" i="52" s="1"/>
  <c r="R211" i="38"/>
  <c r="F211" i="53" s="1"/>
  <c r="F232" i="53" s="1"/>
  <c r="L211" i="38"/>
  <c r="F211" i="50" s="1"/>
  <c r="F232" i="50" s="1"/>
  <c r="F211" i="38"/>
  <c r="F211" i="49" s="1"/>
  <c r="F232" i="49" s="1"/>
  <c r="AP210" i="38"/>
  <c r="AD210" i="38"/>
  <c r="F210" i="51" s="1"/>
  <c r="F231" i="51" s="1"/>
  <c r="R210" i="38"/>
  <c r="F210" i="53" s="1"/>
  <c r="F231" i="53" s="1"/>
  <c r="L210" i="38"/>
  <c r="F210" i="50" s="1"/>
  <c r="F231" i="50" s="1"/>
  <c r="F210" i="38"/>
  <c r="F210" i="49" s="1"/>
  <c r="F231" i="49" s="1"/>
  <c r="AP209" i="38"/>
  <c r="AD209" i="38"/>
  <c r="F209" i="51" s="1"/>
  <c r="F230" i="51" s="1"/>
  <c r="X209" i="38"/>
  <c r="F209" i="52" s="1"/>
  <c r="F230" i="52" s="1"/>
  <c r="R209" i="38"/>
  <c r="F209" i="53" s="1"/>
  <c r="F230" i="53" s="1"/>
  <c r="L209" i="38"/>
  <c r="F209" i="50" s="1"/>
  <c r="F230" i="50" s="1"/>
  <c r="F209" i="38"/>
  <c r="F209" i="49" s="1"/>
  <c r="F230" i="49" s="1"/>
  <c r="AO205" i="38"/>
  <c r="AN205" i="38"/>
  <c r="AM205" i="38"/>
  <c r="AL205" i="38"/>
  <c r="AC205" i="38"/>
  <c r="AB205" i="38"/>
  <c r="AA205" i="38"/>
  <c r="W205" i="38"/>
  <c r="V205" i="38"/>
  <c r="U205" i="38"/>
  <c r="Q205" i="38"/>
  <c r="P205" i="38"/>
  <c r="O205" i="38"/>
  <c r="K205" i="38"/>
  <c r="J205" i="38"/>
  <c r="I205" i="38"/>
  <c r="E205" i="38"/>
  <c r="D205" i="38"/>
  <c r="C205" i="38"/>
  <c r="AP204" i="38"/>
  <c r="AP203" i="38"/>
  <c r="AD203" i="38"/>
  <c r="F203" i="51" s="1"/>
  <c r="X203" i="38"/>
  <c r="F203" i="52" s="1"/>
  <c r="R203" i="38"/>
  <c r="F203" i="53" s="1"/>
  <c r="L203" i="38"/>
  <c r="F203" i="50" s="1"/>
  <c r="AP202" i="38"/>
  <c r="AP201" i="38"/>
  <c r="AD201" i="38"/>
  <c r="F201" i="51" s="1"/>
  <c r="X201" i="38"/>
  <c r="F201" i="52" s="1"/>
  <c r="R201" i="38"/>
  <c r="F201" i="53" s="1"/>
  <c r="L201" i="38"/>
  <c r="F201" i="50" s="1"/>
  <c r="AP199" i="38"/>
  <c r="AP198" i="38"/>
  <c r="AP197" i="38"/>
  <c r="AP196" i="38"/>
  <c r="AP195" i="38"/>
  <c r="AD195" i="38"/>
  <c r="F195" i="51" s="1"/>
  <c r="X195" i="38"/>
  <c r="F195" i="52" s="1"/>
  <c r="R195" i="38"/>
  <c r="F195" i="53" s="1"/>
  <c r="L195" i="38"/>
  <c r="F195" i="50" s="1"/>
  <c r="AP194" i="38"/>
  <c r="AO192" i="38"/>
  <c r="AN192" i="38"/>
  <c r="AM192" i="38"/>
  <c r="AL192" i="38"/>
  <c r="AB192" i="38"/>
  <c r="AA192" i="38"/>
  <c r="V192" i="38"/>
  <c r="U192" i="38"/>
  <c r="P192" i="38"/>
  <c r="O192" i="38"/>
  <c r="J192" i="38"/>
  <c r="I192" i="38"/>
  <c r="D192" i="38"/>
  <c r="C192" i="38"/>
  <c r="AP191" i="38"/>
  <c r="AD191" i="38"/>
  <c r="F191" i="51" s="1"/>
  <c r="X191" i="38"/>
  <c r="F191" i="52" s="1"/>
  <c r="R191" i="38"/>
  <c r="F191" i="53" s="1"/>
  <c r="L191" i="38"/>
  <c r="F191" i="50" s="1"/>
  <c r="F191" i="38"/>
  <c r="F191" i="49" s="1"/>
  <c r="AP190" i="38"/>
  <c r="AD190" i="38"/>
  <c r="F190" i="51" s="1"/>
  <c r="X190" i="38"/>
  <c r="F190" i="52" s="1"/>
  <c r="R190" i="38"/>
  <c r="F190" i="53" s="1"/>
  <c r="F190" i="38"/>
  <c r="F190" i="49" s="1"/>
  <c r="AP189" i="38"/>
  <c r="AD189" i="38"/>
  <c r="F189" i="51" s="1"/>
  <c r="X189" i="38"/>
  <c r="F189" i="52" s="1"/>
  <c r="R189" i="38"/>
  <c r="F189" i="53" s="1"/>
  <c r="L189" i="38"/>
  <c r="F189" i="50" s="1"/>
  <c r="F189" i="38"/>
  <c r="F189" i="49" s="1"/>
  <c r="AP188" i="38"/>
  <c r="AD188" i="38"/>
  <c r="F188" i="51" s="1"/>
  <c r="X188" i="38"/>
  <c r="F188" i="52" s="1"/>
  <c r="R188" i="38"/>
  <c r="F188" i="53" s="1"/>
  <c r="L188" i="38"/>
  <c r="F188" i="50" s="1"/>
  <c r="F188" i="38"/>
  <c r="F188" i="49" s="1"/>
  <c r="AP187" i="38"/>
  <c r="AD187" i="38"/>
  <c r="F187" i="51" s="1"/>
  <c r="X187" i="38"/>
  <c r="F187" i="52" s="1"/>
  <c r="R187" i="38"/>
  <c r="F187" i="53" s="1"/>
  <c r="L187" i="38"/>
  <c r="F187" i="50" s="1"/>
  <c r="F187" i="38"/>
  <c r="F187" i="49" s="1"/>
  <c r="AP186" i="38"/>
  <c r="AD186" i="38"/>
  <c r="F186" i="51" s="1"/>
  <c r="X186" i="38"/>
  <c r="F186" i="52" s="1"/>
  <c r="R186" i="38"/>
  <c r="F186" i="53" s="1"/>
  <c r="L186" i="38"/>
  <c r="F186" i="50" s="1"/>
  <c r="F186" i="38"/>
  <c r="F186" i="49" s="1"/>
  <c r="AP185" i="38"/>
  <c r="AD185" i="38"/>
  <c r="F185" i="51" s="1"/>
  <c r="X185" i="38"/>
  <c r="F185" i="52" s="1"/>
  <c r="R185" i="38"/>
  <c r="F185" i="53" s="1"/>
  <c r="L185" i="38"/>
  <c r="F185" i="50" s="1"/>
  <c r="F185" i="38"/>
  <c r="F185" i="49" s="1"/>
  <c r="AP184" i="38"/>
  <c r="AD184" i="38"/>
  <c r="F184" i="51" s="1"/>
  <c r="X184" i="38"/>
  <c r="F184" i="52" s="1"/>
  <c r="R184" i="38"/>
  <c r="F184" i="53" s="1"/>
  <c r="L184" i="38"/>
  <c r="F184" i="50" s="1"/>
  <c r="F184" i="38"/>
  <c r="F184" i="49" s="1"/>
  <c r="AP183" i="38"/>
  <c r="Z183" i="38"/>
  <c r="Z192" i="38" s="1"/>
  <c r="T183" i="38"/>
  <c r="N183" i="38"/>
  <c r="N192" i="38" s="1"/>
  <c r="H183" i="38"/>
  <c r="B183" i="38"/>
  <c r="AP182" i="38"/>
  <c r="AP193" i="38" s="1"/>
  <c r="AO182" i="38"/>
  <c r="AO193" i="38" s="1"/>
  <c r="AN182" i="38"/>
  <c r="AN193" i="38" s="1"/>
  <c r="AM182" i="38"/>
  <c r="AM193" i="38" s="1"/>
  <c r="AL182" i="38"/>
  <c r="AL193" i="38" s="1"/>
  <c r="AD182" i="38"/>
  <c r="AD193" i="38" s="1"/>
  <c r="AC182" i="38"/>
  <c r="AC193" i="38" s="1"/>
  <c r="AB182" i="38"/>
  <c r="AB193" i="38" s="1"/>
  <c r="AA182" i="38"/>
  <c r="AA193" i="38" s="1"/>
  <c r="Z182" i="38"/>
  <c r="Z193" i="38" s="1"/>
  <c r="X182" i="38"/>
  <c r="X193" i="38" s="1"/>
  <c r="W182" i="38"/>
  <c r="W193" i="38" s="1"/>
  <c r="V182" i="38"/>
  <c r="V193" i="38" s="1"/>
  <c r="U182" i="38"/>
  <c r="U193" i="38" s="1"/>
  <c r="T182" i="38"/>
  <c r="T193" i="38" s="1"/>
  <c r="R182" i="38"/>
  <c r="R193" i="38" s="1"/>
  <c r="Q182" i="38"/>
  <c r="Q193" i="38" s="1"/>
  <c r="P182" i="38"/>
  <c r="P193" i="38" s="1"/>
  <c r="O182" i="38"/>
  <c r="O193" i="38" s="1"/>
  <c r="N182" i="38"/>
  <c r="N193" i="38" s="1"/>
  <c r="L182" i="38"/>
  <c r="L193" i="38" s="1"/>
  <c r="K182" i="38"/>
  <c r="K193" i="38" s="1"/>
  <c r="J182" i="38"/>
  <c r="J193" i="38" s="1"/>
  <c r="I182" i="38"/>
  <c r="I193" i="38" s="1"/>
  <c r="H182" i="38"/>
  <c r="H193" i="38" s="1"/>
  <c r="F182" i="38"/>
  <c r="F193" i="38" s="1"/>
  <c r="E182" i="38"/>
  <c r="E193" i="38" s="1"/>
  <c r="D182" i="38"/>
  <c r="D193" i="38" s="1"/>
  <c r="C182" i="38"/>
  <c r="C193" i="38" s="1"/>
  <c r="B182" i="38"/>
  <c r="B193" i="38" s="1"/>
  <c r="AO181" i="38"/>
  <c r="AN181" i="38"/>
  <c r="AM181" i="38"/>
  <c r="AL181" i="38"/>
  <c r="AC181" i="38"/>
  <c r="AB181" i="38"/>
  <c r="AA181" i="38"/>
  <c r="W181" i="38"/>
  <c r="V181" i="38"/>
  <c r="U181" i="38"/>
  <c r="Q181" i="38"/>
  <c r="P181" i="38"/>
  <c r="O181" i="38"/>
  <c r="K181" i="38"/>
  <c r="J181" i="38"/>
  <c r="I181" i="38"/>
  <c r="E181" i="38"/>
  <c r="D181" i="38"/>
  <c r="C181" i="38"/>
  <c r="AP180" i="38"/>
  <c r="AP179" i="38"/>
  <c r="AP178" i="38"/>
  <c r="AO176" i="38"/>
  <c r="AN176" i="38"/>
  <c r="AM176" i="38"/>
  <c r="AL176" i="38"/>
  <c r="AC176" i="38"/>
  <c r="AB176" i="38"/>
  <c r="AA176" i="38"/>
  <c r="W176" i="38"/>
  <c r="V176" i="38"/>
  <c r="U176" i="38"/>
  <c r="Q176" i="38"/>
  <c r="P176" i="38"/>
  <c r="O176" i="38"/>
  <c r="K176" i="38"/>
  <c r="J176" i="38"/>
  <c r="I176" i="38"/>
  <c r="E176" i="38"/>
  <c r="D176" i="38"/>
  <c r="C176" i="38"/>
  <c r="AP174" i="38"/>
  <c r="AP173" i="38"/>
  <c r="AD173" i="38"/>
  <c r="F173" i="51" s="1"/>
  <c r="X173" i="38"/>
  <c r="F173" i="52" s="1"/>
  <c r="R173" i="38"/>
  <c r="F173" i="53" s="1"/>
  <c r="L173" i="38"/>
  <c r="F173" i="50" s="1"/>
  <c r="AP172" i="38"/>
  <c r="AD172" i="38"/>
  <c r="F172" i="51" s="1"/>
  <c r="X172" i="38"/>
  <c r="F172" i="52" s="1"/>
  <c r="R172" i="38"/>
  <c r="F172" i="53" s="1"/>
  <c r="L172" i="38"/>
  <c r="F172" i="50" s="1"/>
  <c r="F172" i="38"/>
  <c r="F172" i="49" s="1"/>
  <c r="AP171" i="38"/>
  <c r="AD171" i="38"/>
  <c r="F171" i="51" s="1"/>
  <c r="X171" i="38"/>
  <c r="F171" i="52" s="1"/>
  <c r="R171" i="38"/>
  <c r="F171" i="53" s="1"/>
  <c r="L171" i="38"/>
  <c r="F171" i="50" s="1"/>
  <c r="F171" i="38"/>
  <c r="F171" i="49" s="1"/>
  <c r="AP170" i="38"/>
  <c r="AP169" i="38"/>
  <c r="AP162" i="38"/>
  <c r="AD162" i="38"/>
  <c r="F162" i="51" s="1"/>
  <c r="X162" i="38"/>
  <c r="F162" i="52" s="1"/>
  <c r="R162" i="38"/>
  <c r="F162" i="53" s="1"/>
  <c r="L162" i="38"/>
  <c r="F162" i="50" s="1"/>
  <c r="F162" i="38"/>
  <c r="F162" i="49" s="1"/>
  <c r="AP160" i="38"/>
  <c r="AD160" i="38"/>
  <c r="F160" i="51" s="1"/>
  <c r="X160" i="38"/>
  <c r="F160" i="52" s="1"/>
  <c r="R160" i="38"/>
  <c r="F160" i="53" s="1"/>
  <c r="L160" i="38"/>
  <c r="F160" i="50" s="1"/>
  <c r="F160" i="38"/>
  <c r="F160" i="49" s="1"/>
  <c r="AP159" i="38"/>
  <c r="AD159" i="38"/>
  <c r="F159" i="51" s="1"/>
  <c r="X159" i="38"/>
  <c r="F159" i="52" s="1"/>
  <c r="R159" i="38"/>
  <c r="F159" i="53" s="1"/>
  <c r="L159" i="38"/>
  <c r="F159" i="50" s="1"/>
  <c r="AP156" i="38"/>
  <c r="AD156" i="38"/>
  <c r="F156" i="51" s="1"/>
  <c r="X156" i="38"/>
  <c r="F156" i="52" s="1"/>
  <c r="R156" i="38"/>
  <c r="F156" i="53" s="1"/>
  <c r="L156" i="38"/>
  <c r="F156" i="50" s="1"/>
  <c r="F156" i="38"/>
  <c r="F156" i="49" s="1"/>
  <c r="AP155" i="38"/>
  <c r="AD155" i="38"/>
  <c r="F155" i="51" s="1"/>
  <c r="X155" i="38"/>
  <c r="F155" i="52" s="1"/>
  <c r="R155" i="38"/>
  <c r="F155" i="53" s="1"/>
  <c r="L155" i="38"/>
  <c r="F155" i="50" s="1"/>
  <c r="F155" i="38"/>
  <c r="F155" i="49" s="1"/>
  <c r="AP153" i="38"/>
  <c r="AD153" i="38"/>
  <c r="F153" i="51" s="1"/>
  <c r="X153" i="38"/>
  <c r="F153" i="52" s="1"/>
  <c r="R153" i="38"/>
  <c r="F153" i="53" s="1"/>
  <c r="L153" i="38"/>
  <c r="F153" i="50" s="1"/>
  <c r="AP152" i="38"/>
  <c r="AP168" i="38" s="1"/>
  <c r="AO152" i="38"/>
  <c r="AO168" i="38" s="1"/>
  <c r="AN152" i="38"/>
  <c r="AN168" i="38" s="1"/>
  <c r="AM152" i="38"/>
  <c r="AM168" i="38" s="1"/>
  <c r="AL152" i="38"/>
  <c r="AL168" i="38" s="1"/>
  <c r="AD152" i="38"/>
  <c r="AD168" i="38" s="1"/>
  <c r="AC152" i="38"/>
  <c r="AC168" i="38" s="1"/>
  <c r="AB152" i="38"/>
  <c r="AB168" i="38" s="1"/>
  <c r="AA152" i="38"/>
  <c r="AA168" i="38" s="1"/>
  <c r="Z152" i="38"/>
  <c r="Z168" i="38" s="1"/>
  <c r="X152" i="38"/>
  <c r="X168" i="38" s="1"/>
  <c r="W152" i="38"/>
  <c r="W168" i="38" s="1"/>
  <c r="V152" i="38"/>
  <c r="V168" i="38" s="1"/>
  <c r="U152" i="38"/>
  <c r="U168" i="38" s="1"/>
  <c r="T152" i="38"/>
  <c r="T168" i="38" s="1"/>
  <c r="R152" i="38"/>
  <c r="R168" i="38" s="1"/>
  <c r="Q152" i="38"/>
  <c r="Q168" i="38" s="1"/>
  <c r="P152" i="38"/>
  <c r="P168" i="38" s="1"/>
  <c r="O152" i="38"/>
  <c r="O168" i="38" s="1"/>
  <c r="N152" i="38"/>
  <c r="N168" i="38" s="1"/>
  <c r="L152" i="38"/>
  <c r="L168" i="38" s="1"/>
  <c r="K152" i="38"/>
  <c r="K168" i="38" s="1"/>
  <c r="J152" i="38"/>
  <c r="J168" i="38" s="1"/>
  <c r="I152" i="38"/>
  <c r="I168" i="38" s="1"/>
  <c r="H152" i="38"/>
  <c r="H168" i="38" s="1"/>
  <c r="F152" i="38"/>
  <c r="F168" i="38" s="1"/>
  <c r="E152" i="38"/>
  <c r="E168" i="38" s="1"/>
  <c r="D152" i="38"/>
  <c r="D168" i="38" s="1"/>
  <c r="C152" i="38"/>
  <c r="C168" i="38" s="1"/>
  <c r="B152" i="38"/>
  <c r="B168" i="38" s="1"/>
  <c r="AO151" i="38"/>
  <c r="AC151" i="38"/>
  <c r="W151" i="38"/>
  <c r="Q151" i="38"/>
  <c r="K151" i="38"/>
  <c r="E151" i="38"/>
  <c r="AP150" i="38"/>
  <c r="AD150" i="38"/>
  <c r="F150" i="51" s="1"/>
  <c r="X150" i="38"/>
  <c r="F150" i="52" s="1"/>
  <c r="R150" i="38"/>
  <c r="F150" i="53" s="1"/>
  <c r="L150" i="38"/>
  <c r="F150" i="50" s="1"/>
  <c r="F150" i="38"/>
  <c r="F150" i="49" s="1"/>
  <c r="AN149" i="38"/>
  <c r="AM149" i="38"/>
  <c r="AY149" i="38" s="1"/>
  <c r="AL149" i="38"/>
  <c r="AX149" i="38" s="1"/>
  <c r="AM148" i="38"/>
  <c r="AM147" i="38"/>
  <c r="AM145" i="38"/>
  <c r="AA151" i="38"/>
  <c r="U151" i="38"/>
  <c r="C151" i="38"/>
  <c r="AP144" i="38"/>
  <c r="AD144" i="38"/>
  <c r="F144" i="51" s="1"/>
  <c r="X144" i="38"/>
  <c r="F144" i="52" s="1"/>
  <c r="R144" i="38"/>
  <c r="F144" i="53" s="1"/>
  <c r="L144" i="38"/>
  <c r="F144" i="50" s="1"/>
  <c r="F144" i="38"/>
  <c r="F144" i="49" s="1"/>
  <c r="AP142" i="38"/>
  <c r="AD142" i="38"/>
  <c r="F142" i="51" s="1"/>
  <c r="X142" i="38"/>
  <c r="F142" i="52" s="1"/>
  <c r="R142" i="38"/>
  <c r="F142" i="53" s="1"/>
  <c r="L142" i="38"/>
  <c r="F142" i="50" s="1"/>
  <c r="F142" i="38"/>
  <c r="F142" i="49" s="1"/>
  <c r="AP140" i="38"/>
  <c r="AO140" i="38"/>
  <c r="AN140" i="38"/>
  <c r="AM140" i="38"/>
  <c r="AL140" i="38"/>
  <c r="AD140" i="38"/>
  <c r="AC140" i="38"/>
  <c r="AB140" i="38"/>
  <c r="AA140" i="38"/>
  <c r="Z140" i="38"/>
  <c r="X140" i="38"/>
  <c r="W140" i="38"/>
  <c r="V140" i="38"/>
  <c r="U140" i="38"/>
  <c r="T140" i="38"/>
  <c r="R140" i="38"/>
  <c r="Q140" i="38"/>
  <c r="P140" i="38"/>
  <c r="O140" i="38"/>
  <c r="N140" i="38"/>
  <c r="L140" i="38"/>
  <c r="K140" i="38"/>
  <c r="J140" i="38"/>
  <c r="I140" i="38"/>
  <c r="H140" i="38"/>
  <c r="F140" i="38"/>
  <c r="E140" i="38"/>
  <c r="D140" i="38"/>
  <c r="C140" i="38"/>
  <c r="B140" i="38"/>
  <c r="AN128" i="38"/>
  <c r="AL128" i="38"/>
  <c r="AC128" i="38"/>
  <c r="Z128" i="38"/>
  <c r="T128" i="38"/>
  <c r="N128" i="38"/>
  <c r="H128" i="38"/>
  <c r="B128" i="38"/>
  <c r="AO128" i="38"/>
  <c r="W128" i="38"/>
  <c r="Q128" i="38"/>
  <c r="K128" i="38"/>
  <c r="AP125" i="38"/>
  <c r="AD125" i="38"/>
  <c r="F125" i="51" s="1"/>
  <c r="X125" i="38"/>
  <c r="F125" i="52" s="1"/>
  <c r="R125" i="38"/>
  <c r="F125" i="53" s="1"/>
  <c r="L125" i="38"/>
  <c r="F125" i="50" s="1"/>
  <c r="F125" i="38"/>
  <c r="F125" i="49" s="1"/>
  <c r="AP123" i="38"/>
  <c r="R123" i="38"/>
  <c r="F123" i="53" s="1"/>
  <c r="AP122" i="38"/>
  <c r="R122" i="38"/>
  <c r="F122" i="53" s="1"/>
  <c r="L122" i="38"/>
  <c r="F122" i="50" s="1"/>
  <c r="AP121" i="38"/>
  <c r="L121" i="38"/>
  <c r="F121" i="50" s="1"/>
  <c r="AP120" i="38"/>
  <c r="R120" i="38"/>
  <c r="F120" i="53" s="1"/>
  <c r="AP119" i="38"/>
  <c r="R119" i="38"/>
  <c r="F119" i="53" s="1"/>
  <c r="AP118" i="38"/>
  <c r="AD118" i="38"/>
  <c r="F118" i="51" s="1"/>
  <c r="X118" i="38"/>
  <c r="F118" i="52" s="1"/>
  <c r="R118" i="38"/>
  <c r="F118" i="53" s="1"/>
  <c r="L118" i="38"/>
  <c r="F118" i="50" s="1"/>
  <c r="F118" i="38"/>
  <c r="F118" i="49" s="1"/>
  <c r="AP117" i="38"/>
  <c r="AO117" i="38"/>
  <c r="AN117" i="38"/>
  <c r="AM117" i="38"/>
  <c r="AL117" i="38"/>
  <c r="AD117" i="38"/>
  <c r="AC117" i="38"/>
  <c r="AB117" i="38"/>
  <c r="AA117" i="38"/>
  <c r="Z117" i="38"/>
  <c r="X117" i="38"/>
  <c r="W117" i="38"/>
  <c r="V117" i="38"/>
  <c r="U117" i="38"/>
  <c r="T117" i="38"/>
  <c r="R117" i="38"/>
  <c r="Q117" i="38"/>
  <c r="P117" i="38"/>
  <c r="O117" i="38"/>
  <c r="N117" i="38"/>
  <c r="L117" i="38"/>
  <c r="K117" i="38"/>
  <c r="J117" i="38"/>
  <c r="I117" i="38"/>
  <c r="H117" i="38"/>
  <c r="F117" i="38"/>
  <c r="E117" i="38"/>
  <c r="D117" i="38"/>
  <c r="C117" i="38"/>
  <c r="B117" i="38"/>
  <c r="AO116" i="38"/>
  <c r="AN116" i="38"/>
  <c r="AM116" i="38"/>
  <c r="AP115" i="38"/>
  <c r="AA115" i="38"/>
  <c r="AD115" i="38" s="1"/>
  <c r="F115" i="51" s="1"/>
  <c r="U115" i="38"/>
  <c r="X115" i="38" s="1"/>
  <c r="F115" i="52" s="1"/>
  <c r="O115" i="38"/>
  <c r="R115" i="38" s="1"/>
  <c r="F115" i="53" s="1"/>
  <c r="I115" i="38"/>
  <c r="C115" i="38"/>
  <c r="AP114" i="38"/>
  <c r="AP113" i="38"/>
  <c r="AP112" i="38"/>
  <c r="Z112" i="38"/>
  <c r="AD112" i="38" s="1"/>
  <c r="F112" i="51" s="1"/>
  <c r="T112" i="38"/>
  <c r="X112" i="38" s="1"/>
  <c r="F112" i="52" s="1"/>
  <c r="N112" i="38"/>
  <c r="R112" i="38" s="1"/>
  <c r="F112" i="53" s="1"/>
  <c r="H112" i="38"/>
  <c r="F112" i="38"/>
  <c r="F112" i="49" s="1"/>
  <c r="AP110" i="38"/>
  <c r="AD110" i="38"/>
  <c r="F110" i="51" s="1"/>
  <c r="AB116" i="38"/>
  <c r="R110" i="38"/>
  <c r="F110" i="53" s="1"/>
  <c r="L110" i="38"/>
  <c r="F110" i="50" s="1"/>
  <c r="F110" i="38"/>
  <c r="F110" i="49" s="1"/>
  <c r="AP109" i="38"/>
  <c r="AD109" i="38"/>
  <c r="F109" i="51" s="1"/>
  <c r="X109" i="38"/>
  <c r="F109" i="52" s="1"/>
  <c r="R109" i="38"/>
  <c r="F109" i="53" s="1"/>
  <c r="L109" i="38"/>
  <c r="F109" i="50" s="1"/>
  <c r="F109" i="38"/>
  <c r="F109" i="49" s="1"/>
  <c r="AP108" i="38"/>
  <c r="AP107" i="38"/>
  <c r="AP106" i="38"/>
  <c r="AD106" i="38"/>
  <c r="F106" i="51" s="1"/>
  <c r="X106" i="38"/>
  <c r="F106" i="52" s="1"/>
  <c r="L106" i="38"/>
  <c r="F106" i="50" s="1"/>
  <c r="F106" i="38"/>
  <c r="F106" i="49" s="1"/>
  <c r="R105" i="38"/>
  <c r="F105" i="53" s="1"/>
  <c r="AP104" i="38"/>
  <c r="AP103" i="38"/>
  <c r="AP101" i="38"/>
  <c r="AO101" i="38"/>
  <c r="AN101" i="38"/>
  <c r="AM101" i="38"/>
  <c r="AL101" i="38"/>
  <c r="AD101" i="38"/>
  <c r="AC101" i="38"/>
  <c r="AB101" i="38"/>
  <c r="AA101" i="38"/>
  <c r="Z101" i="38"/>
  <c r="X101" i="38"/>
  <c r="W101" i="38"/>
  <c r="V101" i="38"/>
  <c r="U101" i="38"/>
  <c r="T101" i="38"/>
  <c r="R101" i="38"/>
  <c r="Q101" i="38"/>
  <c r="P101" i="38"/>
  <c r="O101" i="38"/>
  <c r="N101" i="38"/>
  <c r="L101" i="38"/>
  <c r="K101" i="38"/>
  <c r="J101" i="38"/>
  <c r="I101" i="38"/>
  <c r="H101" i="38"/>
  <c r="F101" i="38"/>
  <c r="E101" i="38"/>
  <c r="D101" i="38"/>
  <c r="C101" i="38"/>
  <c r="B101" i="38"/>
  <c r="AO98" i="38"/>
  <c r="AO97" i="38"/>
  <c r="AN97" i="38"/>
  <c r="AM97" i="38"/>
  <c r="AL97" i="38"/>
  <c r="AC97" i="38"/>
  <c r="AB97" i="38"/>
  <c r="AA97" i="38"/>
  <c r="Z97" i="38"/>
  <c r="W97" i="38"/>
  <c r="V97" i="38"/>
  <c r="U97" i="38"/>
  <c r="T97" i="38"/>
  <c r="Q97" i="38"/>
  <c r="P97" i="38"/>
  <c r="O97" i="38"/>
  <c r="N97" i="38"/>
  <c r="K97" i="38"/>
  <c r="J97" i="38"/>
  <c r="I97" i="38"/>
  <c r="H97" i="38"/>
  <c r="E97" i="38"/>
  <c r="D97" i="38"/>
  <c r="C97" i="38"/>
  <c r="AY97" i="38" s="1"/>
  <c r="B97" i="38"/>
  <c r="AO96" i="38"/>
  <c r="AN96" i="38"/>
  <c r="AM96" i="38"/>
  <c r="AL96" i="38"/>
  <c r="AC96" i="38"/>
  <c r="AB96" i="38"/>
  <c r="AA96" i="38"/>
  <c r="Z96" i="38"/>
  <c r="W96" i="38"/>
  <c r="V96" i="38"/>
  <c r="U96" i="38"/>
  <c r="T96" i="38"/>
  <c r="Q96" i="38"/>
  <c r="P96" i="38"/>
  <c r="O96" i="38"/>
  <c r="N96" i="38"/>
  <c r="K96" i="38"/>
  <c r="J96" i="38"/>
  <c r="I96" i="38"/>
  <c r="H96" i="38"/>
  <c r="E96" i="38"/>
  <c r="D96" i="38"/>
  <c r="C96" i="38"/>
  <c r="AY96" i="38" s="1"/>
  <c r="B96" i="38"/>
  <c r="AO95" i="38"/>
  <c r="AN95" i="38"/>
  <c r="AM95" i="38"/>
  <c r="AC95" i="38"/>
  <c r="AB95" i="38"/>
  <c r="AA95" i="38"/>
  <c r="W95" i="38"/>
  <c r="V95" i="38"/>
  <c r="U95" i="38"/>
  <c r="T95" i="38"/>
  <c r="Q95" i="38"/>
  <c r="P95" i="38"/>
  <c r="O95" i="38"/>
  <c r="N95" i="38"/>
  <c r="K95" i="38"/>
  <c r="J95" i="38"/>
  <c r="I95" i="38"/>
  <c r="E95" i="38"/>
  <c r="D95" i="38"/>
  <c r="AZ95" i="38" s="1"/>
  <c r="C95" i="38"/>
  <c r="B95" i="38"/>
  <c r="AO94" i="38"/>
  <c r="AN94" i="38"/>
  <c r="AC94" i="38"/>
  <c r="AB94" i="38"/>
  <c r="W94" i="38"/>
  <c r="V94" i="38"/>
  <c r="Q94" i="38"/>
  <c r="P94" i="38"/>
  <c r="K94" i="38"/>
  <c r="J94" i="38"/>
  <c r="E94" i="38"/>
  <c r="D94" i="38"/>
  <c r="AO93" i="38"/>
  <c r="AN93" i="38"/>
  <c r="AC93" i="38"/>
  <c r="AB93" i="38"/>
  <c r="W93" i="38"/>
  <c r="V93" i="38"/>
  <c r="Q93" i="38"/>
  <c r="P93" i="38"/>
  <c r="K93" i="38"/>
  <c r="J93" i="38"/>
  <c r="E93" i="38"/>
  <c r="D93" i="38"/>
  <c r="AO92" i="38"/>
  <c r="AN92" i="38"/>
  <c r="AC92" i="38"/>
  <c r="AB92" i="38"/>
  <c r="W92" i="38"/>
  <c r="V92" i="38"/>
  <c r="Q92" i="38"/>
  <c r="P92" i="38"/>
  <c r="K92" i="38"/>
  <c r="J92" i="38"/>
  <c r="E92" i="38"/>
  <c r="D92" i="38"/>
  <c r="AO91" i="38"/>
  <c r="AC91" i="38"/>
  <c r="W91" i="38"/>
  <c r="Q91" i="38"/>
  <c r="K91" i="38"/>
  <c r="E91" i="38"/>
  <c r="BA91" i="38" s="1"/>
  <c r="AO90" i="38"/>
  <c r="AC90" i="38"/>
  <c r="W90" i="38"/>
  <c r="Q90" i="38"/>
  <c r="K90" i="38"/>
  <c r="E90" i="38"/>
  <c r="AN89" i="38"/>
  <c r="AB89" i="38"/>
  <c r="V89" i="38"/>
  <c r="P89" i="38"/>
  <c r="J89" i="38"/>
  <c r="D89" i="38"/>
  <c r="AO88" i="38"/>
  <c r="AN88" i="38"/>
  <c r="AM88" i="38"/>
  <c r="AC88" i="38"/>
  <c r="AB88" i="38"/>
  <c r="AA88" i="38"/>
  <c r="W88" i="38"/>
  <c r="V88" i="38"/>
  <c r="U88" i="38"/>
  <c r="Q88" i="38"/>
  <c r="P88" i="38"/>
  <c r="O88" i="38"/>
  <c r="K88" i="38"/>
  <c r="J88" i="38"/>
  <c r="I88" i="38"/>
  <c r="E88" i="38"/>
  <c r="D88" i="38"/>
  <c r="C88" i="38"/>
  <c r="AO87" i="38"/>
  <c r="AN87" i="38"/>
  <c r="AM87" i="38"/>
  <c r="AC87" i="38"/>
  <c r="AB87" i="38"/>
  <c r="AA87" i="38"/>
  <c r="W87" i="38"/>
  <c r="V87" i="38"/>
  <c r="U87" i="38"/>
  <c r="Q87" i="38"/>
  <c r="P87" i="38"/>
  <c r="O87" i="38"/>
  <c r="K87" i="38"/>
  <c r="J87" i="38"/>
  <c r="I87" i="38"/>
  <c r="E87" i="38"/>
  <c r="D87" i="38"/>
  <c r="C87" i="38"/>
  <c r="AP84" i="38"/>
  <c r="AP97" i="38" s="1"/>
  <c r="AD84" i="38"/>
  <c r="X84" i="38"/>
  <c r="R84" i="38"/>
  <c r="L84" i="38"/>
  <c r="F84" i="38"/>
  <c r="AP83" i="38"/>
  <c r="AP96" i="38" s="1"/>
  <c r="AD83" i="38"/>
  <c r="X83" i="38"/>
  <c r="R83" i="38"/>
  <c r="L83" i="38"/>
  <c r="F83" i="38"/>
  <c r="X82" i="38"/>
  <c r="R82" i="38"/>
  <c r="F82" i="38"/>
  <c r="AL94" i="38"/>
  <c r="T94" i="38"/>
  <c r="N94" i="38"/>
  <c r="H94" i="38"/>
  <c r="AM93" i="38"/>
  <c r="AL93" i="38"/>
  <c r="Z93" i="38"/>
  <c r="N93" i="38"/>
  <c r="H93" i="38"/>
  <c r="B93" i="38"/>
  <c r="AM92" i="38"/>
  <c r="AL92" i="38"/>
  <c r="Z92" i="38"/>
  <c r="T92" i="38"/>
  <c r="N92" i="38"/>
  <c r="B92" i="38"/>
  <c r="AN78" i="38"/>
  <c r="AN91" i="38" s="1"/>
  <c r="AM78" i="38"/>
  <c r="AM91" i="38" s="1"/>
  <c r="AL78" i="38"/>
  <c r="AA78" i="38"/>
  <c r="AA91" i="38" s="1"/>
  <c r="Z78" i="38"/>
  <c r="U78" i="38"/>
  <c r="U91" i="38" s="1"/>
  <c r="T78" i="38"/>
  <c r="O78" i="38"/>
  <c r="O91" i="38" s="1"/>
  <c r="N78" i="38"/>
  <c r="I78" i="38"/>
  <c r="I91" i="38" s="1"/>
  <c r="H78" i="38"/>
  <c r="C78" i="38"/>
  <c r="B78" i="38"/>
  <c r="AN77" i="38"/>
  <c r="AN90" i="38" s="1"/>
  <c r="AM77" i="38"/>
  <c r="AL77" i="38"/>
  <c r="AL90" i="38" s="1"/>
  <c r="AA77" i="38"/>
  <c r="Z77" i="38"/>
  <c r="Z90" i="38" s="1"/>
  <c r="U77" i="38"/>
  <c r="T77" i="38"/>
  <c r="T90" i="38" s="1"/>
  <c r="O77" i="38"/>
  <c r="N77" i="38"/>
  <c r="N90" i="38" s="1"/>
  <c r="I77" i="38"/>
  <c r="H77" i="38"/>
  <c r="H90" i="38" s="1"/>
  <c r="C77" i="38"/>
  <c r="B77" i="38"/>
  <c r="AM76" i="38"/>
  <c r="AM89" i="38" s="1"/>
  <c r="AL76" i="38"/>
  <c r="AL89" i="38" s="1"/>
  <c r="AA76" i="38"/>
  <c r="AA89" i="38" s="1"/>
  <c r="Z76" i="38"/>
  <c r="Z89" i="38" s="1"/>
  <c r="U76" i="38"/>
  <c r="T76" i="38"/>
  <c r="T89" i="38" s="1"/>
  <c r="O76" i="38"/>
  <c r="O89" i="38" s="1"/>
  <c r="N76" i="38"/>
  <c r="N89" i="38" s="1"/>
  <c r="I76" i="38"/>
  <c r="I89" i="38" s="1"/>
  <c r="H76" i="38"/>
  <c r="H89" i="38" s="1"/>
  <c r="C76" i="38"/>
  <c r="B76" i="38"/>
  <c r="AP73" i="38"/>
  <c r="AO73" i="38"/>
  <c r="AM73" i="38"/>
  <c r="AL73" i="38"/>
  <c r="AD73" i="38"/>
  <c r="AC73" i="38"/>
  <c r="AA73" i="38"/>
  <c r="Z73" i="38"/>
  <c r="X73" i="38"/>
  <c r="W73" i="38"/>
  <c r="U73" i="38"/>
  <c r="T73" i="38"/>
  <c r="R73" i="38"/>
  <c r="Q73" i="38"/>
  <c r="O73" i="38"/>
  <c r="N73" i="38"/>
  <c r="L73" i="38"/>
  <c r="K73" i="38"/>
  <c r="I73" i="38"/>
  <c r="H73" i="38"/>
  <c r="F73" i="38"/>
  <c r="E73" i="38"/>
  <c r="C73" i="38"/>
  <c r="B73" i="38"/>
  <c r="AO62" i="38"/>
  <c r="AO65" i="38" s="1"/>
  <c r="AN62" i="38"/>
  <c r="AN65" i="38" s="1"/>
  <c r="AM62" i="38"/>
  <c r="AM65" i="38" s="1"/>
  <c r="AL62" i="38"/>
  <c r="AL65" i="38" s="1"/>
  <c r="AC62" i="38"/>
  <c r="AC65" i="38" s="1"/>
  <c r="AB62" i="38"/>
  <c r="AB65" i="38" s="1"/>
  <c r="AA62" i="38"/>
  <c r="AA65" i="38" s="1"/>
  <c r="Z62" i="38"/>
  <c r="Z65" i="38" s="1"/>
  <c r="W62" i="38"/>
  <c r="W65" i="38" s="1"/>
  <c r="V62" i="38"/>
  <c r="V65" i="38" s="1"/>
  <c r="U62" i="38"/>
  <c r="U65" i="38" s="1"/>
  <c r="T62" i="38"/>
  <c r="T65" i="38" s="1"/>
  <c r="Q62" i="38"/>
  <c r="Q65" i="38" s="1"/>
  <c r="P62" i="38"/>
  <c r="P65" i="38" s="1"/>
  <c r="O62" i="38"/>
  <c r="O65" i="38" s="1"/>
  <c r="N62" i="38"/>
  <c r="N65" i="38" s="1"/>
  <c r="K62" i="38"/>
  <c r="K65" i="38" s="1"/>
  <c r="J62" i="38"/>
  <c r="J65" i="38" s="1"/>
  <c r="I62" i="38"/>
  <c r="I65" i="38" s="1"/>
  <c r="H62" i="38"/>
  <c r="H65" i="38" s="1"/>
  <c r="E62" i="38"/>
  <c r="E65" i="38" s="1"/>
  <c r="D62" i="38"/>
  <c r="D65" i="38" s="1"/>
  <c r="C62" i="38"/>
  <c r="C65" i="38" s="1"/>
  <c r="B62" i="38"/>
  <c r="B65" i="38" s="1"/>
  <c r="X62" i="38"/>
  <c r="X65" i="38" s="1"/>
  <c r="AP41" i="38"/>
  <c r="AO41" i="38"/>
  <c r="AN41" i="38"/>
  <c r="AM41" i="38"/>
  <c r="AL41" i="38"/>
  <c r="AD41" i="38"/>
  <c r="AC41" i="38"/>
  <c r="AB41" i="38"/>
  <c r="AA41" i="38"/>
  <c r="Z41" i="38"/>
  <c r="X41" i="38"/>
  <c r="W41" i="38"/>
  <c r="V41" i="38"/>
  <c r="U41" i="38"/>
  <c r="T41" i="38"/>
  <c r="R41" i="38"/>
  <c r="Q41" i="38"/>
  <c r="P41" i="38"/>
  <c r="O41" i="38"/>
  <c r="N41" i="38"/>
  <c r="L41" i="38"/>
  <c r="K41" i="38"/>
  <c r="J41" i="38"/>
  <c r="I41" i="38"/>
  <c r="H41" i="38"/>
  <c r="F41" i="38"/>
  <c r="E41" i="38"/>
  <c r="D41" i="38"/>
  <c r="C41" i="38"/>
  <c r="B41" i="38"/>
  <c r="AO39" i="38"/>
  <c r="AO137" i="38" s="1"/>
  <c r="AN39" i="38"/>
  <c r="AN137" i="38" s="1"/>
  <c r="AM39" i="38"/>
  <c r="AM64" i="38" s="1"/>
  <c r="AL39" i="38"/>
  <c r="AL137" i="38" s="1"/>
  <c r="AP137" i="38" s="1"/>
  <c r="AC39" i="38"/>
  <c r="AB39" i="38"/>
  <c r="AA39" i="38"/>
  <c r="Z39" i="38"/>
  <c r="W39" i="38"/>
  <c r="V39" i="38"/>
  <c r="U39" i="38"/>
  <c r="T39" i="38"/>
  <c r="Q39" i="38"/>
  <c r="P39" i="38"/>
  <c r="O39" i="38"/>
  <c r="N39" i="38"/>
  <c r="K39" i="38"/>
  <c r="J39" i="38"/>
  <c r="I39" i="38"/>
  <c r="H39" i="38"/>
  <c r="E39" i="38"/>
  <c r="D39" i="38"/>
  <c r="C39" i="38"/>
  <c r="B39" i="38"/>
  <c r="AP38" i="38"/>
  <c r="AD38" i="38"/>
  <c r="F38" i="51" s="1"/>
  <c r="X38" i="38"/>
  <c r="F38" i="52" s="1"/>
  <c r="R38" i="38"/>
  <c r="F38" i="53" s="1"/>
  <c r="L38" i="38"/>
  <c r="F38" i="50" s="1"/>
  <c r="F38" i="38"/>
  <c r="F38" i="49" s="1"/>
  <c r="AP37" i="38"/>
  <c r="AD37" i="38"/>
  <c r="F37" i="51" s="1"/>
  <c r="X37" i="38"/>
  <c r="F37" i="52" s="1"/>
  <c r="R37" i="38"/>
  <c r="F37" i="53" s="1"/>
  <c r="L37" i="38"/>
  <c r="F37" i="50" s="1"/>
  <c r="F37" i="38"/>
  <c r="F37" i="49" s="1"/>
  <c r="AP36" i="38"/>
  <c r="AD36" i="38"/>
  <c r="F36" i="51" s="1"/>
  <c r="X36" i="38"/>
  <c r="F36" i="52" s="1"/>
  <c r="R36" i="38"/>
  <c r="F36" i="53" s="1"/>
  <c r="L36" i="38"/>
  <c r="F36" i="50" s="1"/>
  <c r="F36" i="38"/>
  <c r="F36" i="49" s="1"/>
  <c r="AP35" i="38"/>
  <c r="AD35" i="38"/>
  <c r="F35" i="51" s="1"/>
  <c r="X35" i="38"/>
  <c r="F35" i="52" s="1"/>
  <c r="R35" i="38"/>
  <c r="F35" i="53" s="1"/>
  <c r="L35" i="38"/>
  <c r="F35" i="50" s="1"/>
  <c r="F35" i="38"/>
  <c r="F35" i="49" s="1"/>
  <c r="AP34" i="38"/>
  <c r="AD34" i="38"/>
  <c r="F34" i="51" s="1"/>
  <c r="X34" i="38"/>
  <c r="F34" i="52" s="1"/>
  <c r="R34" i="38"/>
  <c r="F34" i="53" s="1"/>
  <c r="L34" i="38"/>
  <c r="F34" i="50" s="1"/>
  <c r="F34" i="38"/>
  <c r="F34" i="49" s="1"/>
  <c r="AP33" i="38"/>
  <c r="AD33" i="38"/>
  <c r="F33" i="51" s="1"/>
  <c r="X33" i="38"/>
  <c r="F33" i="52" s="1"/>
  <c r="R33" i="38"/>
  <c r="F33" i="53" s="1"/>
  <c r="L33" i="38"/>
  <c r="F33" i="50" s="1"/>
  <c r="F33" i="38"/>
  <c r="F33" i="49" s="1"/>
  <c r="AP32" i="38"/>
  <c r="AD32" i="38"/>
  <c r="F32" i="51" s="1"/>
  <c r="X32" i="38"/>
  <c r="F32" i="52" s="1"/>
  <c r="R32" i="38"/>
  <c r="F32" i="53" s="1"/>
  <c r="L32" i="38"/>
  <c r="F32" i="50" s="1"/>
  <c r="F32" i="38"/>
  <c r="F32" i="49" s="1"/>
  <c r="AP31" i="38"/>
  <c r="AD31" i="38"/>
  <c r="F31" i="51" s="1"/>
  <c r="X31" i="38"/>
  <c r="F31" i="52" s="1"/>
  <c r="R31" i="38"/>
  <c r="F31" i="53" s="1"/>
  <c r="L31" i="38"/>
  <c r="F31" i="50" s="1"/>
  <c r="F31" i="38"/>
  <c r="F31" i="49" s="1"/>
  <c r="AP30" i="38"/>
  <c r="AD30" i="38"/>
  <c r="F30" i="51" s="1"/>
  <c r="X30" i="38"/>
  <c r="F30" i="52" s="1"/>
  <c r="R30" i="38"/>
  <c r="F30" i="53" s="1"/>
  <c r="L30" i="38"/>
  <c r="F30" i="50" s="1"/>
  <c r="F30" i="38"/>
  <c r="F30" i="49" s="1"/>
  <c r="AP29" i="38"/>
  <c r="AQ29" i="38" s="1"/>
  <c r="AD29" i="38"/>
  <c r="F29" i="51" s="1"/>
  <c r="X29" i="38"/>
  <c r="F29" i="52" s="1"/>
  <c r="R29" i="38"/>
  <c r="F29" i="53" s="1"/>
  <c r="L29" i="38"/>
  <c r="F29" i="50" s="1"/>
  <c r="F29" i="38"/>
  <c r="F29" i="49" s="1"/>
  <c r="AP27" i="38"/>
  <c r="AD27" i="38"/>
  <c r="X27" i="38"/>
  <c r="R27" i="38"/>
  <c r="L27" i="38"/>
  <c r="F27" i="38"/>
  <c r="AP26" i="38"/>
  <c r="AP25" i="38"/>
  <c r="AD25" i="38"/>
  <c r="F25" i="51" s="1"/>
  <c r="X25" i="38"/>
  <c r="F25" i="52" s="1"/>
  <c r="R25" i="38"/>
  <c r="F25" i="53" s="1"/>
  <c r="L25" i="38"/>
  <c r="F25" i="50" s="1"/>
  <c r="F25" i="38"/>
  <c r="F25" i="49" s="1"/>
  <c r="AP24" i="38"/>
  <c r="AP23" i="38"/>
  <c r="AP22" i="38"/>
  <c r="AL19" i="38"/>
  <c r="AP18" i="38"/>
  <c r="AD18" i="38"/>
  <c r="F18" i="51" s="1"/>
  <c r="X18" i="38"/>
  <c r="F18" i="52" s="1"/>
  <c r="R18" i="38"/>
  <c r="F18" i="53" s="1"/>
  <c r="L18" i="38"/>
  <c r="F18" i="50" s="1"/>
  <c r="F18" i="38"/>
  <c r="F18" i="49" s="1"/>
  <c r="AP17" i="38"/>
  <c r="AD17" i="38"/>
  <c r="F17" i="51" s="1"/>
  <c r="X17" i="38"/>
  <c r="F17" i="52" s="1"/>
  <c r="R17" i="38"/>
  <c r="F17" i="53" s="1"/>
  <c r="L17" i="38"/>
  <c r="F17" i="50" s="1"/>
  <c r="F17" i="38"/>
  <c r="F17" i="49" s="1"/>
  <c r="AP16" i="38"/>
  <c r="Z16" i="38"/>
  <c r="AX16" i="38" s="1"/>
  <c r="BB16" i="38" s="1"/>
  <c r="X16" i="38"/>
  <c r="F16" i="52" s="1"/>
  <c r="R16" i="38"/>
  <c r="F16" i="53" s="1"/>
  <c r="L16" i="38"/>
  <c r="F16" i="50" s="1"/>
  <c r="F16" i="38"/>
  <c r="F16" i="49" s="1"/>
  <c r="AP15" i="38"/>
  <c r="Z15" i="38"/>
  <c r="AD15" i="38" s="1"/>
  <c r="X15" i="38"/>
  <c r="F15" i="52" s="1"/>
  <c r="R15" i="38"/>
  <c r="F15" i="53" s="1"/>
  <c r="H15" i="38"/>
  <c r="F15" i="38"/>
  <c r="F15" i="49" s="1"/>
  <c r="AP14" i="38"/>
  <c r="Z14" i="38"/>
  <c r="AD14" i="38" s="1"/>
  <c r="N14" i="38"/>
  <c r="R14" i="38" s="1"/>
  <c r="H14" i="38"/>
  <c r="F14" i="38"/>
  <c r="F14" i="49" s="1"/>
  <c r="AP13" i="38"/>
  <c r="Z13" i="38"/>
  <c r="AD13" i="38" s="1"/>
  <c r="N13" i="38"/>
  <c r="R13" i="38" s="1"/>
  <c r="H13" i="38"/>
  <c r="F13" i="38"/>
  <c r="F13" i="49" s="1"/>
  <c r="AP12" i="38"/>
  <c r="N12" i="38"/>
  <c r="R12" i="38" s="1"/>
  <c r="H12" i="38"/>
  <c r="F12" i="38"/>
  <c r="F12" i="49" s="1"/>
  <c r="AP11" i="38"/>
  <c r="Z11" i="38"/>
  <c r="AD11" i="38" s="1"/>
  <c r="X11" i="38"/>
  <c r="R11" i="38"/>
  <c r="H11" i="38"/>
  <c r="F11" i="38"/>
  <c r="AP10" i="38"/>
  <c r="Z10" i="38"/>
  <c r="AD10" i="38" s="1"/>
  <c r="X10" i="38"/>
  <c r="N10" i="38"/>
  <c r="R10" i="38" s="1"/>
  <c r="H10" i="38"/>
  <c r="F10" i="38"/>
  <c r="AP9" i="38"/>
  <c r="Z9" i="38"/>
  <c r="AD9" i="38" s="1"/>
  <c r="X9" i="38"/>
  <c r="R9" i="38"/>
  <c r="H9" i="38"/>
  <c r="AP8" i="38"/>
  <c r="Z8" i="38"/>
  <c r="AD8" i="38" s="1"/>
  <c r="X8" i="38"/>
  <c r="N8" i="38"/>
  <c r="R8" i="38" s="1"/>
  <c r="H8" i="38"/>
  <c r="F8" i="38"/>
  <c r="AP7" i="38"/>
  <c r="Z7" i="38"/>
  <c r="AD7" i="38" s="1"/>
  <c r="X7" i="38"/>
  <c r="N7" i="38"/>
  <c r="R7" i="38" s="1"/>
  <c r="L7" i="38"/>
  <c r="H7" i="38"/>
  <c r="AX7" i="38" s="1"/>
  <c r="BB7" i="38" s="1"/>
  <c r="AP6" i="38"/>
  <c r="Z6" i="38"/>
  <c r="N6" i="38"/>
  <c r="R6" i="38" s="1"/>
  <c r="H6" i="38"/>
  <c r="F6" i="38"/>
  <c r="AL5" i="38"/>
  <c r="AL74" i="38" s="1"/>
  <c r="AP74" i="38" s="1"/>
  <c r="F3" i="39"/>
  <c r="AP3" i="38"/>
  <c r="AD3" i="38"/>
  <c r="X3" i="38"/>
  <c r="R3" i="38"/>
  <c r="L3" i="38"/>
  <c r="F3" i="38"/>
  <c r="AP2" i="38"/>
  <c r="AD2" i="38"/>
  <c r="F2" i="51" s="1"/>
  <c r="X2" i="38"/>
  <c r="F2" i="52" s="1"/>
  <c r="R2" i="38"/>
  <c r="F2" i="53" s="1"/>
  <c r="L2" i="38"/>
  <c r="F2" i="50" s="1"/>
  <c r="F2" i="38"/>
  <c r="F2" i="49" s="1"/>
  <c r="Z16" i="37"/>
  <c r="AX16" i="37" s="1"/>
  <c r="BB16" i="37" s="1"/>
  <c r="AS94" i="37"/>
  <c r="AV218" i="37"/>
  <c r="AV217" i="37"/>
  <c r="AV216" i="37"/>
  <c r="AV215" i="37"/>
  <c r="AV214" i="37"/>
  <c r="AV213" i="37"/>
  <c r="AV212" i="37"/>
  <c r="AV211" i="37"/>
  <c r="AV210" i="37"/>
  <c r="AV209" i="37"/>
  <c r="AU205" i="37"/>
  <c r="AT205" i="37"/>
  <c r="AS205" i="37"/>
  <c r="AR205" i="37"/>
  <c r="AV204" i="37"/>
  <c r="AV203" i="37"/>
  <c r="AV202" i="37"/>
  <c r="AV201" i="37"/>
  <c r="AV199" i="37"/>
  <c r="AV198" i="37"/>
  <c r="AV197" i="37"/>
  <c r="AV196" i="37"/>
  <c r="AV195" i="37"/>
  <c r="AV194" i="37"/>
  <c r="AT192" i="37"/>
  <c r="AS192" i="37"/>
  <c r="AV191" i="37"/>
  <c r="AV190" i="37"/>
  <c r="AV189" i="37"/>
  <c r="AV188" i="37"/>
  <c r="AV187" i="37"/>
  <c r="AR186" i="37"/>
  <c r="AV185" i="37"/>
  <c r="AV184" i="37"/>
  <c r="AR183" i="37"/>
  <c r="AV182" i="37"/>
  <c r="AV193" i="37" s="1"/>
  <c r="AU182" i="37"/>
  <c r="AU193" i="37" s="1"/>
  <c r="AT182" i="37"/>
  <c r="AT193" i="37" s="1"/>
  <c r="AS182" i="37"/>
  <c r="AS193" i="37" s="1"/>
  <c r="AR182" i="37"/>
  <c r="AR193" i="37" s="1"/>
  <c r="AU181" i="37"/>
  <c r="AT181" i="37"/>
  <c r="AS181" i="37"/>
  <c r="AR180" i="37"/>
  <c r="AV180" i="37" s="1"/>
  <c r="AR179" i="37"/>
  <c r="AV178" i="37"/>
  <c r="AU176" i="37"/>
  <c r="AT176" i="37"/>
  <c r="AS176" i="37"/>
  <c r="AR176" i="37"/>
  <c r="AV174" i="37"/>
  <c r="AV173" i="37"/>
  <c r="AV172" i="37"/>
  <c r="AV171" i="37"/>
  <c r="AV170" i="37"/>
  <c r="AV169" i="37"/>
  <c r="AV162" i="37"/>
  <c r="AV160" i="37"/>
  <c r="AR159" i="37"/>
  <c r="AV159" i="37" s="1"/>
  <c r="AS153" i="37"/>
  <c r="AV153" i="37" s="1"/>
  <c r="AV152" i="37"/>
  <c r="AV168" i="37" s="1"/>
  <c r="AU152" i="37"/>
  <c r="AU168" i="37" s="1"/>
  <c r="AT152" i="37"/>
  <c r="AT168" i="37" s="1"/>
  <c r="AS152" i="37"/>
  <c r="AS168" i="37" s="1"/>
  <c r="AR152" i="37"/>
  <c r="AR168" i="37" s="1"/>
  <c r="AU151" i="37"/>
  <c r="AV150" i="37"/>
  <c r="AT149" i="37"/>
  <c r="AT151" i="37" s="1"/>
  <c r="AS149" i="37"/>
  <c r="AR149" i="37"/>
  <c r="AS148" i="37"/>
  <c r="AS147" i="37"/>
  <c r="AV147" i="37" s="1"/>
  <c r="AS145" i="37"/>
  <c r="AR144" i="37"/>
  <c r="AR142" i="37"/>
  <c r="AV140" i="37"/>
  <c r="AU140" i="37"/>
  <c r="AT140" i="37"/>
  <c r="AS140" i="37"/>
  <c r="AR140" i="37"/>
  <c r="AU128" i="37"/>
  <c r="AT128" i="37"/>
  <c r="AS128" i="37"/>
  <c r="AR128" i="37"/>
  <c r="AV125" i="37"/>
  <c r="AV124" i="37"/>
  <c r="AV123" i="37"/>
  <c r="AV122" i="37"/>
  <c r="AV121" i="37"/>
  <c r="AV120" i="37"/>
  <c r="AV119" i="37"/>
  <c r="AV118" i="37"/>
  <c r="AV117" i="37"/>
  <c r="AU117" i="37"/>
  <c r="AT117" i="37"/>
  <c r="AS117" i="37"/>
  <c r="AR117" i="37"/>
  <c r="AS115" i="37"/>
  <c r="AR115" i="37"/>
  <c r="AX115" i="37" s="1"/>
  <c r="AR114" i="37"/>
  <c r="AX114" i="37" s="1"/>
  <c r="BB114" i="37" s="1"/>
  <c r="AU113" i="37"/>
  <c r="AT113" i="37"/>
  <c r="AZ113" i="37" s="1"/>
  <c r="AS113" i="37"/>
  <c r="AY113" i="37" s="1"/>
  <c r="AR113" i="37"/>
  <c r="AX113" i="37" s="1"/>
  <c r="AV112" i="37"/>
  <c r="AR111" i="37"/>
  <c r="AV111" i="37" s="1"/>
  <c r="AT110" i="37"/>
  <c r="AZ110" i="37" s="1"/>
  <c r="AV109" i="37"/>
  <c r="AR107" i="37"/>
  <c r="AV107" i="37" s="1"/>
  <c r="AV106" i="37"/>
  <c r="AR105" i="37"/>
  <c r="AV104" i="37"/>
  <c r="AV103" i="37"/>
  <c r="AV101" i="37"/>
  <c r="AU101" i="37"/>
  <c r="AT101" i="37"/>
  <c r="AS101" i="37"/>
  <c r="AR101" i="37"/>
  <c r="AU98" i="37"/>
  <c r="AU97" i="37"/>
  <c r="AT97" i="37"/>
  <c r="AS97" i="37"/>
  <c r="AR97" i="37"/>
  <c r="AU96" i="37"/>
  <c r="AT96" i="37"/>
  <c r="AS96" i="37"/>
  <c r="AR96" i="37"/>
  <c r="AU95" i="37"/>
  <c r="AT95" i="37"/>
  <c r="AS95" i="37"/>
  <c r="AR95" i="37"/>
  <c r="AU94" i="37"/>
  <c r="AT94" i="37"/>
  <c r="AU93" i="37"/>
  <c r="AT93" i="37"/>
  <c r="AS93" i="37"/>
  <c r="AU92" i="37"/>
  <c r="AT92" i="37"/>
  <c r="AU91" i="37"/>
  <c r="AU90" i="37"/>
  <c r="AT89" i="37"/>
  <c r="AT88" i="37"/>
  <c r="AS88" i="37"/>
  <c r="AU87" i="37"/>
  <c r="AT87" i="37"/>
  <c r="AS87" i="37"/>
  <c r="AV84" i="37"/>
  <c r="AV83" i="37"/>
  <c r="AV82" i="37"/>
  <c r="AR94" i="37"/>
  <c r="AR92" i="37"/>
  <c r="AT78" i="37"/>
  <c r="AT91" i="37" s="1"/>
  <c r="AS78" i="37"/>
  <c r="AS91" i="37" s="1"/>
  <c r="AR78" i="37"/>
  <c r="AR91" i="37" s="1"/>
  <c r="AT77" i="37"/>
  <c r="AT90" i="37" s="1"/>
  <c r="AS77" i="37"/>
  <c r="AS90" i="37" s="1"/>
  <c r="AR77" i="37"/>
  <c r="AR90" i="37" s="1"/>
  <c r="AS76" i="37"/>
  <c r="AS89" i="37" s="1"/>
  <c r="AR76" i="37"/>
  <c r="AR89" i="37" s="1"/>
  <c r="AV73" i="37"/>
  <c r="AU73" i="37"/>
  <c r="AS73" i="37"/>
  <c r="AR73" i="37"/>
  <c r="AU62" i="37"/>
  <c r="AU65" i="37" s="1"/>
  <c r="AT62" i="37"/>
  <c r="AT65" i="37" s="1"/>
  <c r="AS62" i="37"/>
  <c r="AS65" i="37" s="1"/>
  <c r="AR62" i="37"/>
  <c r="AR65" i="37" s="1"/>
  <c r="AV41" i="37"/>
  <c r="AU41" i="37"/>
  <c r="AT41" i="37"/>
  <c r="AS41" i="37"/>
  <c r="AR41" i="37"/>
  <c r="AU39" i="37"/>
  <c r="AT39" i="37"/>
  <c r="AT137" i="37" s="1"/>
  <c r="AS39" i="37"/>
  <c r="AS64" i="37" s="1"/>
  <c r="AR39" i="37"/>
  <c r="AR137" i="37" s="1"/>
  <c r="AV38" i="37"/>
  <c r="AV37" i="37"/>
  <c r="AV36" i="37"/>
  <c r="AV35" i="37"/>
  <c r="AV34" i="37"/>
  <c r="AV33" i="37"/>
  <c r="AV32" i="37"/>
  <c r="AV31" i="37"/>
  <c r="AV30" i="37"/>
  <c r="AV29" i="37"/>
  <c r="AV27" i="37"/>
  <c r="AV26" i="37"/>
  <c r="AV25" i="37"/>
  <c r="AV24" i="37"/>
  <c r="AV23" i="37"/>
  <c r="AV22" i="37"/>
  <c r="AR19" i="37"/>
  <c r="AV18" i="37"/>
  <c r="AV17" i="37"/>
  <c r="AV16" i="37"/>
  <c r="AV15" i="37"/>
  <c r="AV14" i="37"/>
  <c r="AV13" i="37"/>
  <c r="AV12" i="37"/>
  <c r="AV11" i="37"/>
  <c r="AV10" i="37"/>
  <c r="AV9" i="37"/>
  <c r="AV8" i="37"/>
  <c r="AV7" i="37"/>
  <c r="AV6" i="37"/>
  <c r="AR5" i="37"/>
  <c r="AV3" i="37"/>
  <c r="AV2" i="37"/>
  <c r="AV223" i="37"/>
  <c r="AU223" i="37"/>
  <c r="AT223" i="37"/>
  <c r="AS223" i="37"/>
  <c r="AR223" i="37"/>
  <c r="AP223" i="37"/>
  <c r="AO223" i="37"/>
  <c r="AN223" i="37"/>
  <c r="AM223" i="37"/>
  <c r="AL223" i="37"/>
  <c r="AD223" i="37"/>
  <c r="AC223" i="37"/>
  <c r="AB223" i="37"/>
  <c r="AA223" i="37"/>
  <c r="Z223" i="37"/>
  <c r="X223" i="37"/>
  <c r="W223" i="37"/>
  <c r="V223" i="37"/>
  <c r="U223" i="37"/>
  <c r="T223" i="37"/>
  <c r="R223" i="37"/>
  <c r="Q223" i="37"/>
  <c r="P223" i="37"/>
  <c r="O223" i="37"/>
  <c r="N223" i="37"/>
  <c r="L223" i="37"/>
  <c r="K223" i="37"/>
  <c r="J223" i="37"/>
  <c r="I223" i="37"/>
  <c r="H223" i="37"/>
  <c r="F223" i="37"/>
  <c r="E223" i="37"/>
  <c r="D223" i="37"/>
  <c r="C223" i="37"/>
  <c r="B223" i="37"/>
  <c r="A223" i="37"/>
  <c r="AP218" i="37"/>
  <c r="AD218" i="37"/>
  <c r="X218" i="37"/>
  <c r="E218" i="52" s="1"/>
  <c r="R218" i="37"/>
  <c r="E218" i="53" s="1"/>
  <c r="L218" i="37"/>
  <c r="F218" i="37"/>
  <c r="AP217" i="37"/>
  <c r="AD217" i="37"/>
  <c r="E217" i="51" s="1"/>
  <c r="E234" i="51" s="1"/>
  <c r="X217" i="37"/>
  <c r="E217" i="52" s="1"/>
  <c r="E234" i="52" s="1"/>
  <c r="R217" i="37"/>
  <c r="E217" i="53" s="1"/>
  <c r="E234" i="53" s="1"/>
  <c r="L217" i="37"/>
  <c r="E217" i="50" s="1"/>
  <c r="E234" i="50" s="1"/>
  <c r="F217" i="37"/>
  <c r="E217" i="49" s="1"/>
  <c r="E234" i="49" s="1"/>
  <c r="AP216" i="37"/>
  <c r="AD216" i="37"/>
  <c r="E216" i="51" s="1"/>
  <c r="E233" i="51" s="1"/>
  <c r="X216" i="37"/>
  <c r="E216" i="52" s="1"/>
  <c r="E233" i="52" s="1"/>
  <c r="R216" i="37"/>
  <c r="E216" i="53" s="1"/>
  <c r="E233" i="53" s="1"/>
  <c r="L216" i="37"/>
  <c r="E216" i="50" s="1"/>
  <c r="E233" i="50" s="1"/>
  <c r="F216" i="37"/>
  <c r="E216" i="49" s="1"/>
  <c r="E233" i="49" s="1"/>
  <c r="AP215" i="37"/>
  <c r="AD215" i="37"/>
  <c r="E215" i="51" s="1"/>
  <c r="X215" i="37"/>
  <c r="E215" i="52" s="1"/>
  <c r="R215" i="37"/>
  <c r="E215" i="53" s="1"/>
  <c r="L215" i="37"/>
  <c r="E215" i="50" s="1"/>
  <c r="F215" i="37"/>
  <c r="E215" i="49" s="1"/>
  <c r="AP214" i="37"/>
  <c r="AD214" i="37"/>
  <c r="E214" i="51" s="1"/>
  <c r="X214" i="37"/>
  <c r="E214" i="52" s="1"/>
  <c r="R214" i="37"/>
  <c r="E214" i="53" s="1"/>
  <c r="L214" i="37"/>
  <c r="E214" i="50" s="1"/>
  <c r="F214" i="37"/>
  <c r="E214" i="49" s="1"/>
  <c r="AP213" i="37"/>
  <c r="AD213" i="37"/>
  <c r="E213" i="51" s="1"/>
  <c r="X213" i="37"/>
  <c r="E213" i="52" s="1"/>
  <c r="R213" i="37"/>
  <c r="E213" i="53" s="1"/>
  <c r="L213" i="37"/>
  <c r="E213" i="50" s="1"/>
  <c r="F213" i="37"/>
  <c r="E213" i="49" s="1"/>
  <c r="AP212" i="37"/>
  <c r="AD212" i="37"/>
  <c r="E212" i="51" s="1"/>
  <c r="X212" i="37"/>
  <c r="E212" i="52" s="1"/>
  <c r="R212" i="37"/>
  <c r="E212" i="53" s="1"/>
  <c r="L212" i="37"/>
  <c r="E212" i="50" s="1"/>
  <c r="F212" i="37"/>
  <c r="E212" i="49" s="1"/>
  <c r="AP211" i="37"/>
  <c r="AD211" i="37"/>
  <c r="E211" i="51" s="1"/>
  <c r="E232" i="51" s="1"/>
  <c r="X211" i="37"/>
  <c r="E211" i="52" s="1"/>
  <c r="E232" i="52" s="1"/>
  <c r="R211" i="37"/>
  <c r="E211" i="53" s="1"/>
  <c r="E232" i="53" s="1"/>
  <c r="L211" i="37"/>
  <c r="E211" i="50" s="1"/>
  <c r="E232" i="50" s="1"/>
  <c r="F211" i="37"/>
  <c r="E211" i="49" s="1"/>
  <c r="E232" i="49" s="1"/>
  <c r="AP210" i="37"/>
  <c r="AD210" i="37"/>
  <c r="E210" i="51" s="1"/>
  <c r="E231" i="51" s="1"/>
  <c r="R210" i="37"/>
  <c r="E210" i="53" s="1"/>
  <c r="E231" i="53" s="1"/>
  <c r="L210" i="37"/>
  <c r="E210" i="50" s="1"/>
  <c r="E231" i="50" s="1"/>
  <c r="F210" i="37"/>
  <c r="E210" i="49" s="1"/>
  <c r="E231" i="49" s="1"/>
  <c r="AP209" i="37"/>
  <c r="AD209" i="37"/>
  <c r="E209" i="51" s="1"/>
  <c r="E230" i="51" s="1"/>
  <c r="E235" i="51" s="1"/>
  <c r="X209" i="37"/>
  <c r="E209" i="52" s="1"/>
  <c r="E230" i="52" s="1"/>
  <c r="R209" i="37"/>
  <c r="E209" i="53" s="1"/>
  <c r="E230" i="53" s="1"/>
  <c r="L209" i="37"/>
  <c r="E209" i="50" s="1"/>
  <c r="E230" i="50" s="1"/>
  <c r="F209" i="37"/>
  <c r="E209" i="49" s="1"/>
  <c r="E230" i="49" s="1"/>
  <c r="AO205" i="37"/>
  <c r="AN205" i="37"/>
  <c r="AM205" i="37"/>
  <c r="AL205" i="37"/>
  <c r="AC205" i="37"/>
  <c r="AB205" i="37"/>
  <c r="AA205" i="37"/>
  <c r="W205" i="37"/>
  <c r="V205" i="37"/>
  <c r="U205" i="37"/>
  <c r="Q205" i="37"/>
  <c r="P205" i="37"/>
  <c r="O205" i="37"/>
  <c r="K205" i="37"/>
  <c r="J205" i="37"/>
  <c r="I205" i="37"/>
  <c r="E205" i="37"/>
  <c r="D205" i="37"/>
  <c r="C205" i="37"/>
  <c r="AP204" i="37"/>
  <c r="AP203" i="37"/>
  <c r="AD203" i="37"/>
  <c r="E203" i="51" s="1"/>
  <c r="X203" i="37"/>
  <c r="E203" i="52" s="1"/>
  <c r="R203" i="37"/>
  <c r="E203" i="53" s="1"/>
  <c r="L203" i="37"/>
  <c r="E203" i="50" s="1"/>
  <c r="F203" i="37"/>
  <c r="E203" i="49" s="1"/>
  <c r="AP202" i="37"/>
  <c r="AP201" i="37"/>
  <c r="AD201" i="37"/>
  <c r="E201" i="51" s="1"/>
  <c r="X201" i="37"/>
  <c r="E201" i="52" s="1"/>
  <c r="R201" i="37"/>
  <c r="E201" i="53" s="1"/>
  <c r="L201" i="37"/>
  <c r="E201" i="50" s="1"/>
  <c r="AP199" i="37"/>
  <c r="AP198" i="37"/>
  <c r="AP197" i="37"/>
  <c r="AP196" i="37"/>
  <c r="AP195" i="37"/>
  <c r="AD195" i="37"/>
  <c r="E195" i="51" s="1"/>
  <c r="X195" i="37"/>
  <c r="E195" i="52" s="1"/>
  <c r="R195" i="37"/>
  <c r="E195" i="53" s="1"/>
  <c r="L195" i="37"/>
  <c r="E195" i="50" s="1"/>
  <c r="AP194" i="37"/>
  <c r="AO192" i="37"/>
  <c r="AN192" i="37"/>
  <c r="AM192" i="37"/>
  <c r="AL192" i="37"/>
  <c r="AB192" i="37"/>
  <c r="AA192" i="37"/>
  <c r="V192" i="37"/>
  <c r="U192" i="37"/>
  <c r="P192" i="37"/>
  <c r="O192" i="37"/>
  <c r="J192" i="37"/>
  <c r="I192" i="37"/>
  <c r="D192" i="37"/>
  <c r="C192" i="37"/>
  <c r="AP191" i="37"/>
  <c r="AD191" i="37"/>
  <c r="E191" i="51" s="1"/>
  <c r="X191" i="37"/>
  <c r="E191" i="52" s="1"/>
  <c r="R191" i="37"/>
  <c r="E191" i="53" s="1"/>
  <c r="L191" i="37"/>
  <c r="E191" i="50" s="1"/>
  <c r="F191" i="37"/>
  <c r="E191" i="49" s="1"/>
  <c r="AP190" i="37"/>
  <c r="AD190" i="37"/>
  <c r="E190" i="51" s="1"/>
  <c r="X190" i="37"/>
  <c r="E190" i="52" s="1"/>
  <c r="R190" i="37"/>
  <c r="E190" i="53" s="1"/>
  <c r="L190" i="37"/>
  <c r="E190" i="50" s="1"/>
  <c r="F190" i="37"/>
  <c r="E190" i="49" s="1"/>
  <c r="AP189" i="37"/>
  <c r="AD189" i="37"/>
  <c r="E189" i="51" s="1"/>
  <c r="X189" i="37"/>
  <c r="E189" i="52" s="1"/>
  <c r="R189" i="37"/>
  <c r="E189" i="53" s="1"/>
  <c r="L189" i="37"/>
  <c r="E189" i="50" s="1"/>
  <c r="F189" i="37"/>
  <c r="E189" i="49" s="1"/>
  <c r="AP188" i="37"/>
  <c r="AD188" i="37"/>
  <c r="E188" i="51" s="1"/>
  <c r="X188" i="37"/>
  <c r="E188" i="52" s="1"/>
  <c r="R188" i="37"/>
  <c r="E188" i="53" s="1"/>
  <c r="L188" i="37"/>
  <c r="E188" i="50" s="1"/>
  <c r="F188" i="37"/>
  <c r="E188" i="49" s="1"/>
  <c r="AP187" i="37"/>
  <c r="AD187" i="37"/>
  <c r="E187" i="51" s="1"/>
  <c r="X187" i="37"/>
  <c r="E187" i="52" s="1"/>
  <c r="R187" i="37"/>
  <c r="E187" i="53" s="1"/>
  <c r="L187" i="37"/>
  <c r="E187" i="50" s="1"/>
  <c r="F187" i="37"/>
  <c r="E187" i="49" s="1"/>
  <c r="AP186" i="37"/>
  <c r="AD186" i="37"/>
  <c r="E186" i="51" s="1"/>
  <c r="X186" i="37"/>
  <c r="E186" i="52" s="1"/>
  <c r="R186" i="37"/>
  <c r="E186" i="53" s="1"/>
  <c r="L186" i="37"/>
  <c r="E186" i="50" s="1"/>
  <c r="F186" i="37"/>
  <c r="E186" i="49" s="1"/>
  <c r="AP185" i="37"/>
  <c r="AD185" i="37"/>
  <c r="E185" i="51" s="1"/>
  <c r="X185" i="37"/>
  <c r="E185" i="52" s="1"/>
  <c r="R185" i="37"/>
  <c r="E185" i="53" s="1"/>
  <c r="L185" i="37"/>
  <c r="E185" i="50" s="1"/>
  <c r="F185" i="37"/>
  <c r="E185" i="49" s="1"/>
  <c r="AP184" i="37"/>
  <c r="AD184" i="37"/>
  <c r="E184" i="51" s="1"/>
  <c r="X184" i="37"/>
  <c r="E184" i="52" s="1"/>
  <c r="R184" i="37"/>
  <c r="E184" i="53" s="1"/>
  <c r="L184" i="37"/>
  <c r="E184" i="50" s="1"/>
  <c r="F184" i="37"/>
  <c r="E184" i="49" s="1"/>
  <c r="AP183" i="37"/>
  <c r="Z183" i="37"/>
  <c r="Z192" i="37" s="1"/>
  <c r="T183" i="37"/>
  <c r="N183" i="37"/>
  <c r="N192" i="37" s="1"/>
  <c r="H183" i="37"/>
  <c r="H192" i="37" s="1"/>
  <c r="B183" i="37"/>
  <c r="AP182" i="37"/>
  <c r="AP193" i="37" s="1"/>
  <c r="AO182" i="37"/>
  <c r="AO193" i="37" s="1"/>
  <c r="AN182" i="37"/>
  <c r="AN193" i="37" s="1"/>
  <c r="AM182" i="37"/>
  <c r="AM193" i="37" s="1"/>
  <c r="AL182" i="37"/>
  <c r="AL193" i="37" s="1"/>
  <c r="AD182" i="37"/>
  <c r="AD193" i="37" s="1"/>
  <c r="AC182" i="37"/>
  <c r="AC193" i="37" s="1"/>
  <c r="AB182" i="37"/>
  <c r="AB193" i="37" s="1"/>
  <c r="AA182" i="37"/>
  <c r="AA193" i="37" s="1"/>
  <c r="Z182" i="37"/>
  <c r="Z193" i="37" s="1"/>
  <c r="X182" i="37"/>
  <c r="X193" i="37" s="1"/>
  <c r="W182" i="37"/>
  <c r="W193" i="37" s="1"/>
  <c r="V182" i="37"/>
  <c r="V193" i="37" s="1"/>
  <c r="U182" i="37"/>
  <c r="U193" i="37" s="1"/>
  <c r="T182" i="37"/>
  <c r="T193" i="37" s="1"/>
  <c r="R182" i="37"/>
  <c r="R193" i="37" s="1"/>
  <c r="Q182" i="37"/>
  <c r="Q193" i="37" s="1"/>
  <c r="P182" i="37"/>
  <c r="P193" i="37" s="1"/>
  <c r="O182" i="37"/>
  <c r="O193" i="37" s="1"/>
  <c r="N182" i="37"/>
  <c r="N193" i="37" s="1"/>
  <c r="L182" i="37"/>
  <c r="L193" i="37" s="1"/>
  <c r="K182" i="37"/>
  <c r="K193" i="37" s="1"/>
  <c r="J182" i="37"/>
  <c r="J193" i="37" s="1"/>
  <c r="I182" i="37"/>
  <c r="I193" i="37" s="1"/>
  <c r="H182" i="37"/>
  <c r="H193" i="37" s="1"/>
  <c r="F182" i="37"/>
  <c r="F193" i="37" s="1"/>
  <c r="E182" i="37"/>
  <c r="E193" i="37" s="1"/>
  <c r="D182" i="37"/>
  <c r="D193" i="37" s="1"/>
  <c r="C182" i="37"/>
  <c r="C193" i="37" s="1"/>
  <c r="B182" i="37"/>
  <c r="B193" i="37" s="1"/>
  <c r="AO181" i="37"/>
  <c r="AN181" i="37"/>
  <c r="AM181" i="37"/>
  <c r="AL181" i="37"/>
  <c r="AC181" i="37"/>
  <c r="AB181" i="37"/>
  <c r="AA181" i="37"/>
  <c r="W181" i="37"/>
  <c r="V181" i="37"/>
  <c r="U181" i="37"/>
  <c r="Q181" i="37"/>
  <c r="P181" i="37"/>
  <c r="O181" i="37"/>
  <c r="K181" i="37"/>
  <c r="J181" i="37"/>
  <c r="I181" i="37"/>
  <c r="E181" i="37"/>
  <c r="D181" i="37"/>
  <c r="C181" i="37"/>
  <c r="AP180" i="37"/>
  <c r="AP179" i="37"/>
  <c r="AP178" i="37"/>
  <c r="AO176" i="37"/>
  <c r="AN176" i="37"/>
  <c r="AM176" i="37"/>
  <c r="AL176" i="37"/>
  <c r="AC176" i="37"/>
  <c r="AB176" i="37"/>
  <c r="AA176" i="37"/>
  <c r="W176" i="37"/>
  <c r="V176" i="37"/>
  <c r="U176" i="37"/>
  <c r="Q176" i="37"/>
  <c r="P176" i="37"/>
  <c r="O176" i="37"/>
  <c r="K176" i="37"/>
  <c r="J176" i="37"/>
  <c r="I176" i="37"/>
  <c r="E176" i="37"/>
  <c r="D176" i="37"/>
  <c r="C176" i="37"/>
  <c r="AP174" i="37"/>
  <c r="AP173" i="37"/>
  <c r="AD173" i="37"/>
  <c r="E173" i="51" s="1"/>
  <c r="X173" i="37"/>
  <c r="E173" i="52" s="1"/>
  <c r="R173" i="37"/>
  <c r="E173" i="53" s="1"/>
  <c r="L173" i="37"/>
  <c r="E173" i="50" s="1"/>
  <c r="AP172" i="37"/>
  <c r="AD172" i="37"/>
  <c r="E172" i="51" s="1"/>
  <c r="X172" i="37"/>
  <c r="E172" i="52" s="1"/>
  <c r="R172" i="37"/>
  <c r="E172" i="53" s="1"/>
  <c r="L172" i="37"/>
  <c r="E172" i="50" s="1"/>
  <c r="F172" i="37"/>
  <c r="E172" i="49" s="1"/>
  <c r="AP171" i="37"/>
  <c r="AD171" i="37"/>
  <c r="E171" i="51" s="1"/>
  <c r="X171" i="37"/>
  <c r="E171" i="52" s="1"/>
  <c r="R171" i="37"/>
  <c r="E171" i="53" s="1"/>
  <c r="L171" i="37"/>
  <c r="E171" i="50" s="1"/>
  <c r="F171" i="37"/>
  <c r="E171" i="49" s="1"/>
  <c r="AP170" i="37"/>
  <c r="AP169" i="37"/>
  <c r="AP162" i="37"/>
  <c r="AD162" i="37"/>
  <c r="E162" i="51" s="1"/>
  <c r="X162" i="37"/>
  <c r="E162" i="52" s="1"/>
  <c r="R162" i="37"/>
  <c r="E162" i="53" s="1"/>
  <c r="L162" i="37"/>
  <c r="E162" i="50" s="1"/>
  <c r="F162" i="37"/>
  <c r="E162" i="49" s="1"/>
  <c r="AP160" i="37"/>
  <c r="AD160" i="37"/>
  <c r="E160" i="51" s="1"/>
  <c r="X160" i="37"/>
  <c r="E160" i="52" s="1"/>
  <c r="R160" i="37"/>
  <c r="E160" i="53" s="1"/>
  <c r="L160" i="37"/>
  <c r="E160" i="50" s="1"/>
  <c r="F160" i="37"/>
  <c r="E160" i="49" s="1"/>
  <c r="AP159" i="37"/>
  <c r="AD159" i="37"/>
  <c r="E159" i="51" s="1"/>
  <c r="X159" i="37"/>
  <c r="E159" i="52" s="1"/>
  <c r="R159" i="37"/>
  <c r="E159" i="53" s="1"/>
  <c r="L159" i="37"/>
  <c r="E159" i="50" s="1"/>
  <c r="F159" i="37"/>
  <c r="E159" i="49" s="1"/>
  <c r="AP156" i="37"/>
  <c r="AD156" i="37"/>
  <c r="E156" i="51" s="1"/>
  <c r="X156" i="37"/>
  <c r="E156" i="52" s="1"/>
  <c r="R156" i="37"/>
  <c r="E156" i="53" s="1"/>
  <c r="L156" i="37"/>
  <c r="E156" i="50" s="1"/>
  <c r="F156" i="37"/>
  <c r="E156" i="49" s="1"/>
  <c r="AP155" i="37"/>
  <c r="AD155" i="37"/>
  <c r="E155" i="51" s="1"/>
  <c r="X155" i="37"/>
  <c r="E155" i="52" s="1"/>
  <c r="R155" i="37"/>
  <c r="E155" i="53" s="1"/>
  <c r="L155" i="37"/>
  <c r="E155" i="50" s="1"/>
  <c r="F155" i="37"/>
  <c r="E155" i="49" s="1"/>
  <c r="AP153" i="37"/>
  <c r="AD153" i="37"/>
  <c r="E153" i="51" s="1"/>
  <c r="X153" i="37"/>
  <c r="E153" i="52" s="1"/>
  <c r="R153" i="37"/>
  <c r="E153" i="53" s="1"/>
  <c r="L153" i="37"/>
  <c r="E153" i="50" s="1"/>
  <c r="AP152" i="37"/>
  <c r="AP168" i="37" s="1"/>
  <c r="AO152" i="37"/>
  <c r="AO168" i="37" s="1"/>
  <c r="AN152" i="37"/>
  <c r="AN168" i="37" s="1"/>
  <c r="AM152" i="37"/>
  <c r="AM168" i="37" s="1"/>
  <c r="AL152" i="37"/>
  <c r="AL168" i="37" s="1"/>
  <c r="AD152" i="37"/>
  <c r="AD168" i="37" s="1"/>
  <c r="AC152" i="37"/>
  <c r="AC168" i="37" s="1"/>
  <c r="AB152" i="37"/>
  <c r="AB168" i="37" s="1"/>
  <c r="AA152" i="37"/>
  <c r="AA168" i="37" s="1"/>
  <c r="Z152" i="37"/>
  <c r="Z168" i="37" s="1"/>
  <c r="X152" i="37"/>
  <c r="X168" i="37" s="1"/>
  <c r="W152" i="37"/>
  <c r="W168" i="37" s="1"/>
  <c r="V152" i="37"/>
  <c r="V168" i="37" s="1"/>
  <c r="U152" i="37"/>
  <c r="U168" i="37" s="1"/>
  <c r="T152" i="37"/>
  <c r="T168" i="37" s="1"/>
  <c r="R152" i="37"/>
  <c r="R168" i="37" s="1"/>
  <c r="Q152" i="37"/>
  <c r="Q168" i="37" s="1"/>
  <c r="P152" i="37"/>
  <c r="P168" i="37" s="1"/>
  <c r="O152" i="37"/>
  <c r="O168" i="37" s="1"/>
  <c r="N152" i="37"/>
  <c r="N168" i="37" s="1"/>
  <c r="L152" i="37"/>
  <c r="L168" i="37" s="1"/>
  <c r="K152" i="37"/>
  <c r="K168" i="37" s="1"/>
  <c r="J152" i="37"/>
  <c r="J168" i="37" s="1"/>
  <c r="I152" i="37"/>
  <c r="I168" i="37" s="1"/>
  <c r="H152" i="37"/>
  <c r="H168" i="37" s="1"/>
  <c r="F152" i="37"/>
  <c r="F168" i="37" s="1"/>
  <c r="E152" i="37"/>
  <c r="E168" i="37" s="1"/>
  <c r="D152" i="37"/>
  <c r="D168" i="37" s="1"/>
  <c r="C152" i="37"/>
  <c r="C168" i="37" s="1"/>
  <c r="B152" i="37"/>
  <c r="B168" i="37" s="1"/>
  <c r="AO151" i="37"/>
  <c r="AC151" i="37"/>
  <c r="W151" i="37"/>
  <c r="Q151" i="37"/>
  <c r="K151" i="37"/>
  <c r="E151" i="37"/>
  <c r="AP150" i="37"/>
  <c r="AD150" i="37"/>
  <c r="E150" i="51" s="1"/>
  <c r="X150" i="37"/>
  <c r="E150" i="52" s="1"/>
  <c r="R150" i="37"/>
  <c r="E150" i="53" s="1"/>
  <c r="L150" i="37"/>
  <c r="E150" i="50" s="1"/>
  <c r="F150" i="37"/>
  <c r="E150" i="49" s="1"/>
  <c r="AN149" i="37"/>
  <c r="AN151" i="37" s="1"/>
  <c r="AM149" i="37"/>
  <c r="AY149" i="37" s="1"/>
  <c r="AL149" i="37"/>
  <c r="AX149" i="37" s="1"/>
  <c r="AM148" i="37"/>
  <c r="AY148" i="37" s="1"/>
  <c r="AM147" i="37"/>
  <c r="AM145" i="37"/>
  <c r="AY145" i="37" s="1"/>
  <c r="AP144" i="37"/>
  <c r="AD144" i="37"/>
  <c r="E144" i="51" s="1"/>
  <c r="X144" i="37"/>
  <c r="E144" i="52" s="1"/>
  <c r="R144" i="37"/>
  <c r="E144" i="53" s="1"/>
  <c r="L144" i="37"/>
  <c r="E144" i="50" s="1"/>
  <c r="F144" i="37"/>
  <c r="E144" i="49" s="1"/>
  <c r="AP142" i="37"/>
  <c r="AD142" i="37"/>
  <c r="E142" i="51" s="1"/>
  <c r="X142" i="37"/>
  <c r="E142" i="52" s="1"/>
  <c r="R142" i="37"/>
  <c r="E142" i="53" s="1"/>
  <c r="L142" i="37"/>
  <c r="E142" i="50" s="1"/>
  <c r="F142" i="37"/>
  <c r="E142" i="49" s="1"/>
  <c r="AP140" i="37"/>
  <c r="AO140" i="37"/>
  <c r="AN140" i="37"/>
  <c r="AM140" i="37"/>
  <c r="AL140" i="37"/>
  <c r="AD140" i="37"/>
  <c r="AC140" i="37"/>
  <c r="AB140" i="37"/>
  <c r="AA140" i="37"/>
  <c r="Z140" i="37"/>
  <c r="X140" i="37"/>
  <c r="W140" i="37"/>
  <c r="V140" i="37"/>
  <c r="U140" i="37"/>
  <c r="T140" i="37"/>
  <c r="R140" i="37"/>
  <c r="Q140" i="37"/>
  <c r="P140" i="37"/>
  <c r="O140" i="37"/>
  <c r="N140" i="37"/>
  <c r="L140" i="37"/>
  <c r="K140" i="37"/>
  <c r="J140" i="37"/>
  <c r="I140" i="37"/>
  <c r="H140" i="37"/>
  <c r="F140" i="37"/>
  <c r="E140" i="37"/>
  <c r="D140" i="37"/>
  <c r="C140" i="37"/>
  <c r="B140" i="37"/>
  <c r="AO128" i="37"/>
  <c r="AN128" i="37"/>
  <c r="AL128" i="37"/>
  <c r="Z128" i="37"/>
  <c r="T128" i="37"/>
  <c r="N128" i="37"/>
  <c r="K128" i="37"/>
  <c r="H128" i="37"/>
  <c r="B128" i="37"/>
  <c r="W128" i="37"/>
  <c r="AP125" i="37"/>
  <c r="AD125" i="37"/>
  <c r="E125" i="51" s="1"/>
  <c r="X125" i="37"/>
  <c r="E125" i="52" s="1"/>
  <c r="R125" i="37"/>
  <c r="E125" i="53" s="1"/>
  <c r="L125" i="37"/>
  <c r="E125" i="50" s="1"/>
  <c r="F125" i="37"/>
  <c r="E125" i="49" s="1"/>
  <c r="AP123" i="37"/>
  <c r="R123" i="37"/>
  <c r="E123" i="53" s="1"/>
  <c r="AP122" i="37"/>
  <c r="R122" i="37"/>
  <c r="E122" i="53" s="1"/>
  <c r="L122" i="37"/>
  <c r="E122" i="50" s="1"/>
  <c r="AP121" i="37"/>
  <c r="L121" i="37"/>
  <c r="E121" i="50" s="1"/>
  <c r="AP120" i="37"/>
  <c r="R120" i="37"/>
  <c r="E120" i="53" s="1"/>
  <c r="F120" i="37"/>
  <c r="E120" i="49" s="1"/>
  <c r="AP119" i="37"/>
  <c r="R119" i="37"/>
  <c r="E119" i="53" s="1"/>
  <c r="AP118" i="37"/>
  <c r="AD118" i="37"/>
  <c r="E118" i="51" s="1"/>
  <c r="X118" i="37"/>
  <c r="E118" i="52" s="1"/>
  <c r="R118" i="37"/>
  <c r="E118" i="53" s="1"/>
  <c r="L118" i="37"/>
  <c r="E118" i="50" s="1"/>
  <c r="F118" i="37"/>
  <c r="E118" i="49" s="1"/>
  <c r="AP117" i="37"/>
  <c r="AO117" i="37"/>
  <c r="AN117" i="37"/>
  <c r="AM117" i="37"/>
  <c r="AL117" i="37"/>
  <c r="AD117" i="37"/>
  <c r="AC117" i="37"/>
  <c r="AB117" i="37"/>
  <c r="AA117" i="37"/>
  <c r="Z117" i="37"/>
  <c r="X117" i="37"/>
  <c r="W117" i="37"/>
  <c r="V117" i="37"/>
  <c r="U117" i="37"/>
  <c r="T117" i="37"/>
  <c r="R117" i="37"/>
  <c r="Q117" i="37"/>
  <c r="P117" i="37"/>
  <c r="O117" i="37"/>
  <c r="N117" i="37"/>
  <c r="L117" i="37"/>
  <c r="K117" i="37"/>
  <c r="J117" i="37"/>
  <c r="I117" i="37"/>
  <c r="H117" i="37"/>
  <c r="F117" i="37"/>
  <c r="E117" i="37"/>
  <c r="D117" i="37"/>
  <c r="C117" i="37"/>
  <c r="B117" i="37"/>
  <c r="AO116" i="37"/>
  <c r="AN116" i="37"/>
  <c r="AM116" i="37"/>
  <c r="P116" i="37"/>
  <c r="AP115" i="37"/>
  <c r="AA115" i="37"/>
  <c r="AD115" i="37" s="1"/>
  <c r="E115" i="51" s="1"/>
  <c r="U115" i="37"/>
  <c r="X115" i="37" s="1"/>
  <c r="E115" i="52" s="1"/>
  <c r="O115" i="37"/>
  <c r="R115" i="37" s="1"/>
  <c r="E115" i="53" s="1"/>
  <c r="I115" i="37"/>
  <c r="L115" i="37" s="1"/>
  <c r="E115" i="50" s="1"/>
  <c r="C115" i="37"/>
  <c r="AP114" i="37"/>
  <c r="AP113" i="37"/>
  <c r="AP112" i="37"/>
  <c r="Z112" i="37"/>
  <c r="AD112" i="37" s="1"/>
  <c r="E112" i="51" s="1"/>
  <c r="T112" i="37"/>
  <c r="X112" i="37" s="1"/>
  <c r="E112" i="52" s="1"/>
  <c r="N112" i="37"/>
  <c r="R112" i="37" s="1"/>
  <c r="E112" i="53" s="1"/>
  <c r="H112" i="37"/>
  <c r="F112" i="37"/>
  <c r="E112" i="49" s="1"/>
  <c r="AP110" i="37"/>
  <c r="AD110" i="37"/>
  <c r="E110" i="51" s="1"/>
  <c r="AB116" i="37"/>
  <c r="X110" i="37"/>
  <c r="E110" i="52" s="1"/>
  <c r="V116" i="37"/>
  <c r="R110" i="37"/>
  <c r="E110" i="53" s="1"/>
  <c r="L110" i="37"/>
  <c r="E110" i="50" s="1"/>
  <c r="J116" i="37"/>
  <c r="F110" i="37"/>
  <c r="E110" i="49" s="1"/>
  <c r="D116" i="37"/>
  <c r="AP109" i="37"/>
  <c r="AD109" i="37"/>
  <c r="E109" i="51" s="1"/>
  <c r="X109" i="37"/>
  <c r="E109" i="52" s="1"/>
  <c r="R109" i="37"/>
  <c r="E109" i="53" s="1"/>
  <c r="L109" i="37"/>
  <c r="E109" i="50" s="1"/>
  <c r="F109" i="37"/>
  <c r="E109" i="49" s="1"/>
  <c r="AP108" i="37"/>
  <c r="AP107" i="37"/>
  <c r="AP106" i="37"/>
  <c r="AD106" i="37"/>
  <c r="E106" i="51" s="1"/>
  <c r="X106" i="37"/>
  <c r="E106" i="52" s="1"/>
  <c r="L106" i="37"/>
  <c r="E106" i="50" s="1"/>
  <c r="F106" i="37"/>
  <c r="E106" i="49" s="1"/>
  <c r="R105" i="37"/>
  <c r="E105" i="53" s="1"/>
  <c r="AP104" i="37"/>
  <c r="AP103" i="37"/>
  <c r="AP101" i="37"/>
  <c r="AO101" i="37"/>
  <c r="AN101" i="37"/>
  <c r="AM101" i="37"/>
  <c r="AL101" i="37"/>
  <c r="AD101" i="37"/>
  <c r="AC101" i="37"/>
  <c r="AB101" i="37"/>
  <c r="AA101" i="37"/>
  <c r="Z101" i="37"/>
  <c r="X101" i="37"/>
  <c r="W101" i="37"/>
  <c r="V101" i="37"/>
  <c r="U101" i="37"/>
  <c r="T101" i="37"/>
  <c r="R101" i="37"/>
  <c r="Q101" i="37"/>
  <c r="P101" i="37"/>
  <c r="O101" i="37"/>
  <c r="N101" i="37"/>
  <c r="L101" i="37"/>
  <c r="K101" i="37"/>
  <c r="J101" i="37"/>
  <c r="I101" i="37"/>
  <c r="H101" i="37"/>
  <c r="F101" i="37"/>
  <c r="E101" i="37"/>
  <c r="D101" i="37"/>
  <c r="C101" i="37"/>
  <c r="B101" i="37"/>
  <c r="AO98" i="37"/>
  <c r="AC98" i="37"/>
  <c r="W98" i="37"/>
  <c r="Q98" i="37"/>
  <c r="K98" i="37"/>
  <c r="E98" i="37"/>
  <c r="AO97" i="37"/>
  <c r="AN97" i="37"/>
  <c r="AM97" i="37"/>
  <c r="AL97" i="37"/>
  <c r="AC97" i="37"/>
  <c r="AB97" i="37"/>
  <c r="AA97" i="37"/>
  <c r="Z97" i="37"/>
  <c r="W97" i="37"/>
  <c r="V97" i="37"/>
  <c r="U97" i="37"/>
  <c r="T97" i="37"/>
  <c r="Q97" i="37"/>
  <c r="P97" i="37"/>
  <c r="O97" i="37"/>
  <c r="N97" i="37"/>
  <c r="K97" i="37"/>
  <c r="J97" i="37"/>
  <c r="I97" i="37"/>
  <c r="H97" i="37"/>
  <c r="E97" i="37"/>
  <c r="D97" i="37"/>
  <c r="C97" i="37"/>
  <c r="B97" i="37"/>
  <c r="AX97" i="37" s="1"/>
  <c r="AO96" i="37"/>
  <c r="AN96" i="37"/>
  <c r="AM96" i="37"/>
  <c r="AL96" i="37"/>
  <c r="AC96" i="37"/>
  <c r="AB96" i="37"/>
  <c r="AA96" i="37"/>
  <c r="Z96" i="37"/>
  <c r="W96" i="37"/>
  <c r="V96" i="37"/>
  <c r="U96" i="37"/>
  <c r="T96" i="37"/>
  <c r="Q96" i="37"/>
  <c r="P96" i="37"/>
  <c r="O96" i="37"/>
  <c r="N96" i="37"/>
  <c r="K96" i="37"/>
  <c r="J96" i="37"/>
  <c r="I96" i="37"/>
  <c r="H96" i="37"/>
  <c r="E96" i="37"/>
  <c r="BA96" i="37" s="1"/>
  <c r="D96" i="37"/>
  <c r="C96" i="37"/>
  <c r="B96" i="37"/>
  <c r="AX96" i="37" s="1"/>
  <c r="AO95" i="37"/>
  <c r="AN95" i="37"/>
  <c r="AM95" i="37"/>
  <c r="AC95" i="37"/>
  <c r="AB95" i="37"/>
  <c r="AA95" i="37"/>
  <c r="W95" i="37"/>
  <c r="V95" i="37"/>
  <c r="U95" i="37"/>
  <c r="T95" i="37"/>
  <c r="Q95" i="37"/>
  <c r="P95" i="37"/>
  <c r="O95" i="37"/>
  <c r="N95" i="37"/>
  <c r="K95" i="37"/>
  <c r="J95" i="37"/>
  <c r="I95" i="37"/>
  <c r="E95" i="37"/>
  <c r="D95" i="37"/>
  <c r="C95" i="37"/>
  <c r="B95" i="37"/>
  <c r="AO94" i="37"/>
  <c r="AN94" i="37"/>
  <c r="AC94" i="37"/>
  <c r="AB94" i="37"/>
  <c r="W94" i="37"/>
  <c r="V94" i="37"/>
  <c r="Q94" i="37"/>
  <c r="P94" i="37"/>
  <c r="K94" i="37"/>
  <c r="J94" i="37"/>
  <c r="E94" i="37"/>
  <c r="D94" i="37"/>
  <c r="AO93" i="37"/>
  <c r="AN93" i="37"/>
  <c r="AC93" i="37"/>
  <c r="AB93" i="37"/>
  <c r="W93" i="37"/>
  <c r="V93" i="37"/>
  <c r="Q93" i="37"/>
  <c r="P93" i="37"/>
  <c r="K93" i="37"/>
  <c r="J93" i="37"/>
  <c r="E93" i="37"/>
  <c r="D93" i="37"/>
  <c r="AZ93" i="37" s="1"/>
  <c r="AO92" i="37"/>
  <c r="AN92" i="37"/>
  <c r="AC92" i="37"/>
  <c r="AB92" i="37"/>
  <c r="W92" i="37"/>
  <c r="V92" i="37"/>
  <c r="Q92" i="37"/>
  <c r="P92" i="37"/>
  <c r="K92" i="37"/>
  <c r="J92" i="37"/>
  <c r="E92" i="37"/>
  <c r="D92" i="37"/>
  <c r="AO91" i="37"/>
  <c r="AC91" i="37"/>
  <c r="W91" i="37"/>
  <c r="Q91" i="37"/>
  <c r="K91" i="37"/>
  <c r="E91" i="37"/>
  <c r="AO90" i="37"/>
  <c r="AC90" i="37"/>
  <c r="W90" i="37"/>
  <c r="Q90" i="37"/>
  <c r="K90" i="37"/>
  <c r="E90" i="37"/>
  <c r="AN89" i="37"/>
  <c r="AB89" i="37"/>
  <c r="V89" i="37"/>
  <c r="P89" i="37"/>
  <c r="J89" i="37"/>
  <c r="D89" i="37"/>
  <c r="AO88" i="37"/>
  <c r="AN88" i="37"/>
  <c r="AM88" i="37"/>
  <c r="AC88" i="37"/>
  <c r="AB88" i="37"/>
  <c r="AA88" i="37"/>
  <c r="W88" i="37"/>
  <c r="V88" i="37"/>
  <c r="U88" i="37"/>
  <c r="Q88" i="37"/>
  <c r="P88" i="37"/>
  <c r="O88" i="37"/>
  <c r="K88" i="37"/>
  <c r="J88" i="37"/>
  <c r="I88" i="37"/>
  <c r="E88" i="37"/>
  <c r="D88" i="37"/>
  <c r="C88" i="37"/>
  <c r="AO87" i="37"/>
  <c r="AN87" i="37"/>
  <c r="AM87" i="37"/>
  <c r="AC87" i="37"/>
  <c r="AB87" i="37"/>
  <c r="AA87" i="37"/>
  <c r="W87" i="37"/>
  <c r="V87" i="37"/>
  <c r="U87" i="37"/>
  <c r="Q87" i="37"/>
  <c r="P87" i="37"/>
  <c r="O87" i="37"/>
  <c r="K87" i="37"/>
  <c r="J87" i="37"/>
  <c r="I87" i="37"/>
  <c r="E87" i="37"/>
  <c r="D87" i="37"/>
  <c r="C87" i="37"/>
  <c r="AP84" i="37"/>
  <c r="AP97" i="37" s="1"/>
  <c r="AD84" i="37"/>
  <c r="X84" i="37"/>
  <c r="R84" i="37"/>
  <c r="L84" i="37"/>
  <c r="F84" i="37"/>
  <c r="AP83" i="37"/>
  <c r="AP96" i="37" s="1"/>
  <c r="AD83" i="37"/>
  <c r="X83" i="37"/>
  <c r="R83" i="37"/>
  <c r="L83" i="37"/>
  <c r="F83" i="37"/>
  <c r="AP82" i="37"/>
  <c r="AP95" i="37" s="1"/>
  <c r="X82" i="37"/>
  <c r="R82" i="37"/>
  <c r="F82" i="37"/>
  <c r="AM94" i="37"/>
  <c r="T94" i="37"/>
  <c r="N94" i="37"/>
  <c r="AM93" i="37"/>
  <c r="AL93" i="37"/>
  <c r="Z93" i="37"/>
  <c r="N93" i="37"/>
  <c r="H93" i="37"/>
  <c r="B93" i="37"/>
  <c r="AM92" i="37"/>
  <c r="Z92" i="37"/>
  <c r="T92" i="37"/>
  <c r="N92" i="37"/>
  <c r="AN78" i="37"/>
  <c r="AN91" i="37" s="1"/>
  <c r="AM78" i="37"/>
  <c r="AM91" i="37" s="1"/>
  <c r="AL78" i="37"/>
  <c r="AL91" i="37" s="1"/>
  <c r="AA78" i="37"/>
  <c r="AA91" i="37" s="1"/>
  <c r="Z78" i="37"/>
  <c r="Z91" i="37" s="1"/>
  <c r="U78" i="37"/>
  <c r="U91" i="37" s="1"/>
  <c r="T78" i="37"/>
  <c r="T91" i="37" s="1"/>
  <c r="O78" i="37"/>
  <c r="O91" i="37" s="1"/>
  <c r="N78" i="37"/>
  <c r="N91" i="37" s="1"/>
  <c r="I78" i="37"/>
  <c r="I91" i="37" s="1"/>
  <c r="H78" i="37"/>
  <c r="H91" i="37" s="1"/>
  <c r="C78" i="37"/>
  <c r="B78" i="37"/>
  <c r="AN77" i="37"/>
  <c r="AM77" i="37"/>
  <c r="AM90" i="37" s="1"/>
  <c r="AL77" i="37"/>
  <c r="AL90" i="37" s="1"/>
  <c r="AA77" i="37"/>
  <c r="AA90" i="37" s="1"/>
  <c r="Z77" i="37"/>
  <c r="Z90" i="37" s="1"/>
  <c r="U77" i="37"/>
  <c r="U90" i="37" s="1"/>
  <c r="T77" i="37"/>
  <c r="T90" i="37" s="1"/>
  <c r="O77" i="37"/>
  <c r="O90" i="37" s="1"/>
  <c r="N77" i="37"/>
  <c r="I77" i="37"/>
  <c r="I90" i="37" s="1"/>
  <c r="H77" i="37"/>
  <c r="C77" i="37"/>
  <c r="B77" i="37"/>
  <c r="AM76" i="37"/>
  <c r="AL76" i="37"/>
  <c r="AL89" i="37" s="1"/>
  <c r="AA76" i="37"/>
  <c r="AA89" i="37" s="1"/>
  <c r="Z76" i="37"/>
  <c r="Z89" i="37" s="1"/>
  <c r="U76" i="37"/>
  <c r="T76" i="37"/>
  <c r="T89" i="37" s="1"/>
  <c r="O76" i="37"/>
  <c r="N76" i="37"/>
  <c r="N89" i="37" s="1"/>
  <c r="I76" i="37"/>
  <c r="H76" i="37"/>
  <c r="H89" i="37" s="1"/>
  <c r="C76" i="37"/>
  <c r="B76" i="37"/>
  <c r="AP73" i="37"/>
  <c r="AO73" i="37"/>
  <c r="AM73" i="37"/>
  <c r="AL73" i="37"/>
  <c r="AD73" i="37"/>
  <c r="AC73" i="37"/>
  <c r="AA73" i="37"/>
  <c r="Z73" i="37"/>
  <c r="X73" i="37"/>
  <c r="W73" i="37"/>
  <c r="U73" i="37"/>
  <c r="T73" i="37"/>
  <c r="R73" i="37"/>
  <c r="Q73" i="37"/>
  <c r="O73" i="37"/>
  <c r="N73" i="37"/>
  <c r="L73" i="37"/>
  <c r="K73" i="37"/>
  <c r="I73" i="37"/>
  <c r="H73" i="37"/>
  <c r="F73" i="37"/>
  <c r="E73" i="37"/>
  <c r="C73" i="37"/>
  <c r="B73" i="37"/>
  <c r="AO62" i="37"/>
  <c r="AO65" i="37" s="1"/>
  <c r="AN62" i="37"/>
  <c r="AN65" i="37" s="1"/>
  <c r="AM62" i="37"/>
  <c r="AM65" i="37" s="1"/>
  <c r="AL62" i="37"/>
  <c r="AL65" i="37" s="1"/>
  <c r="AC62" i="37"/>
  <c r="AC65" i="37" s="1"/>
  <c r="AB62" i="37"/>
  <c r="AB65" i="37" s="1"/>
  <c r="AA62" i="37"/>
  <c r="AA65" i="37" s="1"/>
  <c r="Z62" i="37"/>
  <c r="Z65" i="37" s="1"/>
  <c r="W62" i="37"/>
  <c r="W65" i="37" s="1"/>
  <c r="V62" i="37"/>
  <c r="V65" i="37" s="1"/>
  <c r="U62" i="37"/>
  <c r="U65" i="37" s="1"/>
  <c r="T62" i="37"/>
  <c r="T65" i="37" s="1"/>
  <c r="Q62" i="37"/>
  <c r="Q65" i="37" s="1"/>
  <c r="P62" i="37"/>
  <c r="P65" i="37" s="1"/>
  <c r="O62" i="37"/>
  <c r="O65" i="37" s="1"/>
  <c r="N62" i="37"/>
  <c r="N65" i="37" s="1"/>
  <c r="K62" i="37"/>
  <c r="K65" i="37" s="1"/>
  <c r="J62" i="37"/>
  <c r="J65" i="37" s="1"/>
  <c r="I62" i="37"/>
  <c r="I65" i="37" s="1"/>
  <c r="H62" i="37"/>
  <c r="H65" i="37" s="1"/>
  <c r="E62" i="37"/>
  <c r="E65" i="37" s="1"/>
  <c r="D62" i="37"/>
  <c r="D65" i="37" s="1"/>
  <c r="C62" i="37"/>
  <c r="C65" i="37" s="1"/>
  <c r="B62" i="37"/>
  <c r="B65" i="37" s="1"/>
  <c r="AD62" i="37"/>
  <c r="AD65" i="37" s="1"/>
  <c r="X62" i="37"/>
  <c r="X65" i="37" s="1"/>
  <c r="R62" i="37"/>
  <c r="R65" i="37" s="1"/>
  <c r="F62" i="37"/>
  <c r="F65" i="37" s="1"/>
  <c r="AP41" i="37"/>
  <c r="AO41" i="37"/>
  <c r="AN41" i="37"/>
  <c r="AM41" i="37"/>
  <c r="AL41" i="37"/>
  <c r="AD41" i="37"/>
  <c r="AC41" i="37"/>
  <c r="AB41" i="37"/>
  <c r="AA41" i="37"/>
  <c r="Z41" i="37"/>
  <c r="X41" i="37"/>
  <c r="W41" i="37"/>
  <c r="V41" i="37"/>
  <c r="U41" i="37"/>
  <c r="T41" i="37"/>
  <c r="R41" i="37"/>
  <c r="Q41" i="37"/>
  <c r="P41" i="37"/>
  <c r="O41" i="37"/>
  <c r="N41" i="37"/>
  <c r="L41" i="37"/>
  <c r="K41" i="37"/>
  <c r="J41" i="37"/>
  <c r="I41" i="37"/>
  <c r="H41" i="37"/>
  <c r="F41" i="37"/>
  <c r="E41" i="37"/>
  <c r="D41" i="37"/>
  <c r="C41" i="37"/>
  <c r="B41" i="37"/>
  <c r="AO39" i="37"/>
  <c r="AO137" i="37" s="1"/>
  <c r="AN39" i="37"/>
  <c r="AN137" i="37" s="1"/>
  <c r="AM39" i="37"/>
  <c r="AM64" i="37" s="1"/>
  <c r="AL39" i="37"/>
  <c r="AL137" i="37" s="1"/>
  <c r="AC39" i="37"/>
  <c r="AB39" i="37"/>
  <c r="AA39" i="37"/>
  <c r="Z39" i="37"/>
  <c r="W39" i="37"/>
  <c r="V39" i="37"/>
  <c r="U39" i="37"/>
  <c r="T39" i="37"/>
  <c r="Q39" i="37"/>
  <c r="P39" i="37"/>
  <c r="O39" i="37"/>
  <c r="N39" i="37"/>
  <c r="K39" i="37"/>
  <c r="J39" i="37"/>
  <c r="I39" i="37"/>
  <c r="H39" i="37"/>
  <c r="E39" i="37"/>
  <c r="D39" i="37"/>
  <c r="C39" i="37"/>
  <c r="B39" i="37"/>
  <c r="AP38" i="37"/>
  <c r="AD38" i="37"/>
  <c r="E38" i="51" s="1"/>
  <c r="X38" i="37"/>
  <c r="E38" i="52" s="1"/>
  <c r="R38" i="37"/>
  <c r="E38" i="53" s="1"/>
  <c r="L38" i="37"/>
  <c r="E38" i="50" s="1"/>
  <c r="F38" i="37"/>
  <c r="E38" i="49" s="1"/>
  <c r="AP37" i="37"/>
  <c r="AD37" i="37"/>
  <c r="E37" i="51" s="1"/>
  <c r="X37" i="37"/>
  <c r="E37" i="52" s="1"/>
  <c r="R37" i="37"/>
  <c r="E37" i="53" s="1"/>
  <c r="L37" i="37"/>
  <c r="E37" i="50" s="1"/>
  <c r="F37" i="37"/>
  <c r="E37" i="49" s="1"/>
  <c r="AP36" i="37"/>
  <c r="AD36" i="37"/>
  <c r="E36" i="51" s="1"/>
  <c r="X36" i="37"/>
  <c r="E36" i="52" s="1"/>
  <c r="R36" i="37"/>
  <c r="E36" i="53" s="1"/>
  <c r="L36" i="37"/>
  <c r="E36" i="50" s="1"/>
  <c r="F36" i="37"/>
  <c r="E36" i="49" s="1"/>
  <c r="AP35" i="37"/>
  <c r="AD35" i="37"/>
  <c r="E35" i="51" s="1"/>
  <c r="X35" i="37"/>
  <c r="E35" i="52" s="1"/>
  <c r="R35" i="37"/>
  <c r="E35" i="53" s="1"/>
  <c r="L35" i="37"/>
  <c r="E35" i="50" s="1"/>
  <c r="F35" i="37"/>
  <c r="E35" i="49" s="1"/>
  <c r="AP34" i="37"/>
  <c r="AD34" i="37"/>
  <c r="E34" i="51" s="1"/>
  <c r="X34" i="37"/>
  <c r="E34" i="52" s="1"/>
  <c r="R34" i="37"/>
  <c r="E34" i="53" s="1"/>
  <c r="L34" i="37"/>
  <c r="E34" i="50" s="1"/>
  <c r="F34" i="37"/>
  <c r="E34" i="49" s="1"/>
  <c r="AP33" i="37"/>
  <c r="AD33" i="37"/>
  <c r="E33" i="51" s="1"/>
  <c r="X33" i="37"/>
  <c r="E33" i="52" s="1"/>
  <c r="R33" i="37"/>
  <c r="E33" i="53" s="1"/>
  <c r="L33" i="37"/>
  <c r="E33" i="50" s="1"/>
  <c r="F33" i="37"/>
  <c r="E33" i="49" s="1"/>
  <c r="AP32" i="37"/>
  <c r="AD32" i="37"/>
  <c r="E32" i="51" s="1"/>
  <c r="X32" i="37"/>
  <c r="E32" i="52" s="1"/>
  <c r="R32" i="37"/>
  <c r="E32" i="53" s="1"/>
  <c r="L32" i="37"/>
  <c r="E32" i="50" s="1"/>
  <c r="F32" i="37"/>
  <c r="E32" i="49" s="1"/>
  <c r="AP31" i="37"/>
  <c r="AD31" i="37"/>
  <c r="E31" i="51" s="1"/>
  <c r="X31" i="37"/>
  <c r="E31" i="52" s="1"/>
  <c r="R31" i="37"/>
  <c r="E31" i="53" s="1"/>
  <c r="L31" i="37"/>
  <c r="E31" i="50" s="1"/>
  <c r="F31" i="37"/>
  <c r="E31" i="49" s="1"/>
  <c r="AP30" i="37"/>
  <c r="AD30" i="37"/>
  <c r="E30" i="51" s="1"/>
  <c r="X30" i="37"/>
  <c r="E30" i="52" s="1"/>
  <c r="R30" i="37"/>
  <c r="E30" i="53" s="1"/>
  <c r="L30" i="37"/>
  <c r="E30" i="50" s="1"/>
  <c r="F30" i="37"/>
  <c r="E30" i="49" s="1"/>
  <c r="AP29" i="37"/>
  <c r="AD29" i="37"/>
  <c r="E29" i="51" s="1"/>
  <c r="X29" i="37"/>
  <c r="E29" i="52" s="1"/>
  <c r="R29" i="37"/>
  <c r="L29" i="37"/>
  <c r="E29" i="50" s="1"/>
  <c r="F29" i="37"/>
  <c r="E29" i="49" s="1"/>
  <c r="AP27" i="37"/>
  <c r="AD27" i="37"/>
  <c r="X27" i="37"/>
  <c r="R27" i="37"/>
  <c r="L27" i="37"/>
  <c r="F27" i="37"/>
  <c r="AP26" i="37"/>
  <c r="AP25" i="37"/>
  <c r="AD25" i="37"/>
  <c r="E25" i="51" s="1"/>
  <c r="X25" i="37"/>
  <c r="E25" i="52" s="1"/>
  <c r="R25" i="37"/>
  <c r="E25" i="53" s="1"/>
  <c r="L25" i="37"/>
  <c r="E25" i="50" s="1"/>
  <c r="F25" i="37"/>
  <c r="E25" i="49" s="1"/>
  <c r="AP24" i="37"/>
  <c r="AP23" i="37"/>
  <c r="AP22" i="37"/>
  <c r="AL19" i="37"/>
  <c r="AP18" i="37"/>
  <c r="AD18" i="37"/>
  <c r="E18" i="51" s="1"/>
  <c r="X18" i="37"/>
  <c r="E18" i="52" s="1"/>
  <c r="R18" i="37"/>
  <c r="E18" i="53" s="1"/>
  <c r="L18" i="37"/>
  <c r="E18" i="50" s="1"/>
  <c r="F18" i="37"/>
  <c r="E18" i="49" s="1"/>
  <c r="AP17" i="37"/>
  <c r="AD17" i="37"/>
  <c r="E17" i="51" s="1"/>
  <c r="X17" i="37"/>
  <c r="E17" i="52" s="1"/>
  <c r="R17" i="37"/>
  <c r="E17" i="53" s="1"/>
  <c r="L17" i="37"/>
  <c r="E17" i="50" s="1"/>
  <c r="F17" i="37"/>
  <c r="E17" i="49" s="1"/>
  <c r="AP16" i="37"/>
  <c r="X16" i="37"/>
  <c r="E16" i="52" s="1"/>
  <c r="R16" i="37"/>
  <c r="E16" i="53" s="1"/>
  <c r="L16" i="37"/>
  <c r="E16" i="50" s="1"/>
  <c r="F16" i="37"/>
  <c r="E16" i="49" s="1"/>
  <c r="AP15" i="37"/>
  <c r="Z15" i="37"/>
  <c r="AD15" i="37" s="1"/>
  <c r="X15" i="37"/>
  <c r="E15" i="52" s="1"/>
  <c r="R15" i="37"/>
  <c r="E15" i="53" s="1"/>
  <c r="H15" i="37"/>
  <c r="F15" i="37"/>
  <c r="E15" i="49" s="1"/>
  <c r="AP14" i="37"/>
  <c r="Z14" i="37"/>
  <c r="AD14" i="37" s="1"/>
  <c r="X14" i="37"/>
  <c r="E14" i="52" s="1"/>
  <c r="N14" i="37"/>
  <c r="R14" i="37" s="1"/>
  <c r="H14" i="37"/>
  <c r="F14" i="37"/>
  <c r="E14" i="49" s="1"/>
  <c r="AP13" i="37"/>
  <c r="Z13" i="37"/>
  <c r="AD13" i="37" s="1"/>
  <c r="N13" i="37"/>
  <c r="R13" i="37" s="1"/>
  <c r="E13" i="53" s="1"/>
  <c r="H13" i="37"/>
  <c r="F13" i="37"/>
  <c r="E13" i="49" s="1"/>
  <c r="AP12" i="37"/>
  <c r="Z12" i="37"/>
  <c r="AD12" i="37" s="1"/>
  <c r="N12" i="37"/>
  <c r="R12" i="37" s="1"/>
  <c r="H12" i="37"/>
  <c r="F12" i="37"/>
  <c r="E12" i="49" s="1"/>
  <c r="AP11" i="37"/>
  <c r="Z11" i="37"/>
  <c r="AD11" i="37" s="1"/>
  <c r="X11" i="37"/>
  <c r="R11" i="37"/>
  <c r="H11" i="37"/>
  <c r="F11" i="37"/>
  <c r="AP10" i="37"/>
  <c r="Z10" i="37"/>
  <c r="AD10" i="37" s="1"/>
  <c r="X10" i="37"/>
  <c r="N10" i="37"/>
  <c r="R10" i="37" s="1"/>
  <c r="H10" i="37"/>
  <c r="F10" i="37"/>
  <c r="AP9" i="37"/>
  <c r="Z9" i="37"/>
  <c r="AD9" i="37" s="1"/>
  <c r="X9" i="37"/>
  <c r="R9" i="37"/>
  <c r="H9" i="37"/>
  <c r="AP8" i="37"/>
  <c r="Z8" i="37"/>
  <c r="AD8" i="37" s="1"/>
  <c r="X8" i="37"/>
  <c r="N8" i="37"/>
  <c r="R8" i="37" s="1"/>
  <c r="H8" i="37"/>
  <c r="F8" i="37"/>
  <c r="AP7" i="37"/>
  <c r="Z7" i="37"/>
  <c r="AD7" i="37" s="1"/>
  <c r="X7" i="37"/>
  <c r="N7" i="37"/>
  <c r="R7" i="37" s="1"/>
  <c r="H7" i="37"/>
  <c r="AP6" i="37"/>
  <c r="Z6" i="37"/>
  <c r="N6" i="37"/>
  <c r="H6" i="37"/>
  <c r="L6" i="37" s="1"/>
  <c r="F6" i="37"/>
  <c r="AL5" i="37"/>
  <c r="AL74" i="37" s="1"/>
  <c r="AP74" i="37" s="1"/>
  <c r="E3" i="39"/>
  <c r="AP3" i="37"/>
  <c r="AD3" i="37"/>
  <c r="X3" i="37"/>
  <c r="R3" i="37"/>
  <c r="L3" i="37"/>
  <c r="F3" i="37"/>
  <c r="AP2" i="37"/>
  <c r="AD2" i="37"/>
  <c r="E2" i="51" s="1"/>
  <c r="X2" i="37"/>
  <c r="E2" i="52" s="1"/>
  <c r="R2" i="37"/>
  <c r="E2" i="53" s="1"/>
  <c r="L2" i="37"/>
  <c r="E2" i="50" s="1"/>
  <c r="F2" i="37"/>
  <c r="E2" i="49" s="1"/>
  <c r="Z15" i="36"/>
  <c r="AD15" i="36" s="1"/>
  <c r="X13" i="36"/>
  <c r="D13" i="52" s="1"/>
  <c r="X10" i="36"/>
  <c r="X9" i="36"/>
  <c r="F10" i="36"/>
  <c r="AL19" i="36"/>
  <c r="AP18" i="36"/>
  <c r="AD18" i="36"/>
  <c r="D18" i="51" s="1"/>
  <c r="X18" i="36"/>
  <c r="D18" i="52" s="1"/>
  <c r="L18" i="36"/>
  <c r="D18" i="50" s="1"/>
  <c r="F18" i="36"/>
  <c r="D18" i="49" s="1"/>
  <c r="AP17" i="36"/>
  <c r="AD17" i="36"/>
  <c r="D17" i="51" s="1"/>
  <c r="X17" i="36"/>
  <c r="D17" i="52" s="1"/>
  <c r="L17" i="36"/>
  <c r="D17" i="50" s="1"/>
  <c r="F17" i="36"/>
  <c r="D17" i="49" s="1"/>
  <c r="AP16" i="36"/>
  <c r="Z16" i="36"/>
  <c r="X16" i="36"/>
  <c r="D16" i="52" s="1"/>
  <c r="L16" i="36"/>
  <c r="D16" i="50" s="1"/>
  <c r="F16" i="36"/>
  <c r="D16" i="49" s="1"/>
  <c r="AP15" i="36"/>
  <c r="X15" i="36"/>
  <c r="D15" i="52" s="1"/>
  <c r="H15" i="36"/>
  <c r="AX15" i="36" s="1"/>
  <c r="BB15" i="36" s="1"/>
  <c r="F15" i="36"/>
  <c r="D15" i="49" s="1"/>
  <c r="AP14" i="36"/>
  <c r="Z14" i="36"/>
  <c r="AD14" i="36" s="1"/>
  <c r="X14" i="36"/>
  <c r="D14" i="52" s="1"/>
  <c r="N14" i="36"/>
  <c r="R14" i="36" s="1"/>
  <c r="H14" i="36"/>
  <c r="F14" i="36"/>
  <c r="D14" i="49" s="1"/>
  <c r="AP13" i="36"/>
  <c r="Z13" i="36"/>
  <c r="AD13" i="36" s="1"/>
  <c r="N13" i="36"/>
  <c r="R13" i="36" s="1"/>
  <c r="L13" i="36"/>
  <c r="H13" i="36"/>
  <c r="F13" i="36"/>
  <c r="D13" i="49" s="1"/>
  <c r="AP12" i="36"/>
  <c r="Z12" i="36"/>
  <c r="AD12" i="36" s="1"/>
  <c r="N12" i="36"/>
  <c r="H12" i="36"/>
  <c r="F12" i="36"/>
  <c r="D12" i="49" s="1"/>
  <c r="AP11" i="36"/>
  <c r="Z11" i="36"/>
  <c r="AD11" i="36" s="1"/>
  <c r="R11" i="36"/>
  <c r="H11" i="36"/>
  <c r="F11" i="36"/>
  <c r="AP10" i="36"/>
  <c r="Z10" i="36"/>
  <c r="AD10" i="36" s="1"/>
  <c r="N10" i="36"/>
  <c r="R10" i="36" s="1"/>
  <c r="H10" i="36"/>
  <c r="AP9" i="36"/>
  <c r="Z9" i="36"/>
  <c r="AD9" i="36" s="1"/>
  <c r="R9" i="36"/>
  <c r="H9" i="36"/>
  <c r="F9" i="36"/>
  <c r="AP8" i="36"/>
  <c r="Z8" i="36"/>
  <c r="AD8" i="36" s="1"/>
  <c r="X8" i="36"/>
  <c r="N8" i="36"/>
  <c r="R8" i="36" s="1"/>
  <c r="H8" i="36"/>
  <c r="F8" i="36"/>
  <c r="AP7" i="36"/>
  <c r="Z7" i="36"/>
  <c r="AD7" i="36" s="1"/>
  <c r="X7" i="36"/>
  <c r="N7" i="36"/>
  <c r="R7" i="36" s="1"/>
  <c r="H7" i="36"/>
  <c r="F7" i="36"/>
  <c r="AP6" i="36"/>
  <c r="Z6" i="36"/>
  <c r="AD6" i="36" s="1"/>
  <c r="X6" i="36"/>
  <c r="N6" i="36"/>
  <c r="R6" i="36" s="1"/>
  <c r="H6" i="36"/>
  <c r="N8" i="33"/>
  <c r="N7" i="33"/>
  <c r="N6" i="33"/>
  <c r="N14" i="33"/>
  <c r="N13" i="33"/>
  <c r="N12" i="33"/>
  <c r="AP16" i="33"/>
  <c r="AP17" i="33"/>
  <c r="AP18" i="33"/>
  <c r="Z16" i="33"/>
  <c r="AX16" i="33" s="1"/>
  <c r="Z14" i="33"/>
  <c r="Z9" i="33"/>
  <c r="Z15" i="33"/>
  <c r="Z13" i="33"/>
  <c r="Z12" i="33"/>
  <c r="Z11" i="33"/>
  <c r="Z10" i="33"/>
  <c r="Z8" i="33"/>
  <c r="Z7" i="33"/>
  <c r="Z6" i="33"/>
  <c r="Q52" i="34"/>
  <c r="P52" i="34"/>
  <c r="O52" i="34"/>
  <c r="N52" i="34"/>
  <c r="M52" i="34"/>
  <c r="L52" i="34"/>
  <c r="K52" i="34"/>
  <c r="Z78" i="30"/>
  <c r="AA78" i="30"/>
  <c r="T78" i="30"/>
  <c r="U78" i="30"/>
  <c r="AS94" i="36"/>
  <c r="AV218" i="36"/>
  <c r="AV217" i="36"/>
  <c r="AV216" i="36"/>
  <c r="AV215" i="36"/>
  <c r="AV214" i="36"/>
  <c r="AV213" i="36"/>
  <c r="AV212" i="36"/>
  <c r="AV211" i="36"/>
  <c r="AV210" i="36"/>
  <c r="AV209" i="36"/>
  <c r="AU205" i="36"/>
  <c r="AT205" i="36"/>
  <c r="AS205" i="36"/>
  <c r="AR205" i="36"/>
  <c r="AV204" i="36"/>
  <c r="AV203" i="36"/>
  <c r="AV202" i="36"/>
  <c r="AV201" i="36"/>
  <c r="AV199" i="36"/>
  <c r="AV198" i="36"/>
  <c r="AV197" i="36"/>
  <c r="AV196" i="36"/>
  <c r="AV195" i="36"/>
  <c r="AV194" i="36"/>
  <c r="AT192" i="36"/>
  <c r="AS192" i="36"/>
  <c r="AV191" i="36"/>
  <c r="AV190" i="36"/>
  <c r="AV189" i="36"/>
  <c r="AV188" i="36"/>
  <c r="AV187" i="36"/>
  <c r="AR186" i="36"/>
  <c r="AV185" i="36"/>
  <c r="AV184" i="36"/>
  <c r="AR183" i="36"/>
  <c r="AV182" i="36"/>
  <c r="AV193" i="36" s="1"/>
  <c r="AU182" i="36"/>
  <c r="AU193" i="36" s="1"/>
  <c r="AT182" i="36"/>
  <c r="AT193" i="36" s="1"/>
  <c r="AS182" i="36"/>
  <c r="AS193" i="36" s="1"/>
  <c r="AR182" i="36"/>
  <c r="AR193" i="36" s="1"/>
  <c r="AU181" i="36"/>
  <c r="AT181" i="36"/>
  <c r="AS181" i="36"/>
  <c r="AR180" i="36"/>
  <c r="AV180" i="36" s="1"/>
  <c r="AR179" i="36"/>
  <c r="AV178" i="36"/>
  <c r="AU176" i="36"/>
  <c r="AT176" i="36"/>
  <c r="AS176" i="36"/>
  <c r="AR176" i="36"/>
  <c r="AV174" i="36"/>
  <c r="AV173" i="36"/>
  <c r="AV172" i="36"/>
  <c r="AV171" i="36"/>
  <c r="AV170" i="36"/>
  <c r="AV169" i="36"/>
  <c r="AV162" i="36"/>
  <c r="AV160" i="36"/>
  <c r="AR159" i="36"/>
  <c r="AV159" i="36" s="1"/>
  <c r="AS153" i="36"/>
  <c r="AY153" i="36" s="1"/>
  <c r="BB153" i="36" s="1"/>
  <c r="AV152" i="36"/>
  <c r="AV168" i="36" s="1"/>
  <c r="AU152" i="36"/>
  <c r="AU168" i="36" s="1"/>
  <c r="AT152" i="36"/>
  <c r="AT168" i="36" s="1"/>
  <c r="AS152" i="36"/>
  <c r="AS168" i="36" s="1"/>
  <c r="AR152" i="36"/>
  <c r="AR168" i="36" s="1"/>
  <c r="AU151" i="36"/>
  <c r="AV150" i="36"/>
  <c r="AT149" i="36"/>
  <c r="AT151" i="36" s="1"/>
  <c r="AS149" i="36"/>
  <c r="AR149" i="36"/>
  <c r="AS148" i="36"/>
  <c r="AV148" i="36" s="1"/>
  <c r="AS147" i="36"/>
  <c r="AV147" i="36" s="1"/>
  <c r="AS145" i="36"/>
  <c r="AR144" i="36"/>
  <c r="AR142" i="36"/>
  <c r="AX142" i="36" s="1"/>
  <c r="BB142" i="36" s="1"/>
  <c r="AV140" i="36"/>
  <c r="AU140" i="36"/>
  <c r="AT140" i="36"/>
  <c r="AS140" i="36"/>
  <c r="AR140" i="36"/>
  <c r="AU128" i="36"/>
  <c r="AT128" i="36"/>
  <c r="AS128" i="36"/>
  <c r="AR128" i="36"/>
  <c r="AV125" i="36"/>
  <c r="AV124" i="36"/>
  <c r="AV123" i="36"/>
  <c r="AV122" i="36"/>
  <c r="AV121" i="36"/>
  <c r="AV120" i="36"/>
  <c r="AV119" i="36"/>
  <c r="AV118" i="36"/>
  <c r="AV117" i="36"/>
  <c r="AU117" i="36"/>
  <c r="AT117" i="36"/>
  <c r="AS117" i="36"/>
  <c r="AR117" i="36"/>
  <c r="AS115" i="36"/>
  <c r="AR115" i="36"/>
  <c r="AX115" i="36" s="1"/>
  <c r="AR114" i="36"/>
  <c r="AU113" i="36"/>
  <c r="AT113" i="36"/>
  <c r="AS113" i="36"/>
  <c r="AR113" i="36"/>
  <c r="AV112" i="36"/>
  <c r="AR111" i="36"/>
  <c r="AV111" i="36" s="1"/>
  <c r="AV110" i="36"/>
  <c r="AV109" i="36"/>
  <c r="AR107" i="36"/>
  <c r="AV107" i="36" s="1"/>
  <c r="AV106" i="36"/>
  <c r="AR105" i="36"/>
  <c r="AV104" i="36"/>
  <c r="AV103" i="36"/>
  <c r="AV101" i="36"/>
  <c r="AU101" i="36"/>
  <c r="AT101" i="36"/>
  <c r="AS101" i="36"/>
  <c r="AR101" i="36"/>
  <c r="AU98" i="36"/>
  <c r="AU97" i="36"/>
  <c r="AT97" i="36"/>
  <c r="AS97" i="36"/>
  <c r="AR97" i="36"/>
  <c r="AU96" i="36"/>
  <c r="AT96" i="36"/>
  <c r="AS96" i="36"/>
  <c r="AR96" i="36"/>
  <c r="AU95" i="36"/>
  <c r="AT95" i="36"/>
  <c r="AS95" i="36"/>
  <c r="AR95" i="36"/>
  <c r="AU94" i="36"/>
  <c r="AT94" i="36"/>
  <c r="AU93" i="36"/>
  <c r="AT93" i="36"/>
  <c r="AS93" i="36"/>
  <c r="AU92" i="36"/>
  <c r="AT92" i="36"/>
  <c r="AU91" i="36"/>
  <c r="AU90" i="36"/>
  <c r="AT89" i="36"/>
  <c r="AU88" i="36"/>
  <c r="AT88" i="36"/>
  <c r="AS88" i="36"/>
  <c r="AU87" i="36"/>
  <c r="AT87" i="36"/>
  <c r="AS87" i="36"/>
  <c r="AV84" i="36"/>
  <c r="AV97" i="36" s="1"/>
  <c r="AV83" i="36"/>
  <c r="AV96" i="36" s="1"/>
  <c r="AV82" i="36"/>
  <c r="AV95" i="36" s="1"/>
  <c r="AR94" i="36"/>
  <c r="AV93" i="36"/>
  <c r="AS92" i="36"/>
  <c r="AR92" i="36"/>
  <c r="AT78" i="36"/>
  <c r="AT91" i="36" s="1"/>
  <c r="AS78" i="36"/>
  <c r="AS91" i="36" s="1"/>
  <c r="AR78" i="36"/>
  <c r="AR91" i="36" s="1"/>
  <c r="AT77" i="36"/>
  <c r="AS77" i="36"/>
  <c r="AS90" i="36" s="1"/>
  <c r="AR77" i="36"/>
  <c r="AR90" i="36" s="1"/>
  <c r="AS76" i="36"/>
  <c r="AR76" i="36"/>
  <c r="AR89" i="36" s="1"/>
  <c r="AV73" i="36"/>
  <c r="AU73" i="36"/>
  <c r="AS73" i="36"/>
  <c r="AR73" i="36"/>
  <c r="AU62" i="36"/>
  <c r="AU65" i="36" s="1"/>
  <c r="AT62" i="36"/>
  <c r="AT65" i="36" s="1"/>
  <c r="AS62" i="36"/>
  <c r="AS65" i="36" s="1"/>
  <c r="AR62" i="36"/>
  <c r="AR65" i="36" s="1"/>
  <c r="AV41" i="36"/>
  <c r="AU41" i="36"/>
  <c r="AT41" i="36"/>
  <c r="AS41" i="36"/>
  <c r="AR41" i="36"/>
  <c r="AU39" i="36"/>
  <c r="AT39" i="36"/>
  <c r="AT137" i="36" s="1"/>
  <c r="AS39" i="36"/>
  <c r="AS64" i="36" s="1"/>
  <c r="AS66" i="36" s="1"/>
  <c r="AS132" i="36" s="1"/>
  <c r="AR39" i="36"/>
  <c r="AR137" i="36" s="1"/>
  <c r="AV38" i="36"/>
  <c r="AV37" i="36"/>
  <c r="AV36" i="36"/>
  <c r="AV35" i="36"/>
  <c r="AV34" i="36"/>
  <c r="AV33" i="36"/>
  <c r="AV32" i="36"/>
  <c r="AV31" i="36"/>
  <c r="AV30" i="36"/>
  <c r="AV29" i="36"/>
  <c r="AV27" i="36"/>
  <c r="AV26" i="36"/>
  <c r="AV25" i="36"/>
  <c r="AV24" i="36"/>
  <c r="AV23" i="36"/>
  <c r="AV22" i="36"/>
  <c r="AR19" i="36"/>
  <c r="AV18" i="36"/>
  <c r="AV17" i="36"/>
  <c r="AV16" i="36"/>
  <c r="AV15" i="36"/>
  <c r="AV14" i="36"/>
  <c r="AV13" i="36"/>
  <c r="AV12" i="36"/>
  <c r="AV11" i="36"/>
  <c r="AV10" i="36"/>
  <c r="AV9" i="36"/>
  <c r="AV8" i="36"/>
  <c r="AV7" i="36"/>
  <c r="AV6" i="36"/>
  <c r="AR5" i="36"/>
  <c r="AV5" i="36" s="1"/>
  <c r="AV3" i="36"/>
  <c r="AV2" i="36"/>
  <c r="AV223" i="36"/>
  <c r="AU223" i="36"/>
  <c r="AT223" i="36"/>
  <c r="AS223" i="36"/>
  <c r="AR223" i="36"/>
  <c r="AP223" i="36"/>
  <c r="AO223" i="36"/>
  <c r="AN223" i="36"/>
  <c r="AM223" i="36"/>
  <c r="AL223" i="36"/>
  <c r="AD223" i="36"/>
  <c r="AC223" i="36"/>
  <c r="AB223" i="36"/>
  <c r="AA223" i="36"/>
  <c r="Z223" i="36"/>
  <c r="X223" i="36"/>
  <c r="W223" i="36"/>
  <c r="V223" i="36"/>
  <c r="U223" i="36"/>
  <c r="T223" i="36"/>
  <c r="R223" i="36"/>
  <c r="Q223" i="36"/>
  <c r="P223" i="36"/>
  <c r="O223" i="36"/>
  <c r="N223" i="36"/>
  <c r="L223" i="36"/>
  <c r="K223" i="36"/>
  <c r="J223" i="36"/>
  <c r="I223" i="36"/>
  <c r="H223" i="36"/>
  <c r="F223" i="36"/>
  <c r="E223" i="36"/>
  <c r="D223" i="36"/>
  <c r="C223" i="36"/>
  <c r="B223" i="36"/>
  <c r="A223" i="36"/>
  <c r="AP218" i="36"/>
  <c r="AD218" i="36"/>
  <c r="X218" i="36"/>
  <c r="D218" i="52" s="1"/>
  <c r="R218" i="36"/>
  <c r="D218" i="53" s="1"/>
  <c r="L218" i="36"/>
  <c r="F218" i="36"/>
  <c r="AP217" i="36"/>
  <c r="AD217" i="36"/>
  <c r="D217" i="51" s="1"/>
  <c r="D234" i="51" s="1"/>
  <c r="X217" i="36"/>
  <c r="D217" i="52" s="1"/>
  <c r="D234" i="52" s="1"/>
  <c r="R217" i="36"/>
  <c r="D217" i="53" s="1"/>
  <c r="D234" i="53" s="1"/>
  <c r="L217" i="36"/>
  <c r="D217" i="50" s="1"/>
  <c r="D234" i="50" s="1"/>
  <c r="F217" i="36"/>
  <c r="D217" i="49" s="1"/>
  <c r="D234" i="49" s="1"/>
  <c r="AP216" i="36"/>
  <c r="AD216" i="36"/>
  <c r="D216" i="51" s="1"/>
  <c r="D233" i="51" s="1"/>
  <c r="X216" i="36"/>
  <c r="D216" i="52" s="1"/>
  <c r="D233" i="52" s="1"/>
  <c r="R216" i="36"/>
  <c r="D216" i="53" s="1"/>
  <c r="D233" i="53" s="1"/>
  <c r="L216" i="36"/>
  <c r="D216" i="50" s="1"/>
  <c r="D233" i="50" s="1"/>
  <c r="F216" i="36"/>
  <c r="D216" i="49" s="1"/>
  <c r="D233" i="49" s="1"/>
  <c r="AP215" i="36"/>
  <c r="AD215" i="36"/>
  <c r="D215" i="51" s="1"/>
  <c r="X215" i="36"/>
  <c r="D215" i="52" s="1"/>
  <c r="R215" i="36"/>
  <c r="D215" i="53" s="1"/>
  <c r="L215" i="36"/>
  <c r="D215" i="50" s="1"/>
  <c r="F215" i="36"/>
  <c r="D215" i="49" s="1"/>
  <c r="AP214" i="36"/>
  <c r="AD214" i="36"/>
  <c r="D214" i="51" s="1"/>
  <c r="X214" i="36"/>
  <c r="D214" i="52" s="1"/>
  <c r="R214" i="36"/>
  <c r="D214" i="53" s="1"/>
  <c r="L214" i="36"/>
  <c r="D214" i="50" s="1"/>
  <c r="F214" i="36"/>
  <c r="D214" i="49" s="1"/>
  <c r="AP213" i="36"/>
  <c r="AD213" i="36"/>
  <c r="D213" i="51" s="1"/>
  <c r="X213" i="36"/>
  <c r="D213" i="52" s="1"/>
  <c r="R213" i="36"/>
  <c r="D213" i="53" s="1"/>
  <c r="L213" i="36"/>
  <c r="D213" i="50" s="1"/>
  <c r="F213" i="36"/>
  <c r="D213" i="49" s="1"/>
  <c r="AP212" i="36"/>
  <c r="AD212" i="36"/>
  <c r="D212" i="51" s="1"/>
  <c r="X212" i="36"/>
  <c r="D212" i="52" s="1"/>
  <c r="R212" i="36"/>
  <c r="D212" i="53" s="1"/>
  <c r="L212" i="36"/>
  <c r="D212" i="50" s="1"/>
  <c r="F212" i="36"/>
  <c r="D212" i="49" s="1"/>
  <c r="AP211" i="36"/>
  <c r="AD211" i="36"/>
  <c r="D211" i="51" s="1"/>
  <c r="D232" i="51" s="1"/>
  <c r="X211" i="36"/>
  <c r="D211" i="52" s="1"/>
  <c r="D232" i="52" s="1"/>
  <c r="R211" i="36"/>
  <c r="D211" i="53" s="1"/>
  <c r="D232" i="53" s="1"/>
  <c r="L211" i="36"/>
  <c r="D211" i="50" s="1"/>
  <c r="D232" i="50" s="1"/>
  <c r="F211" i="36"/>
  <c r="D211" i="49" s="1"/>
  <c r="D232" i="49" s="1"/>
  <c r="AP210" i="36"/>
  <c r="AD210" i="36"/>
  <c r="D210" i="51" s="1"/>
  <c r="D231" i="51" s="1"/>
  <c r="R210" i="36"/>
  <c r="D210" i="53" s="1"/>
  <c r="D231" i="53" s="1"/>
  <c r="L210" i="36"/>
  <c r="D210" i="50" s="1"/>
  <c r="D231" i="50" s="1"/>
  <c r="F210" i="36"/>
  <c r="D210" i="49" s="1"/>
  <c r="D231" i="49" s="1"/>
  <c r="AP209" i="36"/>
  <c r="AD209" i="36"/>
  <c r="D209" i="51" s="1"/>
  <c r="D230" i="51" s="1"/>
  <c r="X209" i="36"/>
  <c r="D209" i="52" s="1"/>
  <c r="D230" i="52" s="1"/>
  <c r="R209" i="36"/>
  <c r="D209" i="53" s="1"/>
  <c r="D230" i="53" s="1"/>
  <c r="L209" i="36"/>
  <c r="D209" i="50" s="1"/>
  <c r="D230" i="50" s="1"/>
  <c r="F209" i="36"/>
  <c r="D209" i="49" s="1"/>
  <c r="D230" i="49" s="1"/>
  <c r="AO205" i="36"/>
  <c r="AN205" i="36"/>
  <c r="AM205" i="36"/>
  <c r="AL205" i="36"/>
  <c r="AC205" i="36"/>
  <c r="AB205" i="36"/>
  <c r="AA205" i="36"/>
  <c r="W205" i="36"/>
  <c r="V205" i="36"/>
  <c r="U205" i="36"/>
  <c r="Q205" i="36"/>
  <c r="P205" i="36"/>
  <c r="O205" i="36"/>
  <c r="K205" i="36"/>
  <c r="J205" i="36"/>
  <c r="I205" i="36"/>
  <c r="E205" i="36"/>
  <c r="D205" i="36"/>
  <c r="C205" i="36"/>
  <c r="AP204" i="36"/>
  <c r="AP203" i="36"/>
  <c r="AD203" i="36"/>
  <c r="D203" i="51" s="1"/>
  <c r="X203" i="36"/>
  <c r="D203" i="52" s="1"/>
  <c r="R203" i="36"/>
  <c r="D203" i="53" s="1"/>
  <c r="L203" i="36"/>
  <c r="D203" i="50" s="1"/>
  <c r="F203" i="36"/>
  <c r="D203" i="49" s="1"/>
  <c r="AP202" i="36"/>
  <c r="AP201" i="36"/>
  <c r="AD201" i="36"/>
  <c r="D201" i="51" s="1"/>
  <c r="X201" i="36"/>
  <c r="D201" i="52" s="1"/>
  <c r="R201" i="36"/>
  <c r="D201" i="53" s="1"/>
  <c r="L201" i="36"/>
  <c r="D201" i="50" s="1"/>
  <c r="AP199" i="36"/>
  <c r="AP198" i="36"/>
  <c r="AP197" i="36"/>
  <c r="AP196" i="36"/>
  <c r="AP195" i="36"/>
  <c r="AD195" i="36"/>
  <c r="D195" i="51" s="1"/>
  <c r="X195" i="36"/>
  <c r="D195" i="52" s="1"/>
  <c r="R195" i="36"/>
  <c r="D195" i="53" s="1"/>
  <c r="L195" i="36"/>
  <c r="D195" i="50" s="1"/>
  <c r="AP194" i="36"/>
  <c r="AO192" i="36"/>
  <c r="AN192" i="36"/>
  <c r="AM192" i="36"/>
  <c r="AL192" i="36"/>
  <c r="AB192" i="36"/>
  <c r="AA192" i="36"/>
  <c r="V192" i="36"/>
  <c r="U192" i="36"/>
  <c r="P192" i="36"/>
  <c r="O192" i="36"/>
  <c r="J192" i="36"/>
  <c r="I192" i="36"/>
  <c r="D192" i="36"/>
  <c r="C192" i="36"/>
  <c r="AP191" i="36"/>
  <c r="AD191" i="36"/>
  <c r="D191" i="51" s="1"/>
  <c r="X191" i="36"/>
  <c r="D191" i="52" s="1"/>
  <c r="R191" i="36"/>
  <c r="D191" i="53" s="1"/>
  <c r="L191" i="36"/>
  <c r="D191" i="50" s="1"/>
  <c r="F191" i="36"/>
  <c r="D191" i="49" s="1"/>
  <c r="AP190" i="36"/>
  <c r="AD190" i="36"/>
  <c r="D190" i="51" s="1"/>
  <c r="X190" i="36"/>
  <c r="D190" i="52" s="1"/>
  <c r="R190" i="36"/>
  <c r="D190" i="53" s="1"/>
  <c r="L190" i="36"/>
  <c r="D190" i="50" s="1"/>
  <c r="F190" i="36"/>
  <c r="D190" i="49" s="1"/>
  <c r="AP189" i="36"/>
  <c r="AD189" i="36"/>
  <c r="D189" i="51" s="1"/>
  <c r="X189" i="36"/>
  <c r="D189" i="52" s="1"/>
  <c r="R189" i="36"/>
  <c r="D189" i="53" s="1"/>
  <c r="L189" i="36"/>
  <c r="D189" i="50" s="1"/>
  <c r="F189" i="36"/>
  <c r="D189" i="49" s="1"/>
  <c r="AP188" i="36"/>
  <c r="AD188" i="36"/>
  <c r="D188" i="51" s="1"/>
  <c r="X188" i="36"/>
  <c r="D188" i="52" s="1"/>
  <c r="R188" i="36"/>
  <c r="D188" i="53" s="1"/>
  <c r="L188" i="36"/>
  <c r="D188" i="50" s="1"/>
  <c r="F188" i="36"/>
  <c r="D188" i="49" s="1"/>
  <c r="AP187" i="36"/>
  <c r="AD187" i="36"/>
  <c r="D187" i="51" s="1"/>
  <c r="X187" i="36"/>
  <c r="D187" i="52" s="1"/>
  <c r="R187" i="36"/>
  <c r="D187" i="53" s="1"/>
  <c r="L187" i="36"/>
  <c r="D187" i="50" s="1"/>
  <c r="F187" i="36"/>
  <c r="D187" i="49" s="1"/>
  <c r="AP186" i="36"/>
  <c r="AD186" i="36"/>
  <c r="D186" i="51" s="1"/>
  <c r="X186" i="36"/>
  <c r="D186" i="52" s="1"/>
  <c r="R186" i="36"/>
  <c r="D186" i="53" s="1"/>
  <c r="L186" i="36"/>
  <c r="D186" i="50" s="1"/>
  <c r="F186" i="36"/>
  <c r="D186" i="49" s="1"/>
  <c r="AP185" i="36"/>
  <c r="AD185" i="36"/>
  <c r="D185" i="51" s="1"/>
  <c r="X185" i="36"/>
  <c r="D185" i="52" s="1"/>
  <c r="R185" i="36"/>
  <c r="D185" i="53" s="1"/>
  <c r="L185" i="36"/>
  <c r="D185" i="50" s="1"/>
  <c r="F185" i="36"/>
  <c r="D185" i="49" s="1"/>
  <c r="AP184" i="36"/>
  <c r="AD184" i="36"/>
  <c r="D184" i="51" s="1"/>
  <c r="X184" i="36"/>
  <c r="D184" i="52" s="1"/>
  <c r="R184" i="36"/>
  <c r="D184" i="53" s="1"/>
  <c r="L184" i="36"/>
  <c r="D184" i="50" s="1"/>
  <c r="F184" i="36"/>
  <c r="D184" i="49" s="1"/>
  <c r="AP183" i="36"/>
  <c r="Z183" i="36"/>
  <c r="Z192" i="36" s="1"/>
  <c r="T183" i="36"/>
  <c r="N183" i="36"/>
  <c r="H183" i="36"/>
  <c r="H192" i="36" s="1"/>
  <c r="B183" i="36"/>
  <c r="AP182" i="36"/>
  <c r="AP193" i="36" s="1"/>
  <c r="AO182" i="36"/>
  <c r="AO193" i="36" s="1"/>
  <c r="AN182" i="36"/>
  <c r="AN193" i="36" s="1"/>
  <c r="AM182" i="36"/>
  <c r="AM193" i="36" s="1"/>
  <c r="AL182" i="36"/>
  <c r="AL193" i="36" s="1"/>
  <c r="AD182" i="36"/>
  <c r="AD193" i="36" s="1"/>
  <c r="AC182" i="36"/>
  <c r="AC193" i="36" s="1"/>
  <c r="AB182" i="36"/>
  <c r="AB193" i="36" s="1"/>
  <c r="AA182" i="36"/>
  <c r="AA193" i="36" s="1"/>
  <c r="Z182" i="36"/>
  <c r="Z193" i="36" s="1"/>
  <c r="X182" i="36"/>
  <c r="X193" i="36" s="1"/>
  <c r="W182" i="36"/>
  <c r="W193" i="36" s="1"/>
  <c r="V182" i="36"/>
  <c r="V193" i="36" s="1"/>
  <c r="U182" i="36"/>
  <c r="U193" i="36" s="1"/>
  <c r="T182" i="36"/>
  <c r="T193" i="36" s="1"/>
  <c r="R182" i="36"/>
  <c r="R193" i="36" s="1"/>
  <c r="Q182" i="36"/>
  <c r="Q193" i="36" s="1"/>
  <c r="P182" i="36"/>
  <c r="P193" i="36" s="1"/>
  <c r="O182" i="36"/>
  <c r="O193" i="36" s="1"/>
  <c r="N182" i="36"/>
  <c r="N193" i="36" s="1"/>
  <c r="L182" i="36"/>
  <c r="L193" i="36" s="1"/>
  <c r="K182" i="36"/>
  <c r="K193" i="36" s="1"/>
  <c r="J182" i="36"/>
  <c r="J193" i="36" s="1"/>
  <c r="I182" i="36"/>
  <c r="I193" i="36" s="1"/>
  <c r="H182" i="36"/>
  <c r="H193" i="36" s="1"/>
  <c r="F182" i="36"/>
  <c r="F193" i="36" s="1"/>
  <c r="E182" i="36"/>
  <c r="E193" i="36" s="1"/>
  <c r="D182" i="36"/>
  <c r="D193" i="36" s="1"/>
  <c r="C182" i="36"/>
  <c r="C193" i="36" s="1"/>
  <c r="B182" i="36"/>
  <c r="B193" i="36" s="1"/>
  <c r="AO181" i="36"/>
  <c r="AN181" i="36"/>
  <c r="AM181" i="36"/>
  <c r="AL181" i="36"/>
  <c r="AC181" i="36"/>
  <c r="AB181" i="36"/>
  <c r="AA181" i="36"/>
  <c r="W181" i="36"/>
  <c r="V181" i="36"/>
  <c r="U181" i="36"/>
  <c r="Q181" i="36"/>
  <c r="P181" i="36"/>
  <c r="O181" i="36"/>
  <c r="K181" i="36"/>
  <c r="J181" i="36"/>
  <c r="I181" i="36"/>
  <c r="E181" i="36"/>
  <c r="D181" i="36"/>
  <c r="C181" i="36"/>
  <c r="AP180" i="36"/>
  <c r="AP179" i="36"/>
  <c r="AP178" i="36"/>
  <c r="AO176" i="36"/>
  <c r="AN176" i="36"/>
  <c r="AM176" i="36"/>
  <c r="AL176" i="36"/>
  <c r="AC176" i="36"/>
  <c r="AB176" i="36"/>
  <c r="AA176" i="36"/>
  <c r="W176" i="36"/>
  <c r="V176" i="36"/>
  <c r="U176" i="36"/>
  <c r="Q176" i="36"/>
  <c r="P176" i="36"/>
  <c r="O176" i="36"/>
  <c r="K176" i="36"/>
  <c r="J176" i="36"/>
  <c r="I176" i="36"/>
  <c r="E176" i="36"/>
  <c r="D176" i="36"/>
  <c r="C176" i="36"/>
  <c r="AP174" i="36"/>
  <c r="AP173" i="36"/>
  <c r="AD173" i="36"/>
  <c r="D173" i="51" s="1"/>
  <c r="X173" i="36"/>
  <c r="D173" i="52" s="1"/>
  <c r="R173" i="36"/>
  <c r="D173" i="53" s="1"/>
  <c r="L173" i="36"/>
  <c r="D173" i="50" s="1"/>
  <c r="F173" i="36"/>
  <c r="D173" i="49" s="1"/>
  <c r="AP172" i="36"/>
  <c r="AD172" i="36"/>
  <c r="D172" i="51" s="1"/>
  <c r="X172" i="36"/>
  <c r="D172" i="52" s="1"/>
  <c r="R172" i="36"/>
  <c r="D172" i="53" s="1"/>
  <c r="L172" i="36"/>
  <c r="D172" i="50" s="1"/>
  <c r="F172" i="36"/>
  <c r="D172" i="49" s="1"/>
  <c r="AP171" i="36"/>
  <c r="AD171" i="36"/>
  <c r="D171" i="51" s="1"/>
  <c r="X171" i="36"/>
  <c r="D171" i="52" s="1"/>
  <c r="R171" i="36"/>
  <c r="D171" i="53" s="1"/>
  <c r="L171" i="36"/>
  <c r="D171" i="50" s="1"/>
  <c r="F171" i="36"/>
  <c r="D171" i="49" s="1"/>
  <c r="AP170" i="36"/>
  <c r="AP169" i="36"/>
  <c r="AP162" i="36"/>
  <c r="AD162" i="36"/>
  <c r="D162" i="51" s="1"/>
  <c r="X162" i="36"/>
  <c r="D162" i="52" s="1"/>
  <c r="R162" i="36"/>
  <c r="D162" i="53" s="1"/>
  <c r="L162" i="36"/>
  <c r="D162" i="50" s="1"/>
  <c r="F162" i="36"/>
  <c r="D162" i="49" s="1"/>
  <c r="AP160" i="36"/>
  <c r="AD160" i="36"/>
  <c r="D160" i="51" s="1"/>
  <c r="X160" i="36"/>
  <c r="D160" i="52" s="1"/>
  <c r="R160" i="36"/>
  <c r="D160" i="53" s="1"/>
  <c r="L160" i="36"/>
  <c r="D160" i="50" s="1"/>
  <c r="F160" i="36"/>
  <c r="D160" i="49" s="1"/>
  <c r="AP159" i="36"/>
  <c r="AD159" i="36"/>
  <c r="D159" i="51" s="1"/>
  <c r="X159" i="36"/>
  <c r="D159" i="52" s="1"/>
  <c r="R159" i="36"/>
  <c r="D159" i="53" s="1"/>
  <c r="L159" i="36"/>
  <c r="D159" i="50" s="1"/>
  <c r="AP156" i="36"/>
  <c r="AD156" i="36"/>
  <c r="D156" i="51" s="1"/>
  <c r="X156" i="36"/>
  <c r="D156" i="52" s="1"/>
  <c r="R156" i="36"/>
  <c r="D156" i="53" s="1"/>
  <c r="L156" i="36"/>
  <c r="D156" i="50" s="1"/>
  <c r="F156" i="36"/>
  <c r="D156" i="49" s="1"/>
  <c r="AP155" i="36"/>
  <c r="AD155" i="36"/>
  <c r="D155" i="51" s="1"/>
  <c r="X155" i="36"/>
  <c r="D155" i="52" s="1"/>
  <c r="R155" i="36"/>
  <c r="D155" i="53" s="1"/>
  <c r="L155" i="36"/>
  <c r="D155" i="50" s="1"/>
  <c r="F155" i="36"/>
  <c r="D155" i="49" s="1"/>
  <c r="AP153" i="36"/>
  <c r="AD153" i="36"/>
  <c r="D153" i="51" s="1"/>
  <c r="X153" i="36"/>
  <c r="D153" i="52" s="1"/>
  <c r="R153" i="36"/>
  <c r="D153" i="53" s="1"/>
  <c r="L153" i="36"/>
  <c r="D153" i="50" s="1"/>
  <c r="F153" i="36"/>
  <c r="D153" i="49" s="1"/>
  <c r="AP152" i="36"/>
  <c r="AP168" i="36" s="1"/>
  <c r="AO152" i="36"/>
  <c r="AO168" i="36" s="1"/>
  <c r="AN152" i="36"/>
  <c r="AN168" i="36" s="1"/>
  <c r="AM152" i="36"/>
  <c r="AM168" i="36" s="1"/>
  <c r="AL152" i="36"/>
  <c r="AL168" i="36" s="1"/>
  <c r="AD152" i="36"/>
  <c r="AD168" i="36" s="1"/>
  <c r="AC152" i="36"/>
  <c r="AC168" i="36" s="1"/>
  <c r="AB152" i="36"/>
  <c r="AB168" i="36" s="1"/>
  <c r="AA152" i="36"/>
  <c r="AA168" i="36" s="1"/>
  <c r="Z152" i="36"/>
  <c r="Z168" i="36" s="1"/>
  <c r="X152" i="36"/>
  <c r="X168" i="36" s="1"/>
  <c r="W152" i="36"/>
  <c r="W168" i="36" s="1"/>
  <c r="V152" i="36"/>
  <c r="V168" i="36" s="1"/>
  <c r="U152" i="36"/>
  <c r="U168" i="36" s="1"/>
  <c r="T152" i="36"/>
  <c r="T168" i="36" s="1"/>
  <c r="R152" i="36"/>
  <c r="R168" i="36" s="1"/>
  <c r="Q152" i="36"/>
  <c r="Q168" i="36" s="1"/>
  <c r="P152" i="36"/>
  <c r="P168" i="36" s="1"/>
  <c r="O152" i="36"/>
  <c r="O168" i="36" s="1"/>
  <c r="N152" i="36"/>
  <c r="N168" i="36" s="1"/>
  <c r="L152" i="36"/>
  <c r="L168" i="36" s="1"/>
  <c r="K152" i="36"/>
  <c r="K168" i="36" s="1"/>
  <c r="J152" i="36"/>
  <c r="J168" i="36" s="1"/>
  <c r="I152" i="36"/>
  <c r="I168" i="36" s="1"/>
  <c r="H152" i="36"/>
  <c r="H168" i="36" s="1"/>
  <c r="F152" i="36"/>
  <c r="F168" i="36" s="1"/>
  <c r="E152" i="36"/>
  <c r="E168" i="36" s="1"/>
  <c r="D152" i="36"/>
  <c r="D168" i="36" s="1"/>
  <c r="C152" i="36"/>
  <c r="C168" i="36" s="1"/>
  <c r="B152" i="36"/>
  <c r="B168" i="36" s="1"/>
  <c r="AO151" i="36"/>
  <c r="AC151" i="36"/>
  <c r="W151" i="36"/>
  <c r="Q151" i="36"/>
  <c r="K151" i="36"/>
  <c r="E151" i="36"/>
  <c r="AP150" i="36"/>
  <c r="AD150" i="36"/>
  <c r="D150" i="51" s="1"/>
  <c r="X150" i="36"/>
  <c r="D150" i="52" s="1"/>
  <c r="R150" i="36"/>
  <c r="D150" i="53" s="1"/>
  <c r="L150" i="36"/>
  <c r="D150" i="50" s="1"/>
  <c r="F150" i="36"/>
  <c r="D150" i="49" s="1"/>
  <c r="AN149" i="36"/>
  <c r="AN151" i="36" s="1"/>
  <c r="AM149" i="36"/>
  <c r="AY149" i="36" s="1"/>
  <c r="AL149" i="36"/>
  <c r="AX149" i="36" s="1"/>
  <c r="AM148" i="36"/>
  <c r="AM147" i="36"/>
  <c r="AY147" i="36" s="1"/>
  <c r="U151" i="36"/>
  <c r="AM145" i="36"/>
  <c r="AY145" i="36" s="1"/>
  <c r="AP144" i="36"/>
  <c r="AD144" i="36"/>
  <c r="D144" i="51" s="1"/>
  <c r="X144" i="36"/>
  <c r="D144" i="52" s="1"/>
  <c r="R144" i="36"/>
  <c r="D144" i="53" s="1"/>
  <c r="L144" i="36"/>
  <c r="D144" i="50" s="1"/>
  <c r="F144" i="36"/>
  <c r="D144" i="49" s="1"/>
  <c r="AP142" i="36"/>
  <c r="AD142" i="36"/>
  <c r="D142" i="51" s="1"/>
  <c r="X142" i="36"/>
  <c r="D142" i="52" s="1"/>
  <c r="R142" i="36"/>
  <c r="D142" i="53" s="1"/>
  <c r="L142" i="36"/>
  <c r="D142" i="50" s="1"/>
  <c r="F142" i="36"/>
  <c r="D142" i="49" s="1"/>
  <c r="AP140" i="36"/>
  <c r="AO140" i="36"/>
  <c r="AN140" i="36"/>
  <c r="AM140" i="36"/>
  <c r="AL140" i="36"/>
  <c r="AD140" i="36"/>
  <c r="AC140" i="36"/>
  <c r="AB140" i="36"/>
  <c r="AA140" i="36"/>
  <c r="Z140" i="36"/>
  <c r="X140" i="36"/>
  <c r="W140" i="36"/>
  <c r="V140" i="36"/>
  <c r="U140" i="36"/>
  <c r="T140" i="36"/>
  <c r="R140" i="36"/>
  <c r="Q140" i="36"/>
  <c r="P140" i="36"/>
  <c r="O140" i="36"/>
  <c r="N140" i="36"/>
  <c r="L140" i="36"/>
  <c r="K140" i="36"/>
  <c r="J140" i="36"/>
  <c r="I140" i="36"/>
  <c r="H140" i="36"/>
  <c r="F140" i="36"/>
  <c r="E140" i="36"/>
  <c r="D140" i="36"/>
  <c r="C140" i="36"/>
  <c r="B140" i="36"/>
  <c r="AN128" i="36"/>
  <c r="AL128" i="36"/>
  <c r="AC128" i="36"/>
  <c r="Z128" i="36"/>
  <c r="T128" i="36"/>
  <c r="N128" i="36"/>
  <c r="K128" i="36"/>
  <c r="H128" i="36"/>
  <c r="E128" i="36"/>
  <c r="B128" i="36"/>
  <c r="W128" i="36"/>
  <c r="AP125" i="36"/>
  <c r="AD125" i="36"/>
  <c r="D125" i="51" s="1"/>
  <c r="X125" i="36"/>
  <c r="D125" i="52" s="1"/>
  <c r="R125" i="36"/>
  <c r="D125" i="53" s="1"/>
  <c r="L125" i="36"/>
  <c r="D125" i="50" s="1"/>
  <c r="F125" i="36"/>
  <c r="D125" i="49" s="1"/>
  <c r="AP123" i="36"/>
  <c r="R123" i="36"/>
  <c r="D123" i="53" s="1"/>
  <c r="F123" i="36"/>
  <c r="D123" i="49" s="1"/>
  <c r="AP122" i="36"/>
  <c r="R122" i="36"/>
  <c r="D122" i="53" s="1"/>
  <c r="L122" i="36"/>
  <c r="D122" i="50" s="1"/>
  <c r="F122" i="36"/>
  <c r="D122" i="49" s="1"/>
  <c r="AP121" i="36"/>
  <c r="L121" i="36"/>
  <c r="D121" i="50" s="1"/>
  <c r="F121" i="36"/>
  <c r="D121" i="49" s="1"/>
  <c r="AP120" i="36"/>
  <c r="R120" i="36"/>
  <c r="D120" i="53" s="1"/>
  <c r="F120" i="36"/>
  <c r="D120" i="49" s="1"/>
  <c r="AP119" i="36"/>
  <c r="R119" i="36"/>
  <c r="D119" i="53" s="1"/>
  <c r="AP118" i="36"/>
  <c r="AD118" i="36"/>
  <c r="D118" i="51" s="1"/>
  <c r="X118" i="36"/>
  <c r="D118" i="52" s="1"/>
  <c r="R118" i="36"/>
  <c r="D118" i="53" s="1"/>
  <c r="L118" i="36"/>
  <c r="D118" i="50" s="1"/>
  <c r="F118" i="36"/>
  <c r="D118" i="49" s="1"/>
  <c r="AP117" i="36"/>
  <c r="AO117" i="36"/>
  <c r="AN117" i="36"/>
  <c r="AM117" i="36"/>
  <c r="AL117" i="36"/>
  <c r="AD117" i="36"/>
  <c r="AC117" i="36"/>
  <c r="AB117" i="36"/>
  <c r="AA117" i="36"/>
  <c r="Z117" i="36"/>
  <c r="X117" i="36"/>
  <c r="W117" i="36"/>
  <c r="V117" i="36"/>
  <c r="U117" i="36"/>
  <c r="T117" i="36"/>
  <c r="R117" i="36"/>
  <c r="Q117" i="36"/>
  <c r="P117" i="36"/>
  <c r="O117" i="36"/>
  <c r="N117" i="36"/>
  <c r="L117" i="36"/>
  <c r="K117" i="36"/>
  <c r="J117" i="36"/>
  <c r="I117" i="36"/>
  <c r="H117" i="36"/>
  <c r="F117" i="36"/>
  <c r="E117" i="36"/>
  <c r="D117" i="36"/>
  <c r="C117" i="36"/>
  <c r="B117" i="36"/>
  <c r="AO116" i="36"/>
  <c r="AN116" i="36"/>
  <c r="AM116" i="36"/>
  <c r="P116" i="36"/>
  <c r="J116" i="36"/>
  <c r="AP115" i="36"/>
  <c r="AA115" i="36"/>
  <c r="AD115" i="36" s="1"/>
  <c r="D115" i="51" s="1"/>
  <c r="U115" i="36"/>
  <c r="X115" i="36" s="1"/>
  <c r="D115" i="52" s="1"/>
  <c r="O115" i="36"/>
  <c r="R115" i="36" s="1"/>
  <c r="D115" i="53" s="1"/>
  <c r="I115" i="36"/>
  <c r="L115" i="36" s="1"/>
  <c r="D115" i="50" s="1"/>
  <c r="C115" i="36"/>
  <c r="AP114" i="36"/>
  <c r="AD114" i="36"/>
  <c r="D114" i="51" s="1"/>
  <c r="R114" i="36"/>
  <c r="D114" i="53" s="1"/>
  <c r="L114" i="36"/>
  <c r="D114" i="50" s="1"/>
  <c r="D114" i="36"/>
  <c r="AZ114" i="36" s="1"/>
  <c r="AP113" i="36"/>
  <c r="AD113" i="36"/>
  <c r="D113" i="51" s="1"/>
  <c r="X113" i="36"/>
  <c r="D113" i="52" s="1"/>
  <c r="B113" i="36"/>
  <c r="AX113" i="36" s="1"/>
  <c r="AP112" i="36"/>
  <c r="Z112" i="36"/>
  <c r="AD112" i="36" s="1"/>
  <c r="D112" i="51" s="1"/>
  <c r="T112" i="36"/>
  <c r="X112" i="36" s="1"/>
  <c r="D112" i="52" s="1"/>
  <c r="N112" i="36"/>
  <c r="R112" i="36" s="1"/>
  <c r="D112" i="53" s="1"/>
  <c r="H112" i="36"/>
  <c r="F112" i="36"/>
  <c r="D112" i="49" s="1"/>
  <c r="AP110" i="36"/>
  <c r="AD110" i="36"/>
  <c r="D110" i="51" s="1"/>
  <c r="AB116" i="36"/>
  <c r="R110" i="36"/>
  <c r="D110" i="53" s="1"/>
  <c r="L110" i="36"/>
  <c r="D110" i="50" s="1"/>
  <c r="F110" i="36"/>
  <c r="D110" i="49" s="1"/>
  <c r="AP109" i="36"/>
  <c r="AD109" i="36"/>
  <c r="D109" i="51" s="1"/>
  <c r="X109" i="36"/>
  <c r="D109" i="52" s="1"/>
  <c r="R109" i="36"/>
  <c r="D109" i="53" s="1"/>
  <c r="L109" i="36"/>
  <c r="D109" i="50" s="1"/>
  <c r="F109" i="36"/>
  <c r="D109" i="49" s="1"/>
  <c r="AP108" i="36"/>
  <c r="AP107" i="36"/>
  <c r="AP106" i="36"/>
  <c r="AD106" i="36"/>
  <c r="D106" i="51" s="1"/>
  <c r="X106" i="36"/>
  <c r="D106" i="52" s="1"/>
  <c r="L106" i="36"/>
  <c r="D106" i="50" s="1"/>
  <c r="F106" i="36"/>
  <c r="D106" i="49" s="1"/>
  <c r="R105" i="36"/>
  <c r="D105" i="53" s="1"/>
  <c r="AP104" i="36"/>
  <c r="AP103" i="36"/>
  <c r="AP101" i="36"/>
  <c r="AO101" i="36"/>
  <c r="AN101" i="36"/>
  <c r="AM101" i="36"/>
  <c r="AL101" i="36"/>
  <c r="AD101" i="36"/>
  <c r="AC101" i="36"/>
  <c r="AB101" i="36"/>
  <c r="AA101" i="36"/>
  <c r="Z101" i="36"/>
  <c r="X101" i="36"/>
  <c r="W101" i="36"/>
  <c r="V101" i="36"/>
  <c r="U101" i="36"/>
  <c r="T101" i="36"/>
  <c r="R101" i="36"/>
  <c r="Q101" i="36"/>
  <c r="P101" i="36"/>
  <c r="O101" i="36"/>
  <c r="N101" i="36"/>
  <c r="L101" i="36"/>
  <c r="K101" i="36"/>
  <c r="J101" i="36"/>
  <c r="I101" i="36"/>
  <c r="H101" i="36"/>
  <c r="F101" i="36"/>
  <c r="E101" i="36"/>
  <c r="D101" i="36"/>
  <c r="C101" i="36"/>
  <c r="B101" i="36"/>
  <c r="AO98" i="36"/>
  <c r="AC98" i="36"/>
  <c r="W98" i="36"/>
  <c r="Q98" i="36"/>
  <c r="K98" i="36"/>
  <c r="E98" i="36"/>
  <c r="AO97" i="36"/>
  <c r="AN97" i="36"/>
  <c r="AM97" i="36"/>
  <c r="AL97" i="36"/>
  <c r="AC97" i="36"/>
  <c r="AB97" i="36"/>
  <c r="AA97" i="36"/>
  <c r="Z97" i="36"/>
  <c r="W97" i="36"/>
  <c r="V97" i="36"/>
  <c r="U97" i="36"/>
  <c r="T97" i="36"/>
  <c r="Q97" i="36"/>
  <c r="P97" i="36"/>
  <c r="O97" i="36"/>
  <c r="N97" i="36"/>
  <c r="K97" i="36"/>
  <c r="J97" i="36"/>
  <c r="I97" i="36"/>
  <c r="H97" i="36"/>
  <c r="E97" i="36"/>
  <c r="D97" i="36"/>
  <c r="AZ97" i="36" s="1"/>
  <c r="C97" i="36"/>
  <c r="AY97" i="36" s="1"/>
  <c r="B97" i="36"/>
  <c r="AO96" i="36"/>
  <c r="AN96" i="36"/>
  <c r="AM96" i="36"/>
  <c r="AL96" i="36"/>
  <c r="AC96" i="36"/>
  <c r="AB96" i="36"/>
  <c r="AA96" i="36"/>
  <c r="Z96" i="36"/>
  <c r="W96" i="36"/>
  <c r="V96" i="36"/>
  <c r="U96" i="36"/>
  <c r="T96" i="36"/>
  <c r="Q96" i="36"/>
  <c r="P96" i="36"/>
  <c r="O96" i="36"/>
  <c r="N96" i="36"/>
  <c r="K96" i="36"/>
  <c r="J96" i="36"/>
  <c r="I96" i="36"/>
  <c r="H96" i="36"/>
  <c r="E96" i="36"/>
  <c r="D96" i="36"/>
  <c r="AZ96" i="36" s="1"/>
  <c r="C96" i="36"/>
  <c r="AY96" i="36" s="1"/>
  <c r="B96" i="36"/>
  <c r="AO95" i="36"/>
  <c r="AN95" i="36"/>
  <c r="AM95" i="36"/>
  <c r="AC95" i="36"/>
  <c r="AB95" i="36"/>
  <c r="AA95" i="36"/>
  <c r="W95" i="36"/>
  <c r="V95" i="36"/>
  <c r="U95" i="36"/>
  <c r="T95" i="36"/>
  <c r="Q95" i="36"/>
  <c r="P95" i="36"/>
  <c r="O95" i="36"/>
  <c r="N95" i="36"/>
  <c r="K95" i="36"/>
  <c r="J95" i="36"/>
  <c r="I95" i="36"/>
  <c r="E95" i="36"/>
  <c r="D95" i="36"/>
  <c r="C95" i="36"/>
  <c r="B95" i="36"/>
  <c r="AO94" i="36"/>
  <c r="AN94" i="36"/>
  <c r="AC94" i="36"/>
  <c r="AB94" i="36"/>
  <c r="W94" i="36"/>
  <c r="V94" i="36"/>
  <c r="Q94" i="36"/>
  <c r="P94" i="36"/>
  <c r="K94" i="36"/>
  <c r="J94" i="36"/>
  <c r="E94" i="36"/>
  <c r="D94" i="36"/>
  <c r="AO93" i="36"/>
  <c r="AN93" i="36"/>
  <c r="AC93" i="36"/>
  <c r="AB93" i="36"/>
  <c r="W93" i="36"/>
  <c r="V93" i="36"/>
  <c r="Q93" i="36"/>
  <c r="P93" i="36"/>
  <c r="K93" i="36"/>
  <c r="J93" i="36"/>
  <c r="E93" i="36"/>
  <c r="BA93" i="36" s="1"/>
  <c r="D93" i="36"/>
  <c r="AO92" i="36"/>
  <c r="AN92" i="36"/>
  <c r="AC92" i="36"/>
  <c r="AB92" i="36"/>
  <c r="W92" i="36"/>
  <c r="V92" i="36"/>
  <c r="Q92" i="36"/>
  <c r="P92" i="36"/>
  <c r="K92" i="36"/>
  <c r="J92" i="36"/>
  <c r="E92" i="36"/>
  <c r="D92" i="36"/>
  <c r="AO91" i="36"/>
  <c r="AC91" i="36"/>
  <c r="W91" i="36"/>
  <c r="Q91" i="36"/>
  <c r="K91" i="36"/>
  <c r="E91" i="36"/>
  <c r="AO90" i="36"/>
  <c r="AC90" i="36"/>
  <c r="W90" i="36"/>
  <c r="Q90" i="36"/>
  <c r="K90" i="36"/>
  <c r="E90" i="36"/>
  <c r="AN89" i="36"/>
  <c r="AB89" i="36"/>
  <c r="V89" i="36"/>
  <c r="P89" i="36"/>
  <c r="J89" i="36"/>
  <c r="D89" i="36"/>
  <c r="AO88" i="36"/>
  <c r="AN88" i="36"/>
  <c r="AM88" i="36"/>
  <c r="AC88" i="36"/>
  <c r="AB88" i="36"/>
  <c r="AA88" i="36"/>
  <c r="W88" i="36"/>
  <c r="V88" i="36"/>
  <c r="U88" i="36"/>
  <c r="Q88" i="36"/>
  <c r="P88" i="36"/>
  <c r="O88" i="36"/>
  <c r="K88" i="36"/>
  <c r="J88" i="36"/>
  <c r="I88" i="36"/>
  <c r="E88" i="36"/>
  <c r="D88" i="36"/>
  <c r="C88" i="36"/>
  <c r="AO87" i="36"/>
  <c r="AN87" i="36"/>
  <c r="AM87" i="36"/>
  <c r="AC87" i="36"/>
  <c r="AB87" i="36"/>
  <c r="AA87" i="36"/>
  <c r="W87" i="36"/>
  <c r="V87" i="36"/>
  <c r="U87" i="36"/>
  <c r="Q87" i="36"/>
  <c r="P87" i="36"/>
  <c r="O87" i="36"/>
  <c r="K87" i="36"/>
  <c r="J87" i="36"/>
  <c r="I87" i="36"/>
  <c r="E87" i="36"/>
  <c r="D87" i="36"/>
  <c r="C87" i="36"/>
  <c r="AP84" i="36"/>
  <c r="AP97" i="36" s="1"/>
  <c r="AD84" i="36"/>
  <c r="X84" i="36"/>
  <c r="R84" i="36"/>
  <c r="L84" i="36"/>
  <c r="F84" i="36"/>
  <c r="AP83" i="36"/>
  <c r="AP96" i="36" s="1"/>
  <c r="AD83" i="36"/>
  <c r="X83" i="36"/>
  <c r="R83" i="36"/>
  <c r="L83" i="36"/>
  <c r="F83" i="36"/>
  <c r="AL95" i="36"/>
  <c r="X82" i="36"/>
  <c r="R82" i="36"/>
  <c r="F82" i="36"/>
  <c r="AM94" i="36"/>
  <c r="Z94" i="36"/>
  <c r="N94" i="36"/>
  <c r="H94" i="36"/>
  <c r="B94" i="36"/>
  <c r="AM93" i="36"/>
  <c r="AL93" i="36"/>
  <c r="Z93" i="36"/>
  <c r="T93" i="36"/>
  <c r="H93" i="36"/>
  <c r="B93" i="36"/>
  <c r="AM92" i="36"/>
  <c r="Z92" i="36"/>
  <c r="T92" i="36"/>
  <c r="N92" i="36"/>
  <c r="B92" i="36"/>
  <c r="AN78" i="36"/>
  <c r="AN91" i="36" s="1"/>
  <c r="AM78" i="36"/>
  <c r="AM91" i="36" s="1"/>
  <c r="AL78" i="36"/>
  <c r="AL91" i="36" s="1"/>
  <c r="AA78" i="36"/>
  <c r="AA91" i="36" s="1"/>
  <c r="Z78" i="36"/>
  <c r="Z91" i="36" s="1"/>
  <c r="U78" i="36"/>
  <c r="U91" i="36" s="1"/>
  <c r="T78" i="36"/>
  <c r="T91" i="36" s="1"/>
  <c r="O78" i="36"/>
  <c r="O91" i="36" s="1"/>
  <c r="N78" i="36"/>
  <c r="N91" i="36" s="1"/>
  <c r="I78" i="36"/>
  <c r="I91" i="36" s="1"/>
  <c r="H78" i="36"/>
  <c r="C78" i="36"/>
  <c r="B78" i="36"/>
  <c r="AN77" i="36"/>
  <c r="AN90" i="36" s="1"/>
  <c r="AM77" i="36"/>
  <c r="AM90" i="36" s="1"/>
  <c r="AL77" i="36"/>
  <c r="AA77" i="36"/>
  <c r="AA90" i="36" s="1"/>
  <c r="Z77" i="36"/>
  <c r="U77" i="36"/>
  <c r="U90" i="36" s="1"/>
  <c r="T77" i="36"/>
  <c r="O77" i="36"/>
  <c r="O90" i="36" s="1"/>
  <c r="N77" i="36"/>
  <c r="I77" i="36"/>
  <c r="I90" i="36" s="1"/>
  <c r="H77" i="36"/>
  <c r="C77" i="36"/>
  <c r="B77" i="36"/>
  <c r="AM76" i="36"/>
  <c r="AM89" i="36" s="1"/>
  <c r="AL76" i="36"/>
  <c r="AL89" i="36" s="1"/>
  <c r="AA76" i="36"/>
  <c r="Z76" i="36"/>
  <c r="Z89" i="36" s="1"/>
  <c r="U76" i="36"/>
  <c r="U89" i="36" s="1"/>
  <c r="T76" i="36"/>
  <c r="T89" i="36" s="1"/>
  <c r="O76" i="36"/>
  <c r="O89" i="36" s="1"/>
  <c r="N76" i="36"/>
  <c r="N89" i="36" s="1"/>
  <c r="I76" i="36"/>
  <c r="I89" i="36" s="1"/>
  <c r="H76" i="36"/>
  <c r="H89" i="36" s="1"/>
  <c r="C76" i="36"/>
  <c r="AY76" i="36" s="1"/>
  <c r="B76" i="36"/>
  <c r="AP73" i="36"/>
  <c r="AO73" i="36"/>
  <c r="AM73" i="36"/>
  <c r="AL73" i="36"/>
  <c r="AD73" i="36"/>
  <c r="AC73" i="36"/>
  <c r="AA73" i="36"/>
  <c r="Z73" i="36"/>
  <c r="X73" i="36"/>
  <c r="W73" i="36"/>
  <c r="U73" i="36"/>
  <c r="T73" i="36"/>
  <c r="R73" i="36"/>
  <c r="Q73" i="36"/>
  <c r="O73" i="36"/>
  <c r="N73" i="36"/>
  <c r="L73" i="36"/>
  <c r="K73" i="36"/>
  <c r="I73" i="36"/>
  <c r="H73" i="36"/>
  <c r="F73" i="36"/>
  <c r="E73" i="36"/>
  <c r="C73" i="36"/>
  <c r="B73" i="36"/>
  <c r="AO62" i="36"/>
  <c r="AO65" i="36" s="1"/>
  <c r="AN62" i="36"/>
  <c r="AN65" i="36" s="1"/>
  <c r="AM62" i="36"/>
  <c r="AM65" i="36" s="1"/>
  <c r="AL62" i="36"/>
  <c r="AL65" i="36" s="1"/>
  <c r="AC62" i="36"/>
  <c r="AC65" i="36" s="1"/>
  <c r="AB62" i="36"/>
  <c r="AB65" i="36" s="1"/>
  <c r="AA62" i="36"/>
  <c r="AA65" i="36" s="1"/>
  <c r="Z62" i="36"/>
  <c r="Z65" i="36" s="1"/>
  <c r="W62" i="36"/>
  <c r="W65" i="36" s="1"/>
  <c r="V62" i="36"/>
  <c r="V65" i="36" s="1"/>
  <c r="U62" i="36"/>
  <c r="U65" i="36" s="1"/>
  <c r="T62" i="36"/>
  <c r="T65" i="36" s="1"/>
  <c r="Q62" i="36"/>
  <c r="Q65" i="36" s="1"/>
  <c r="P62" i="36"/>
  <c r="P65" i="36" s="1"/>
  <c r="O62" i="36"/>
  <c r="O65" i="36" s="1"/>
  <c r="N62" i="36"/>
  <c r="N65" i="36" s="1"/>
  <c r="K62" i="36"/>
  <c r="K65" i="36" s="1"/>
  <c r="J62" i="36"/>
  <c r="J65" i="36" s="1"/>
  <c r="I62" i="36"/>
  <c r="I65" i="36" s="1"/>
  <c r="H62" i="36"/>
  <c r="H65" i="36" s="1"/>
  <c r="E62" i="36"/>
  <c r="E65" i="36" s="1"/>
  <c r="D62" i="36"/>
  <c r="D65" i="36" s="1"/>
  <c r="C62" i="36"/>
  <c r="C65" i="36" s="1"/>
  <c r="B62" i="36"/>
  <c r="B65" i="36" s="1"/>
  <c r="AP62" i="36"/>
  <c r="AP65" i="36" s="1"/>
  <c r="AD62" i="36"/>
  <c r="AD65" i="36" s="1"/>
  <c r="L62" i="36"/>
  <c r="L65" i="36" s="1"/>
  <c r="AP41" i="36"/>
  <c r="AO41" i="36"/>
  <c r="AN41" i="36"/>
  <c r="AM41" i="36"/>
  <c r="AL41" i="36"/>
  <c r="AD41" i="36"/>
  <c r="AC41" i="36"/>
  <c r="AB41" i="36"/>
  <c r="AA41" i="36"/>
  <c r="Z41" i="36"/>
  <c r="X41" i="36"/>
  <c r="W41" i="36"/>
  <c r="V41" i="36"/>
  <c r="U41" i="36"/>
  <c r="T41" i="36"/>
  <c r="R41" i="36"/>
  <c r="Q41" i="36"/>
  <c r="P41" i="36"/>
  <c r="O41" i="36"/>
  <c r="N41" i="36"/>
  <c r="L41" i="36"/>
  <c r="K41" i="36"/>
  <c r="J41" i="36"/>
  <c r="I41" i="36"/>
  <c r="H41" i="36"/>
  <c r="F41" i="36"/>
  <c r="E41" i="36"/>
  <c r="D41" i="36"/>
  <c r="C41" i="36"/>
  <c r="B41" i="36"/>
  <c r="AO39" i="36"/>
  <c r="AO137" i="36" s="1"/>
  <c r="AN39" i="36"/>
  <c r="AN137" i="36" s="1"/>
  <c r="AM39" i="36"/>
  <c r="AM64" i="36" s="1"/>
  <c r="AL39" i="36"/>
  <c r="AL137" i="36" s="1"/>
  <c r="AC39" i="36"/>
  <c r="AB39" i="36"/>
  <c r="AA39" i="36"/>
  <c r="Z39" i="36"/>
  <c r="W39" i="36"/>
  <c r="V39" i="36"/>
  <c r="U39" i="36"/>
  <c r="T39" i="36"/>
  <c r="Q39" i="36"/>
  <c r="P39" i="36"/>
  <c r="O39" i="36"/>
  <c r="N39" i="36"/>
  <c r="K39" i="36"/>
  <c r="J39" i="36"/>
  <c r="I39" i="36"/>
  <c r="H39" i="36"/>
  <c r="E39" i="36"/>
  <c r="D39" i="36"/>
  <c r="C39" i="36"/>
  <c r="B39" i="36"/>
  <c r="AP38" i="36"/>
  <c r="AD38" i="36"/>
  <c r="D38" i="51" s="1"/>
  <c r="X38" i="36"/>
  <c r="D38" i="52" s="1"/>
  <c r="R38" i="36"/>
  <c r="D38" i="53" s="1"/>
  <c r="L38" i="36"/>
  <c r="D38" i="50" s="1"/>
  <c r="F38" i="36"/>
  <c r="D38" i="49" s="1"/>
  <c r="AP37" i="36"/>
  <c r="AD37" i="36"/>
  <c r="D37" i="51" s="1"/>
  <c r="X37" i="36"/>
  <c r="D37" i="52" s="1"/>
  <c r="R37" i="36"/>
  <c r="D37" i="53" s="1"/>
  <c r="L37" i="36"/>
  <c r="D37" i="50" s="1"/>
  <c r="F37" i="36"/>
  <c r="D37" i="49" s="1"/>
  <c r="AP36" i="36"/>
  <c r="AD36" i="36"/>
  <c r="D36" i="51" s="1"/>
  <c r="X36" i="36"/>
  <c r="D36" i="52" s="1"/>
  <c r="R36" i="36"/>
  <c r="D36" i="53" s="1"/>
  <c r="L36" i="36"/>
  <c r="D36" i="50" s="1"/>
  <c r="F36" i="36"/>
  <c r="D36" i="49" s="1"/>
  <c r="AP35" i="36"/>
  <c r="AD35" i="36"/>
  <c r="D35" i="51" s="1"/>
  <c r="X35" i="36"/>
  <c r="D35" i="52" s="1"/>
  <c r="R35" i="36"/>
  <c r="D35" i="53" s="1"/>
  <c r="L35" i="36"/>
  <c r="D35" i="50" s="1"/>
  <c r="F35" i="36"/>
  <c r="D35" i="49" s="1"/>
  <c r="AP34" i="36"/>
  <c r="AD34" i="36"/>
  <c r="D34" i="51" s="1"/>
  <c r="X34" i="36"/>
  <c r="D34" i="52" s="1"/>
  <c r="R34" i="36"/>
  <c r="D34" i="53" s="1"/>
  <c r="L34" i="36"/>
  <c r="D34" i="50" s="1"/>
  <c r="F34" i="36"/>
  <c r="D34" i="49" s="1"/>
  <c r="AP33" i="36"/>
  <c r="AD33" i="36"/>
  <c r="D33" i="51" s="1"/>
  <c r="X33" i="36"/>
  <c r="D33" i="52" s="1"/>
  <c r="R33" i="36"/>
  <c r="D33" i="53" s="1"/>
  <c r="L33" i="36"/>
  <c r="D33" i="50" s="1"/>
  <c r="F33" i="36"/>
  <c r="D33" i="49" s="1"/>
  <c r="AP32" i="36"/>
  <c r="AD32" i="36"/>
  <c r="D32" i="51" s="1"/>
  <c r="X32" i="36"/>
  <c r="D32" i="52" s="1"/>
  <c r="R32" i="36"/>
  <c r="D32" i="53" s="1"/>
  <c r="L32" i="36"/>
  <c r="D32" i="50" s="1"/>
  <c r="F32" i="36"/>
  <c r="D32" i="49" s="1"/>
  <c r="AP31" i="36"/>
  <c r="AD31" i="36"/>
  <c r="D31" i="51" s="1"/>
  <c r="X31" i="36"/>
  <c r="D31" i="52" s="1"/>
  <c r="R31" i="36"/>
  <c r="D31" i="53" s="1"/>
  <c r="L31" i="36"/>
  <c r="D31" i="50" s="1"/>
  <c r="F31" i="36"/>
  <c r="D31" i="49" s="1"/>
  <c r="AQ30" i="36"/>
  <c r="AP30" i="36"/>
  <c r="AD30" i="36"/>
  <c r="D30" i="51" s="1"/>
  <c r="X30" i="36"/>
  <c r="D30" i="52" s="1"/>
  <c r="R30" i="36"/>
  <c r="D30" i="53" s="1"/>
  <c r="L30" i="36"/>
  <c r="D30" i="50" s="1"/>
  <c r="F30" i="36"/>
  <c r="D30" i="49" s="1"/>
  <c r="AP29" i="36"/>
  <c r="AQ29" i="36" s="1"/>
  <c r="AD29" i="36"/>
  <c r="D29" i="51" s="1"/>
  <c r="X29" i="36"/>
  <c r="D29" i="52" s="1"/>
  <c r="R29" i="36"/>
  <c r="D29" i="53" s="1"/>
  <c r="L29" i="36"/>
  <c r="D29" i="50" s="1"/>
  <c r="F29" i="36"/>
  <c r="D29" i="49" s="1"/>
  <c r="AP27" i="36"/>
  <c r="AD27" i="36"/>
  <c r="X27" i="36"/>
  <c r="R27" i="36"/>
  <c r="L27" i="36"/>
  <c r="F27" i="36"/>
  <c r="AP26" i="36"/>
  <c r="AP25" i="36"/>
  <c r="AD25" i="36"/>
  <c r="D25" i="51" s="1"/>
  <c r="X25" i="36"/>
  <c r="D25" i="52" s="1"/>
  <c r="R25" i="36"/>
  <c r="D25" i="53" s="1"/>
  <c r="L25" i="36"/>
  <c r="D25" i="50" s="1"/>
  <c r="F25" i="36"/>
  <c r="D25" i="49" s="1"/>
  <c r="AP24" i="36"/>
  <c r="AP23" i="36"/>
  <c r="AP22" i="36"/>
  <c r="AL5" i="36"/>
  <c r="AL75" i="36" s="1"/>
  <c r="AP75" i="36" s="1"/>
  <c r="D3" i="39"/>
  <c r="AP3" i="36"/>
  <c r="AD3" i="36"/>
  <c r="X3" i="36"/>
  <c r="R3" i="36"/>
  <c r="L3" i="36"/>
  <c r="F3" i="36"/>
  <c r="AP2" i="36"/>
  <c r="AD2" i="36"/>
  <c r="D2" i="51" s="1"/>
  <c r="X2" i="36"/>
  <c r="D2" i="52" s="1"/>
  <c r="R2" i="36"/>
  <c r="D2" i="53" s="1"/>
  <c r="L2" i="36"/>
  <c r="D2" i="50" s="1"/>
  <c r="F2" i="36"/>
  <c r="D2" i="49" s="1"/>
  <c r="D39" i="53" l="1"/>
  <c r="D64" i="53" s="1"/>
  <c r="D66" i="53" s="1"/>
  <c r="BA88" i="36"/>
  <c r="AZ95" i="36"/>
  <c r="AY148" i="36"/>
  <c r="L15" i="36"/>
  <c r="L2" i="49"/>
  <c r="S13" i="37"/>
  <c r="L13" i="53" s="1"/>
  <c r="E39" i="50"/>
  <c r="E64" i="50" s="1"/>
  <c r="E66" i="50" s="1"/>
  <c r="AZ92" i="37"/>
  <c r="AZ94" i="37"/>
  <c r="AX112" i="37"/>
  <c r="BB112" i="37" s="1"/>
  <c r="AX96" i="38"/>
  <c r="AX97" i="38"/>
  <c r="E235" i="53"/>
  <c r="F39" i="49"/>
  <c r="F64" i="49" s="1"/>
  <c r="F66" i="49" s="1"/>
  <c r="AY77" i="38"/>
  <c r="AY87" i="38"/>
  <c r="AX15" i="37"/>
  <c r="BB15" i="37" s="1"/>
  <c r="F39" i="50"/>
  <c r="F64" i="50" s="1"/>
  <c r="F66" i="50" s="1"/>
  <c r="G167" i="52"/>
  <c r="BA92" i="36"/>
  <c r="AX96" i="36"/>
  <c r="AX97" i="36"/>
  <c r="AZ96" i="37"/>
  <c r="AZ97" i="37"/>
  <c r="BA96" i="38"/>
  <c r="BA97" i="38"/>
  <c r="AY87" i="36"/>
  <c r="BA91" i="36"/>
  <c r="L2" i="51"/>
  <c r="AX7" i="37"/>
  <c r="BB7" i="37" s="1"/>
  <c r="AX14" i="37"/>
  <c r="BB14" i="37" s="1"/>
  <c r="E14" i="39" s="1"/>
  <c r="F46" i="43" s="1"/>
  <c r="BA87" i="37"/>
  <c r="AY88" i="37"/>
  <c r="BA90" i="37"/>
  <c r="BA97" i="37"/>
  <c r="AY147" i="37"/>
  <c r="AP181" i="37"/>
  <c r="AX78" i="38"/>
  <c r="BA88" i="38"/>
  <c r="AZ89" i="38"/>
  <c r="AY147" i="38"/>
  <c r="AV137" i="38"/>
  <c r="AX13" i="37"/>
  <c r="BB13" i="37" s="1"/>
  <c r="F235" i="50"/>
  <c r="S7" i="36"/>
  <c r="K7" i="53" s="1"/>
  <c r="D7" i="53"/>
  <c r="D39" i="51"/>
  <c r="D64" i="51" s="1"/>
  <c r="D66" i="51" s="1"/>
  <c r="K137" i="36"/>
  <c r="K135" i="36"/>
  <c r="K132" i="36"/>
  <c r="W132" i="36"/>
  <c r="W135" i="36"/>
  <c r="W137" i="36"/>
  <c r="C91" i="36"/>
  <c r="AY91" i="36" s="1"/>
  <c r="AY78" i="36"/>
  <c r="F95" i="36"/>
  <c r="D95" i="49" s="1"/>
  <c r="D82" i="49"/>
  <c r="AU76" i="36"/>
  <c r="AU89" i="36" s="1"/>
  <c r="AR161" i="36"/>
  <c r="AV161" i="36" s="1"/>
  <c r="AV186" i="36"/>
  <c r="AX186" i="36"/>
  <c r="BB186" i="36" s="1"/>
  <c r="Y8" i="36"/>
  <c r="K8" i="52" s="1"/>
  <c r="D8" i="52"/>
  <c r="L10" i="36"/>
  <c r="AX10" i="36"/>
  <c r="BB10" i="36" s="1"/>
  <c r="Y8" i="37"/>
  <c r="L8" i="52" s="1"/>
  <c r="E8" i="52"/>
  <c r="AE10" i="37"/>
  <c r="L10" i="51" s="1"/>
  <c r="E10" i="51"/>
  <c r="AP19" i="37"/>
  <c r="AL161" i="37"/>
  <c r="AP161" i="37" s="1"/>
  <c r="E39" i="52"/>
  <c r="E64" i="52" s="1"/>
  <c r="E66" i="52" s="1"/>
  <c r="E137" i="37"/>
  <c r="E135" i="37"/>
  <c r="E132" i="37"/>
  <c r="Q137" i="37"/>
  <c r="Q135" i="37"/>
  <c r="Q132" i="37"/>
  <c r="AC137" i="37"/>
  <c r="AC135" i="37"/>
  <c r="AC132" i="37"/>
  <c r="C90" i="37"/>
  <c r="AY90" i="37" s="1"/>
  <c r="AY77" i="37"/>
  <c r="R96" i="37"/>
  <c r="E96" i="53" s="1"/>
  <c r="E83" i="53"/>
  <c r="F97" i="37"/>
  <c r="E97" i="49" s="1"/>
  <c r="E84" i="49"/>
  <c r="AV186" i="37"/>
  <c r="AX186" i="37"/>
  <c r="BB186" i="37" s="1"/>
  <c r="Y7" i="38"/>
  <c r="M7" i="52" s="1"/>
  <c r="F7" i="52"/>
  <c r="L8" i="38"/>
  <c r="AX8" i="38"/>
  <c r="BB8" i="38" s="1"/>
  <c r="L15" i="38"/>
  <c r="AX15" i="38"/>
  <c r="BB15" i="38" s="1"/>
  <c r="F15" i="39" s="1"/>
  <c r="G47" i="43" s="1"/>
  <c r="B135" i="38"/>
  <c r="B132" i="38"/>
  <c r="B137" i="38"/>
  <c r="B108" i="38"/>
  <c r="N135" i="38"/>
  <c r="N132" i="38"/>
  <c r="N137" i="38"/>
  <c r="N108" i="38"/>
  <c r="Z135" i="38"/>
  <c r="Z132" i="38"/>
  <c r="Z137" i="38"/>
  <c r="Z108" i="38"/>
  <c r="AD96" i="38"/>
  <c r="F96" i="51" s="1"/>
  <c r="F83" i="51"/>
  <c r="F115" i="38"/>
  <c r="F115" i="49" s="1"/>
  <c r="AY115" i="38"/>
  <c r="BB115" i="38" s="1"/>
  <c r="AM151" i="38"/>
  <c r="AY145" i="38"/>
  <c r="D152" i="39"/>
  <c r="D168" i="39" s="1"/>
  <c r="U24" i="48"/>
  <c r="U15" i="48"/>
  <c r="U2" i="48"/>
  <c r="E124" i="38"/>
  <c r="BA124" i="37"/>
  <c r="B203" i="38"/>
  <c r="AX203" i="37"/>
  <c r="BB203" i="37" s="1"/>
  <c r="D124" i="38"/>
  <c r="AZ124" i="37"/>
  <c r="D121" i="38"/>
  <c r="E123" i="38"/>
  <c r="BA123" i="37"/>
  <c r="C122" i="38"/>
  <c r="AY122" i="37"/>
  <c r="D39" i="50"/>
  <c r="D64" i="50" s="1"/>
  <c r="D66" i="50" s="1"/>
  <c r="B135" i="36"/>
  <c r="B132" i="36"/>
  <c r="B137" i="36"/>
  <c r="H137" i="36"/>
  <c r="H135" i="36"/>
  <c r="H132" i="36"/>
  <c r="H108" i="36"/>
  <c r="N135" i="36"/>
  <c r="N132" i="36"/>
  <c r="N137" i="36"/>
  <c r="N108" i="36"/>
  <c r="T135" i="36"/>
  <c r="T137" i="36"/>
  <c r="T132" i="36"/>
  <c r="X132" i="36" s="1"/>
  <c r="D132" i="52" s="1"/>
  <c r="T108" i="36"/>
  <c r="Z135" i="36"/>
  <c r="Z132" i="36"/>
  <c r="Z137" i="36"/>
  <c r="Z108" i="36"/>
  <c r="AP137" i="36"/>
  <c r="R95" i="36"/>
  <c r="D95" i="53" s="1"/>
  <c r="D82" i="53"/>
  <c r="L96" i="36"/>
  <c r="D96" i="50" s="1"/>
  <c r="D83" i="50"/>
  <c r="X97" i="36"/>
  <c r="D97" i="52" s="1"/>
  <c r="D84" i="52"/>
  <c r="AZ87" i="36"/>
  <c r="BA95" i="36"/>
  <c r="F115" i="36"/>
  <c r="D115" i="49" s="1"/>
  <c r="AY115" i="36"/>
  <c r="BB115" i="36" s="1"/>
  <c r="D235" i="49"/>
  <c r="D235" i="51"/>
  <c r="AS116" i="36"/>
  <c r="AY113" i="36"/>
  <c r="AX6" i="36"/>
  <c r="BB6" i="36" s="1"/>
  <c r="G8" i="36"/>
  <c r="D8" i="49"/>
  <c r="AE8" i="36"/>
  <c r="K8" i="51" s="1"/>
  <c r="D8" i="51"/>
  <c r="S9" i="36"/>
  <c r="K9" i="53" s="1"/>
  <c r="D9" i="53"/>
  <c r="S10" i="36"/>
  <c r="K10" i="53" s="1"/>
  <c r="D10" i="53"/>
  <c r="L11" i="36"/>
  <c r="AX11" i="36"/>
  <c r="BB11" i="36" s="1"/>
  <c r="S13" i="36"/>
  <c r="K13" i="53" s="1"/>
  <c r="D13" i="53"/>
  <c r="L14" i="36"/>
  <c r="AX14" i="36"/>
  <c r="BB14" i="36" s="1"/>
  <c r="D14" i="39" s="1"/>
  <c r="E46" i="43" s="1"/>
  <c r="Y10" i="36"/>
  <c r="K10" i="52" s="1"/>
  <c r="D10" i="52"/>
  <c r="L2" i="50"/>
  <c r="S7" i="37"/>
  <c r="L7" i="53" s="1"/>
  <c r="E7" i="53"/>
  <c r="G8" i="37"/>
  <c r="E8" i="49"/>
  <c r="AE8" i="37"/>
  <c r="L8" i="51" s="1"/>
  <c r="E8" i="51"/>
  <c r="Y9" i="37"/>
  <c r="L9" i="52" s="1"/>
  <c r="E9" i="52"/>
  <c r="L10" i="37"/>
  <c r="AX10" i="37"/>
  <c r="BB10" i="37" s="1"/>
  <c r="E10" i="39" s="1"/>
  <c r="F42" i="43" s="1"/>
  <c r="Y11" i="37"/>
  <c r="L11" i="52" s="1"/>
  <c r="E11" i="52"/>
  <c r="AX12" i="37"/>
  <c r="BB12" i="37" s="1"/>
  <c r="E12" i="39" s="1"/>
  <c r="F44" i="43" s="1"/>
  <c r="AE13" i="37"/>
  <c r="L13" i="51" s="1"/>
  <c r="E13" i="51"/>
  <c r="S14" i="37"/>
  <c r="L14" i="53" s="1"/>
  <c r="E14" i="53"/>
  <c r="AE15" i="37"/>
  <c r="L15" i="51" s="1"/>
  <c r="E15" i="51"/>
  <c r="E39" i="51"/>
  <c r="E64" i="51" s="1"/>
  <c r="E66" i="51" s="1"/>
  <c r="B137" i="37"/>
  <c r="B135" i="37"/>
  <c r="B132" i="37"/>
  <c r="B108" i="37"/>
  <c r="H137" i="37"/>
  <c r="H135" i="37"/>
  <c r="H132" i="37"/>
  <c r="H108" i="37"/>
  <c r="N137" i="37"/>
  <c r="N135" i="37"/>
  <c r="N132" i="37"/>
  <c r="N108" i="37"/>
  <c r="T137" i="37"/>
  <c r="T135" i="37"/>
  <c r="T132" i="37"/>
  <c r="T108" i="37"/>
  <c r="Z137" i="37"/>
  <c r="Z135" i="37"/>
  <c r="Z132" i="37"/>
  <c r="Z108" i="37"/>
  <c r="AP137" i="37"/>
  <c r="C91" i="37"/>
  <c r="AY91" i="37" s="1"/>
  <c r="AY78" i="37"/>
  <c r="X96" i="37"/>
  <c r="E96" i="52" s="1"/>
  <c r="E83" i="52"/>
  <c r="L97" i="37"/>
  <c r="E97" i="50" s="1"/>
  <c r="E84" i="50"/>
  <c r="AZ88" i="37"/>
  <c r="AY95" i="37"/>
  <c r="BB97" i="37"/>
  <c r="E97" i="39" s="1"/>
  <c r="BA98" i="37"/>
  <c r="F122" i="37"/>
  <c r="E122" i="49" s="1"/>
  <c r="AR146" i="37"/>
  <c r="AV146" i="37" s="1"/>
  <c r="AR161" i="37"/>
  <c r="AV161" i="37" s="1"/>
  <c r="AU64" i="37"/>
  <c r="AU137" i="37"/>
  <c r="AU116" i="37"/>
  <c r="BA113" i="37"/>
  <c r="BB113" i="37" s="1"/>
  <c r="AV144" i="37"/>
  <c r="AX144" i="37"/>
  <c r="BB144" i="37" s="1"/>
  <c r="M2" i="52"/>
  <c r="N2" i="52"/>
  <c r="AX6" i="38"/>
  <c r="BB6" i="38" s="1"/>
  <c r="F6" i="39" s="1"/>
  <c r="G38" i="43" s="1"/>
  <c r="G17" i="43" s="1"/>
  <c r="AE7" i="38"/>
  <c r="M7" i="51" s="1"/>
  <c r="F7" i="51"/>
  <c r="AE9" i="38"/>
  <c r="M9" i="51" s="1"/>
  <c r="F9" i="51"/>
  <c r="S10" i="38"/>
  <c r="M10" i="53" s="1"/>
  <c r="F10" i="53"/>
  <c r="G11" i="38"/>
  <c r="F11" i="49"/>
  <c r="AE11" i="38"/>
  <c r="M11" i="51" s="1"/>
  <c r="F11" i="51"/>
  <c r="S12" i="38"/>
  <c r="M12" i="53" s="1"/>
  <c r="F12" i="53"/>
  <c r="L13" i="38"/>
  <c r="AX13" i="38"/>
  <c r="BB13" i="38" s="1"/>
  <c r="AE14" i="38"/>
  <c r="M14" i="51" s="1"/>
  <c r="F14" i="51"/>
  <c r="C108" i="38"/>
  <c r="C137" i="38"/>
  <c r="C132" i="38"/>
  <c r="C135" i="38"/>
  <c r="I137" i="38"/>
  <c r="I132" i="38"/>
  <c r="I135" i="38"/>
  <c r="I108" i="38"/>
  <c r="O132" i="38"/>
  <c r="O137" i="38"/>
  <c r="O135" i="38"/>
  <c r="O108" i="38"/>
  <c r="U132" i="38"/>
  <c r="U137" i="38"/>
  <c r="U135" i="38"/>
  <c r="U108" i="38"/>
  <c r="AA132" i="38"/>
  <c r="AA137" i="38"/>
  <c r="AA135" i="38"/>
  <c r="AA108" i="38"/>
  <c r="AM66" i="38"/>
  <c r="AM132" i="38" s="1"/>
  <c r="C91" i="38"/>
  <c r="AY78" i="38"/>
  <c r="F95" i="38"/>
  <c r="F95" i="49" s="1"/>
  <c r="F82" i="49"/>
  <c r="L96" i="38"/>
  <c r="F96" i="50" s="1"/>
  <c r="F83" i="50"/>
  <c r="X97" i="38"/>
  <c r="F97" i="52" s="1"/>
  <c r="F84" i="52"/>
  <c r="AZ87" i="38"/>
  <c r="BA95" i="38"/>
  <c r="AZ96" i="38"/>
  <c r="BB96" i="38" s="1"/>
  <c r="F96" i="39" s="1"/>
  <c r="AZ97" i="38"/>
  <c r="AX112" i="38"/>
  <c r="BB112" i="38" s="1"/>
  <c r="AP145" i="38"/>
  <c r="AP181" i="38"/>
  <c r="B192" i="38"/>
  <c r="AX183" i="38"/>
  <c r="F235" i="53"/>
  <c r="F218" i="51"/>
  <c r="F218" i="50"/>
  <c r="AV144" i="38"/>
  <c r="AX144" i="38"/>
  <c r="BB144" i="38" s="1"/>
  <c r="F144" i="39" s="1"/>
  <c r="F3" i="44"/>
  <c r="V24" i="48"/>
  <c r="V15" i="48"/>
  <c r="V2" i="48"/>
  <c r="AX159" i="36"/>
  <c r="BB159" i="36" s="1"/>
  <c r="BA128" i="36"/>
  <c r="F96" i="36"/>
  <c r="D96" i="49" s="1"/>
  <c r="D83" i="49"/>
  <c r="R97" i="36"/>
  <c r="D97" i="53" s="1"/>
  <c r="D84" i="53"/>
  <c r="AU64" i="36"/>
  <c r="AU137" i="36"/>
  <c r="AV137" i="36" s="1"/>
  <c r="G11" i="36"/>
  <c r="D11" i="49"/>
  <c r="AE14" i="36"/>
  <c r="K14" i="51" s="1"/>
  <c r="D14" i="51"/>
  <c r="Y9" i="36"/>
  <c r="K9" i="52" s="1"/>
  <c r="D9" i="52"/>
  <c r="C89" i="37"/>
  <c r="AY76" i="37"/>
  <c r="B192" i="37"/>
  <c r="AX183" i="37"/>
  <c r="Y9" i="38"/>
  <c r="M9" i="52" s="1"/>
  <c r="F9" i="52"/>
  <c r="L12" i="38"/>
  <c r="AX12" i="38"/>
  <c r="BB12" i="38" s="1"/>
  <c r="F12" i="39" s="1"/>
  <c r="G44" i="43" s="1"/>
  <c r="F39" i="51"/>
  <c r="F64" i="51" s="1"/>
  <c r="F66" i="51" s="1"/>
  <c r="H135" i="38"/>
  <c r="H137" i="38"/>
  <c r="H132" i="38"/>
  <c r="H108" i="38"/>
  <c r="T135" i="38"/>
  <c r="T132" i="38"/>
  <c r="T137" i="38"/>
  <c r="T108" i="38"/>
  <c r="AV142" i="38"/>
  <c r="AX142" i="38"/>
  <c r="BB142" i="38" s="1"/>
  <c r="E122" i="38"/>
  <c r="BA122" i="37"/>
  <c r="C64" i="36"/>
  <c r="C137" i="36"/>
  <c r="C135" i="36"/>
  <c r="C132" i="36"/>
  <c r="O135" i="36"/>
  <c r="O137" i="36"/>
  <c r="O132" i="36"/>
  <c r="O108" i="36"/>
  <c r="B89" i="36"/>
  <c r="AX89" i="36" s="1"/>
  <c r="AX76" i="36"/>
  <c r="X95" i="36"/>
  <c r="D95" i="52" s="1"/>
  <c r="D82" i="52"/>
  <c r="R96" i="36"/>
  <c r="D96" i="53" s="1"/>
  <c r="D83" i="53"/>
  <c r="F97" i="36"/>
  <c r="D97" i="49" s="1"/>
  <c r="D84" i="49"/>
  <c r="AD97" i="36"/>
  <c r="D97" i="51" s="1"/>
  <c r="D84" i="51"/>
  <c r="BA87" i="36"/>
  <c r="AY88" i="36"/>
  <c r="BA90" i="36"/>
  <c r="BA96" i="36"/>
  <c r="BA97" i="36"/>
  <c r="AY151" i="36"/>
  <c r="D235" i="50"/>
  <c r="AT116" i="36"/>
  <c r="AT129" i="36" s="1"/>
  <c r="AZ113" i="36"/>
  <c r="AZ116" i="36" s="1"/>
  <c r="AV144" i="36"/>
  <c r="AX144" i="36"/>
  <c r="BB144" i="36" s="1"/>
  <c r="S6" i="36"/>
  <c r="K6" i="53" s="1"/>
  <c r="D6" i="53"/>
  <c r="G7" i="36"/>
  <c r="D7" i="49"/>
  <c r="Y7" i="36"/>
  <c r="K7" i="52" s="1"/>
  <c r="D7" i="52"/>
  <c r="L8" i="36"/>
  <c r="AX8" i="36"/>
  <c r="BB8" i="36" s="1"/>
  <c r="AE9" i="36"/>
  <c r="K9" i="51" s="1"/>
  <c r="D9" i="51"/>
  <c r="AE10" i="36"/>
  <c r="K10" i="51" s="1"/>
  <c r="D10" i="51"/>
  <c r="S11" i="36"/>
  <c r="K11" i="53" s="1"/>
  <c r="D11" i="53"/>
  <c r="L12" i="36"/>
  <c r="AX12" i="36"/>
  <c r="BB12" i="36" s="1"/>
  <c r="AE13" i="36"/>
  <c r="K13" i="51" s="1"/>
  <c r="D13" i="51"/>
  <c r="S14" i="36"/>
  <c r="K14" i="53" s="1"/>
  <c r="D14" i="53"/>
  <c r="AD16" i="36"/>
  <c r="AX16" i="36"/>
  <c r="BB16" i="36" s="1"/>
  <c r="AP19" i="36"/>
  <c r="AL161" i="36"/>
  <c r="AP161" i="36" s="1"/>
  <c r="L2" i="53"/>
  <c r="G6" i="37"/>
  <c r="E6" i="49"/>
  <c r="Y7" i="37"/>
  <c r="L7" i="52" s="1"/>
  <c r="E7" i="52"/>
  <c r="L8" i="37"/>
  <c r="AX8" i="37"/>
  <c r="BB8" i="37" s="1"/>
  <c r="AE9" i="37"/>
  <c r="L9" i="51" s="1"/>
  <c r="E9" i="51"/>
  <c r="S10" i="37"/>
  <c r="L10" i="53" s="1"/>
  <c r="E10" i="53"/>
  <c r="G11" i="37"/>
  <c r="E11" i="49"/>
  <c r="AE11" i="37"/>
  <c r="L11" i="51" s="1"/>
  <c r="E11" i="51"/>
  <c r="S12" i="37"/>
  <c r="L12" i="53" s="1"/>
  <c r="E12" i="53"/>
  <c r="C137" i="37"/>
  <c r="C135" i="37"/>
  <c r="C132" i="37"/>
  <c r="I64" i="37"/>
  <c r="I66" i="37" s="1"/>
  <c r="I133" i="37" s="1"/>
  <c r="I137" i="37"/>
  <c r="I135" i="37"/>
  <c r="I132" i="37"/>
  <c r="I108" i="37"/>
  <c r="O137" i="37"/>
  <c r="O135" i="37"/>
  <c r="O132" i="37"/>
  <c r="O108" i="37"/>
  <c r="U137" i="37"/>
  <c r="U135" i="37"/>
  <c r="U132" i="37"/>
  <c r="U108" i="37"/>
  <c r="AA137" i="37"/>
  <c r="AA135" i="37"/>
  <c r="AA132" i="37"/>
  <c r="AA108" i="37"/>
  <c r="AM66" i="37"/>
  <c r="AM132" i="37" s="1"/>
  <c r="F95" i="37"/>
  <c r="E95" i="49" s="1"/>
  <c r="E82" i="49"/>
  <c r="F96" i="37"/>
  <c r="E96" i="49" s="1"/>
  <c r="E83" i="49"/>
  <c r="AD96" i="37"/>
  <c r="E96" i="51" s="1"/>
  <c r="E83" i="51"/>
  <c r="R97" i="37"/>
  <c r="E97" i="53" s="1"/>
  <c r="E84" i="53"/>
  <c r="AY87" i="37"/>
  <c r="BA88" i="37"/>
  <c r="AZ89" i="37"/>
  <c r="BA91" i="37"/>
  <c r="AZ95" i="37"/>
  <c r="AY96" i="37"/>
  <c r="AY97" i="37"/>
  <c r="F121" i="37"/>
  <c r="E121" i="49" s="1"/>
  <c r="AY151" i="37"/>
  <c r="E235" i="49"/>
  <c r="AV137" i="37"/>
  <c r="M2" i="49"/>
  <c r="N2" i="49"/>
  <c r="M2" i="51"/>
  <c r="N2" i="51"/>
  <c r="S6" i="38"/>
  <c r="M6" i="53" s="1"/>
  <c r="F6" i="53"/>
  <c r="M7" i="38"/>
  <c r="M7" i="50" s="1"/>
  <c r="F7" i="50"/>
  <c r="S8" i="38"/>
  <c r="M8" i="53" s="1"/>
  <c r="F8" i="53"/>
  <c r="L9" i="38"/>
  <c r="AX9" i="38"/>
  <c r="BB9" i="38" s="1"/>
  <c r="F9" i="39" s="1"/>
  <c r="G41" i="43" s="1"/>
  <c r="Y10" i="38"/>
  <c r="M10" i="52" s="1"/>
  <c r="F10" i="52"/>
  <c r="L11" i="38"/>
  <c r="AX11" i="38"/>
  <c r="BB11" i="38" s="1"/>
  <c r="F11" i="39" s="1"/>
  <c r="G43" i="43" s="1"/>
  <c r="G22" i="43" s="1"/>
  <c r="AE12" i="38"/>
  <c r="M12" i="51" s="1"/>
  <c r="F12" i="51"/>
  <c r="S13" i="38"/>
  <c r="M13" i="53" s="1"/>
  <c r="F13" i="53"/>
  <c r="AX14" i="38"/>
  <c r="BB14" i="38" s="1"/>
  <c r="F39" i="53"/>
  <c r="F64" i="53" s="1"/>
  <c r="F66" i="53" s="1"/>
  <c r="D135" i="38"/>
  <c r="D132" i="38"/>
  <c r="D137" i="38"/>
  <c r="J135" i="38"/>
  <c r="J132" i="38"/>
  <c r="J137" i="38"/>
  <c r="P137" i="38"/>
  <c r="P135" i="38"/>
  <c r="P132" i="38"/>
  <c r="V137" i="38"/>
  <c r="V135" i="38"/>
  <c r="V132" i="38"/>
  <c r="AB137" i="38"/>
  <c r="AB135" i="38"/>
  <c r="AB132" i="38"/>
  <c r="R95" i="38"/>
  <c r="F95" i="53" s="1"/>
  <c r="F82" i="53"/>
  <c r="R96" i="38"/>
  <c r="F96" i="53" s="1"/>
  <c r="F83" i="53"/>
  <c r="F97" i="38"/>
  <c r="F97" i="49" s="1"/>
  <c r="F84" i="49"/>
  <c r="AD97" i="38"/>
  <c r="F97" i="51" s="1"/>
  <c r="F84" i="51"/>
  <c r="BA87" i="38"/>
  <c r="AY88" i="38"/>
  <c r="BA90" i="38"/>
  <c r="AZ92" i="38"/>
  <c r="AZ93" i="38"/>
  <c r="AR157" i="38"/>
  <c r="AV157" i="38" s="1"/>
  <c r="AR161" i="38"/>
  <c r="AV161" i="38" s="1"/>
  <c r="AU116" i="38"/>
  <c r="BA113" i="38"/>
  <c r="BB113" i="38" s="1"/>
  <c r="C3" i="44"/>
  <c r="S15" i="48"/>
  <c r="S2" i="48"/>
  <c r="S24" i="48"/>
  <c r="C121" i="38"/>
  <c r="AY121" i="37"/>
  <c r="D120" i="38"/>
  <c r="AY153" i="37"/>
  <c r="BB153" i="37" s="1"/>
  <c r="E153" i="39" s="1"/>
  <c r="C153" i="42"/>
  <c r="C153" i="38"/>
  <c r="AX159" i="37"/>
  <c r="BB159" i="37" s="1"/>
  <c r="B159" i="38"/>
  <c r="E121" i="38"/>
  <c r="BA121" i="37"/>
  <c r="H190" i="38"/>
  <c r="AX190" i="37"/>
  <c r="BB190" i="37" s="1"/>
  <c r="D122" i="38"/>
  <c r="B173" i="38"/>
  <c r="AX173" i="37"/>
  <c r="BB173" i="37" s="1"/>
  <c r="E120" i="38"/>
  <c r="BA120" i="37"/>
  <c r="C120" i="38"/>
  <c r="AY120" i="37"/>
  <c r="E137" i="36"/>
  <c r="E135" i="36"/>
  <c r="E132" i="36"/>
  <c r="Q135" i="36"/>
  <c r="Q137" i="36"/>
  <c r="Q132" i="36"/>
  <c r="AC64" i="36"/>
  <c r="AC66" i="36" s="1"/>
  <c r="AC137" i="36"/>
  <c r="AC132" i="36"/>
  <c r="AC135" i="36"/>
  <c r="AD96" i="36"/>
  <c r="D96" i="51" s="1"/>
  <c r="D83" i="51"/>
  <c r="AZ89" i="36"/>
  <c r="AV114" i="36"/>
  <c r="AX114" i="36"/>
  <c r="BB114" i="36" s="1"/>
  <c r="AE6" i="36"/>
  <c r="K6" i="51" s="1"/>
  <c r="D6" i="51"/>
  <c r="L9" i="36"/>
  <c r="AX9" i="36"/>
  <c r="BB9" i="36" s="1"/>
  <c r="AE12" i="36"/>
  <c r="K12" i="51" s="1"/>
  <c r="D12" i="51"/>
  <c r="M13" i="36"/>
  <c r="D13" i="50"/>
  <c r="M15" i="36"/>
  <c r="D15" i="50"/>
  <c r="M6" i="37"/>
  <c r="L6" i="50" s="1"/>
  <c r="E6" i="50"/>
  <c r="S9" i="37"/>
  <c r="L9" i="53" s="1"/>
  <c r="E9" i="53"/>
  <c r="G10" i="37"/>
  <c r="E10" i="49"/>
  <c r="S11" i="37"/>
  <c r="L11" i="53" s="1"/>
  <c r="E11" i="53"/>
  <c r="K137" i="37"/>
  <c r="K135" i="37"/>
  <c r="K132" i="37"/>
  <c r="W137" i="37"/>
  <c r="W135" i="37"/>
  <c r="W132" i="37"/>
  <c r="B91" i="37"/>
  <c r="AX91" i="37" s="1"/>
  <c r="AX78" i="37"/>
  <c r="X95" i="37"/>
  <c r="E95" i="52" s="1"/>
  <c r="E82" i="52"/>
  <c r="AD97" i="37"/>
  <c r="E97" i="51" s="1"/>
  <c r="E84" i="51"/>
  <c r="E218" i="51"/>
  <c r="E218" i="50"/>
  <c r="AV142" i="37"/>
  <c r="AX142" i="37"/>
  <c r="BB142" i="37" s="1"/>
  <c r="M2" i="53"/>
  <c r="N2" i="53"/>
  <c r="G6" i="38"/>
  <c r="F6" i="49"/>
  <c r="AE8" i="38"/>
  <c r="M8" i="51" s="1"/>
  <c r="F8" i="51"/>
  <c r="L10" i="38"/>
  <c r="AX10" i="38"/>
  <c r="BB10" i="38" s="1"/>
  <c r="Y11" i="38"/>
  <c r="M11" i="52" s="1"/>
  <c r="F11" i="52"/>
  <c r="S14" i="38"/>
  <c r="M14" i="53" s="1"/>
  <c r="F14" i="53"/>
  <c r="C89" i="38"/>
  <c r="AY76" i="38"/>
  <c r="F96" i="38"/>
  <c r="F96" i="49" s="1"/>
  <c r="F83" i="49"/>
  <c r="R97" i="38"/>
  <c r="F97" i="53" s="1"/>
  <c r="F84" i="53"/>
  <c r="C123" i="38"/>
  <c r="AY123" i="37"/>
  <c r="C119" i="38"/>
  <c r="AY119" i="37"/>
  <c r="E119" i="38"/>
  <c r="BA119" i="37"/>
  <c r="D123" i="38"/>
  <c r="I64" i="36"/>
  <c r="I66" i="36" s="1"/>
  <c r="I137" i="36"/>
  <c r="I135" i="36"/>
  <c r="I132" i="36"/>
  <c r="I108" i="36"/>
  <c r="U135" i="36"/>
  <c r="U137" i="36"/>
  <c r="U132" i="36"/>
  <c r="U108" i="36"/>
  <c r="AA135" i="36"/>
  <c r="AA137" i="36"/>
  <c r="AA132" i="36"/>
  <c r="AA108" i="36"/>
  <c r="AX77" i="36"/>
  <c r="D39" i="52"/>
  <c r="D64" i="52" s="1"/>
  <c r="D66" i="52" s="1"/>
  <c r="D132" i="36"/>
  <c r="D135" i="36"/>
  <c r="D137" i="36"/>
  <c r="J132" i="36"/>
  <c r="J137" i="36"/>
  <c r="J135" i="36"/>
  <c r="P137" i="36"/>
  <c r="P132" i="36"/>
  <c r="P135" i="36"/>
  <c r="V137" i="36"/>
  <c r="V132" i="36"/>
  <c r="V135" i="36"/>
  <c r="AB137" i="36"/>
  <c r="AB132" i="36"/>
  <c r="AB135" i="36"/>
  <c r="C90" i="36"/>
  <c r="AY90" i="36" s="1"/>
  <c r="AY77" i="36"/>
  <c r="B91" i="36"/>
  <c r="AX78" i="36"/>
  <c r="X96" i="36"/>
  <c r="D96" i="52" s="1"/>
  <c r="D83" i="52"/>
  <c r="L97" i="36"/>
  <c r="D97" i="50" s="1"/>
  <c r="D84" i="50"/>
  <c r="AZ88" i="36"/>
  <c r="BA94" i="36"/>
  <c r="AY95" i="36"/>
  <c r="BB96" i="36"/>
  <c r="D96" i="39" s="1"/>
  <c r="BB97" i="36"/>
  <c r="BA98" i="36"/>
  <c r="D116" i="36"/>
  <c r="AX112" i="36"/>
  <c r="BB112" i="36" s="1"/>
  <c r="AP181" i="36"/>
  <c r="B192" i="36"/>
  <c r="AX183" i="36"/>
  <c r="D235" i="53"/>
  <c r="D218" i="50"/>
  <c r="D218" i="51"/>
  <c r="AU116" i="36"/>
  <c r="AU129" i="36" s="1"/>
  <c r="AU130" i="36" s="1"/>
  <c r="BA113" i="36"/>
  <c r="Y6" i="36"/>
  <c r="K6" i="52" s="1"/>
  <c r="D6" i="52"/>
  <c r="L7" i="36"/>
  <c r="AX7" i="36"/>
  <c r="BB7" i="36" s="1"/>
  <c r="AE7" i="36"/>
  <c r="K7" i="51" s="1"/>
  <c r="D7" i="51"/>
  <c r="S8" i="36"/>
  <c r="K8" i="53" s="1"/>
  <c r="D8" i="53"/>
  <c r="G9" i="36"/>
  <c r="D9" i="49"/>
  <c r="AE11" i="36"/>
  <c r="K11" i="51" s="1"/>
  <c r="D11" i="51"/>
  <c r="AX13" i="36"/>
  <c r="BB13" i="36" s="1"/>
  <c r="D13" i="39" s="1"/>
  <c r="E45" i="43" s="1"/>
  <c r="G10" i="36"/>
  <c r="D10" i="49"/>
  <c r="AE15" i="36"/>
  <c r="K15" i="51" s="1"/>
  <c r="D15" i="51"/>
  <c r="L2" i="52"/>
  <c r="AX6" i="37"/>
  <c r="BB6" i="37" s="1"/>
  <c r="AE7" i="37"/>
  <c r="L7" i="51" s="1"/>
  <c r="E7" i="51"/>
  <c r="S8" i="37"/>
  <c r="L8" i="53" s="1"/>
  <c r="E8" i="53"/>
  <c r="L9" i="37"/>
  <c r="AX9" i="37"/>
  <c r="BB9" i="37" s="1"/>
  <c r="E9" i="39" s="1"/>
  <c r="F41" i="43" s="1"/>
  <c r="Y10" i="37"/>
  <c r="L10" i="52" s="1"/>
  <c r="E10" i="52"/>
  <c r="AX11" i="37"/>
  <c r="BB11" i="37" s="1"/>
  <c r="AE12" i="37"/>
  <c r="L12" i="51" s="1"/>
  <c r="E12" i="51"/>
  <c r="AE14" i="37"/>
  <c r="L14" i="51" s="1"/>
  <c r="E14" i="51"/>
  <c r="R39" i="37"/>
  <c r="R64" i="37" s="1"/>
  <c r="R66" i="37" s="1"/>
  <c r="E29" i="53"/>
  <c r="E39" i="49"/>
  <c r="E64" i="49" s="1"/>
  <c r="E66" i="49" s="1"/>
  <c r="D132" i="37"/>
  <c r="D137" i="37"/>
  <c r="D135" i="37"/>
  <c r="J132" i="37"/>
  <c r="J135" i="37"/>
  <c r="J137" i="37"/>
  <c r="P132" i="37"/>
  <c r="P137" i="37"/>
  <c r="P135" i="37"/>
  <c r="V132" i="37"/>
  <c r="V137" i="37"/>
  <c r="V135" i="37"/>
  <c r="AB132" i="37"/>
  <c r="AB137" i="37"/>
  <c r="AB135" i="37"/>
  <c r="B89" i="37"/>
  <c r="AX89" i="37" s="1"/>
  <c r="AX76" i="37"/>
  <c r="B90" i="37"/>
  <c r="AX77" i="37"/>
  <c r="R95" i="37"/>
  <c r="E95" i="53" s="1"/>
  <c r="E82" i="53"/>
  <c r="L96" i="37"/>
  <c r="E96" i="50" s="1"/>
  <c r="E83" i="50"/>
  <c r="X97" i="37"/>
  <c r="E97" i="52" s="1"/>
  <c r="E84" i="52"/>
  <c r="AZ87" i="37"/>
  <c r="BA95" i="37"/>
  <c r="AY115" i="37"/>
  <c r="BB115" i="37" s="1"/>
  <c r="E115" i="39" s="1"/>
  <c r="E235" i="50"/>
  <c r="AZ116" i="37"/>
  <c r="BB110" i="37"/>
  <c r="AV114" i="37"/>
  <c r="M2" i="50"/>
  <c r="N2" i="50"/>
  <c r="S7" i="38"/>
  <c r="M7" i="53" s="1"/>
  <c r="F7" i="53"/>
  <c r="G8" i="38"/>
  <c r="F8" i="49"/>
  <c r="Y8" i="38"/>
  <c r="M8" i="52" s="1"/>
  <c r="F8" i="52"/>
  <c r="S9" i="38"/>
  <c r="M9" i="53" s="1"/>
  <c r="F9" i="53"/>
  <c r="G10" i="38"/>
  <c r="F10" i="49"/>
  <c r="AE10" i="38"/>
  <c r="M10" i="51" s="1"/>
  <c r="F10" i="51"/>
  <c r="S11" i="38"/>
  <c r="M11" i="53" s="1"/>
  <c r="F11" i="53"/>
  <c r="AE13" i="38"/>
  <c r="M13" i="51" s="1"/>
  <c r="F13" i="51"/>
  <c r="L14" i="38"/>
  <c r="AE15" i="38"/>
  <c r="M15" i="51" s="1"/>
  <c r="F15" i="51"/>
  <c r="AO76" i="38"/>
  <c r="AL161" i="38"/>
  <c r="AP161" i="38" s="1"/>
  <c r="F39" i="52"/>
  <c r="F64" i="52" s="1"/>
  <c r="F66" i="52" s="1"/>
  <c r="E108" i="38"/>
  <c r="E135" i="38"/>
  <c r="E137" i="38"/>
  <c r="E132" i="38"/>
  <c r="K135" i="38"/>
  <c r="K137" i="38"/>
  <c r="K132" i="38"/>
  <c r="Q135" i="38"/>
  <c r="Q132" i="38"/>
  <c r="Q137" i="38"/>
  <c r="W135" i="38"/>
  <c r="W132" i="38"/>
  <c r="W137" i="38"/>
  <c r="AC108" i="38"/>
  <c r="AC116" i="38" s="1"/>
  <c r="AC137" i="38"/>
  <c r="AC135" i="38"/>
  <c r="AC132" i="38"/>
  <c r="B89" i="38"/>
  <c r="AX89" i="38" s="1"/>
  <c r="AX76" i="38"/>
  <c r="B90" i="38"/>
  <c r="AX90" i="38" s="1"/>
  <c r="AX77" i="38"/>
  <c r="X95" i="38"/>
  <c r="F95" i="52" s="1"/>
  <c r="F82" i="52"/>
  <c r="X96" i="38"/>
  <c r="F96" i="52" s="1"/>
  <c r="F83" i="52"/>
  <c r="L97" i="38"/>
  <c r="F97" i="50" s="1"/>
  <c r="F84" i="50"/>
  <c r="AZ88" i="38"/>
  <c r="AY95" i="38"/>
  <c r="BB97" i="38"/>
  <c r="AY148" i="38"/>
  <c r="F235" i="49"/>
  <c r="F235" i="51"/>
  <c r="BB110" i="38"/>
  <c r="AZ116" i="38"/>
  <c r="AV114" i="38"/>
  <c r="AX114" i="38"/>
  <c r="BB114" i="38" s="1"/>
  <c r="AV186" i="38"/>
  <c r="AX186" i="38"/>
  <c r="BB186" i="38" s="1"/>
  <c r="C152" i="39"/>
  <c r="C168" i="39" s="1"/>
  <c r="T15" i="48"/>
  <c r="T2" i="48"/>
  <c r="T24" i="48"/>
  <c r="AD167" i="42"/>
  <c r="G159" i="51"/>
  <c r="G167" i="51" s="1"/>
  <c r="R167" i="42"/>
  <c r="G153" i="53"/>
  <c r="AN130" i="42"/>
  <c r="AN131" i="42"/>
  <c r="AN138" i="42" s="1"/>
  <c r="AN139" i="42" s="1"/>
  <c r="AN207" i="42" s="1"/>
  <c r="AN220" i="42" s="1"/>
  <c r="AN221" i="42" s="1"/>
  <c r="AO131" i="42"/>
  <c r="AO130" i="42"/>
  <c r="AU131" i="36"/>
  <c r="AN129" i="36"/>
  <c r="AT131" i="36"/>
  <c r="AT130" i="36"/>
  <c r="U103" i="42"/>
  <c r="AY103" i="42" s="1"/>
  <c r="AY103" i="38"/>
  <c r="U104" i="42"/>
  <c r="AY104" i="42" s="1"/>
  <c r="AY104" i="38"/>
  <c r="U107" i="42"/>
  <c r="U106" i="42"/>
  <c r="Z106" i="42"/>
  <c r="AX106" i="38"/>
  <c r="AC138" i="42"/>
  <c r="AC139" i="42" s="1"/>
  <c r="AC207" i="42" s="1"/>
  <c r="AC220" i="42" s="1"/>
  <c r="AC221" i="42" s="1"/>
  <c r="AZ94" i="38"/>
  <c r="BA92" i="38"/>
  <c r="BA93" i="38"/>
  <c r="BA94" i="38"/>
  <c r="BA92" i="37"/>
  <c r="BA93" i="37"/>
  <c r="BA94" i="37"/>
  <c r="AZ92" i="36"/>
  <c r="AZ93" i="36"/>
  <c r="AZ94" i="36"/>
  <c r="B108" i="36"/>
  <c r="D39" i="49"/>
  <c r="D64" i="49" s="1"/>
  <c r="D66" i="49" s="1"/>
  <c r="Z95" i="38"/>
  <c r="Z95" i="36"/>
  <c r="Z95" i="37"/>
  <c r="F134" i="39"/>
  <c r="AR94" i="38"/>
  <c r="AV94" i="38" s="1"/>
  <c r="E144" i="39"/>
  <c r="AA151" i="37"/>
  <c r="E101" i="39"/>
  <c r="X39" i="37"/>
  <c r="X64" i="37" s="1"/>
  <c r="AR181" i="37"/>
  <c r="N19" i="37"/>
  <c r="E136" i="39"/>
  <c r="AV95" i="37"/>
  <c r="AV96" i="37"/>
  <c r="AS116" i="37"/>
  <c r="C151" i="36"/>
  <c r="AA151" i="36"/>
  <c r="O64" i="36"/>
  <c r="D136" i="39"/>
  <c r="D109" i="39"/>
  <c r="AU99" i="36"/>
  <c r="AV128" i="36"/>
  <c r="AS116" i="38"/>
  <c r="AS129" i="38" s="1"/>
  <c r="C66" i="36"/>
  <c r="C133" i="36" s="1"/>
  <c r="N5" i="38"/>
  <c r="N74" i="38" s="1"/>
  <c r="R74" i="38" s="1"/>
  <c r="F74" i="53" s="1"/>
  <c r="Z19" i="38"/>
  <c r="AD19" i="38" s="1"/>
  <c r="W7" i="48" s="1"/>
  <c r="AP39" i="38"/>
  <c r="AP64" i="38" s="1"/>
  <c r="F62" i="38"/>
  <c r="F65" i="38" s="1"/>
  <c r="AD62" i="38"/>
  <c r="AD65" i="38" s="1"/>
  <c r="F43" i="39"/>
  <c r="G110" i="45" s="1"/>
  <c r="F47" i="39"/>
  <c r="G80" i="45" s="1"/>
  <c r="F51" i="39"/>
  <c r="G16" i="44" s="1"/>
  <c r="F55" i="39"/>
  <c r="F59" i="39"/>
  <c r="G79" i="45" s="1"/>
  <c r="AP93" i="38"/>
  <c r="AD6" i="38"/>
  <c r="AU129" i="38"/>
  <c r="X13" i="37"/>
  <c r="E13" i="52" s="1"/>
  <c r="AP149" i="37"/>
  <c r="AV39" i="37"/>
  <c r="AV64" i="37" s="1"/>
  <c r="AV115" i="37"/>
  <c r="AV176" i="37"/>
  <c r="X12" i="37"/>
  <c r="E12" i="52" s="1"/>
  <c r="E209" i="39"/>
  <c r="AV97" i="37"/>
  <c r="L39" i="37"/>
  <c r="L64" i="37" s="1"/>
  <c r="AP39" i="37"/>
  <c r="AP64" i="37" s="1"/>
  <c r="AP205" i="37"/>
  <c r="AV91" i="37"/>
  <c r="AV205" i="37"/>
  <c r="AO64" i="36"/>
  <c r="AO66" i="36" s="1"/>
  <c r="AP149" i="36"/>
  <c r="AR93" i="36"/>
  <c r="R39" i="36"/>
  <c r="R64" i="36" s="1"/>
  <c r="AP39" i="36"/>
  <c r="AP64" i="36" s="1"/>
  <c r="AP66" i="36" s="1"/>
  <c r="R62" i="36"/>
  <c r="R65" i="36" s="1"/>
  <c r="AP93" i="36"/>
  <c r="AV88" i="36"/>
  <c r="D144" i="39"/>
  <c r="AU66" i="36"/>
  <c r="AU132" i="36" s="1"/>
  <c r="AV149" i="36"/>
  <c r="B182" i="39"/>
  <c r="B193" i="39" s="1"/>
  <c r="B140" i="39"/>
  <c r="B73" i="39"/>
  <c r="B101" i="39"/>
  <c r="AO129" i="37"/>
  <c r="B117" i="39"/>
  <c r="AD82" i="36"/>
  <c r="AD82" i="37"/>
  <c r="AB154" i="38"/>
  <c r="AD154" i="38" s="1"/>
  <c r="F154" i="51" s="1"/>
  <c r="AS89" i="38"/>
  <c r="AS91" i="38"/>
  <c r="AV91" i="38" s="1"/>
  <c r="AV78" i="38"/>
  <c r="AV97" i="38"/>
  <c r="AU64" i="38"/>
  <c r="AV93" i="38"/>
  <c r="AV96" i="38"/>
  <c r="AQ30" i="38"/>
  <c r="AS90" i="38"/>
  <c r="AV77" i="38"/>
  <c r="AV149" i="38"/>
  <c r="AU183" i="38"/>
  <c r="AT154" i="38"/>
  <c r="AV154" i="38" s="1"/>
  <c r="AR155" i="38"/>
  <c r="AX155" i="38" s="1"/>
  <c r="AR145" i="38"/>
  <c r="AV145" i="38" s="1"/>
  <c r="AU76" i="38"/>
  <c r="AV90" i="38"/>
  <c r="AV95" i="38"/>
  <c r="AS151" i="38"/>
  <c r="AV148" i="38"/>
  <c r="AV92" i="38"/>
  <c r="AV115" i="38"/>
  <c r="AR146" i="38"/>
  <c r="AV146" i="38" s="1"/>
  <c r="F7" i="39"/>
  <c r="G39" i="43" s="1"/>
  <c r="F39" i="38"/>
  <c r="F64" i="38" s="1"/>
  <c r="AD39" i="38"/>
  <c r="AD64" i="38" s="1"/>
  <c r="AD66" i="38" s="1"/>
  <c r="AP92" i="38"/>
  <c r="AR88" i="38"/>
  <c r="AV88" i="38" s="1"/>
  <c r="AR74" i="38"/>
  <c r="AV74" i="38" s="1"/>
  <c r="AV39" i="38"/>
  <c r="AV64" i="38" s="1"/>
  <c r="AR75" i="38"/>
  <c r="AV75" i="38" s="1"/>
  <c r="T19" i="38"/>
  <c r="F7" i="38"/>
  <c r="F7" i="49" s="1"/>
  <c r="R39" i="38"/>
  <c r="R64" i="38" s="1"/>
  <c r="R62" i="38"/>
  <c r="R65" i="38" s="1"/>
  <c r="L112" i="38"/>
  <c r="F112" i="50" s="1"/>
  <c r="H112" i="42"/>
  <c r="AX112" i="42" s="1"/>
  <c r="BB112" i="42" s="1"/>
  <c r="AS66" i="38"/>
  <c r="AV62" i="38"/>
  <c r="AV65" i="38" s="1"/>
  <c r="AT64" i="38"/>
  <c r="AT66" i="38" s="1"/>
  <c r="AT132" i="38" s="1"/>
  <c r="AT116" i="38"/>
  <c r="AT129" i="38" s="1"/>
  <c r="AV113" i="38"/>
  <c r="AV128" i="38"/>
  <c r="AV205" i="38"/>
  <c r="AN129" i="38"/>
  <c r="AV176" i="38"/>
  <c r="AR181" i="38"/>
  <c r="P154" i="37"/>
  <c r="R154" i="37" s="1"/>
  <c r="E154" i="53" s="1"/>
  <c r="AR75" i="37"/>
  <c r="AV75" i="37" s="1"/>
  <c r="AR74" i="37"/>
  <c r="AV74" i="37" s="1"/>
  <c r="AV5" i="37"/>
  <c r="AV149" i="37"/>
  <c r="AS92" i="37"/>
  <c r="AV92" i="37" s="1"/>
  <c r="AD16" i="37"/>
  <c r="E16" i="39"/>
  <c r="F48" i="43" s="1"/>
  <c r="F115" i="37"/>
  <c r="E115" i="49" s="1"/>
  <c r="Z5" i="37"/>
  <c r="Z74" i="37" s="1"/>
  <c r="AD74" i="37" s="1"/>
  <c r="E74" i="51" s="1"/>
  <c r="L11" i="37"/>
  <c r="E11" i="39"/>
  <c r="F43" i="43" s="1"/>
  <c r="L13" i="37"/>
  <c r="N5" i="37"/>
  <c r="N88" i="37" s="1"/>
  <c r="E7" i="39"/>
  <c r="F39" i="43" s="1"/>
  <c r="B5" i="37"/>
  <c r="AV90" i="37"/>
  <c r="H19" i="37"/>
  <c r="K76" i="37" s="1"/>
  <c r="L76" i="37" s="1"/>
  <c r="T19" i="37"/>
  <c r="W76" i="37" s="1"/>
  <c r="X76" i="37" s="1"/>
  <c r="H5" i="37"/>
  <c r="H74" i="37" s="1"/>
  <c r="L74" i="37" s="1"/>
  <c r="E74" i="50" s="1"/>
  <c r="X66" i="37"/>
  <c r="AT64" i="37"/>
  <c r="AT66" i="37" s="1"/>
  <c r="AT132" i="37" s="1"/>
  <c r="AS151" i="37"/>
  <c r="AR155" i="37"/>
  <c r="AX155" i="37" s="1"/>
  <c r="AT154" i="37"/>
  <c r="AV154" i="37" s="1"/>
  <c r="K138" i="42"/>
  <c r="K139" i="42" s="1"/>
  <c r="K207" i="42" s="1"/>
  <c r="K220" i="42" s="1"/>
  <c r="K221" i="42" s="1"/>
  <c r="Z19" i="37"/>
  <c r="F39" i="37"/>
  <c r="F64" i="37" s="1"/>
  <c r="F66" i="37" s="1"/>
  <c r="AD39" i="37"/>
  <c r="AD64" i="37" s="1"/>
  <c r="AD66" i="37" s="1"/>
  <c r="E30" i="39"/>
  <c r="E32" i="39"/>
  <c r="E34" i="39"/>
  <c r="E36" i="39"/>
  <c r="E38" i="39"/>
  <c r="L62" i="37"/>
  <c r="L65" i="37" s="1"/>
  <c r="AP62" i="37"/>
  <c r="AP65" i="37" s="1"/>
  <c r="E159" i="39"/>
  <c r="AP176" i="37"/>
  <c r="AV77" i="37"/>
  <c r="AV78" i="37"/>
  <c r="AU129" i="37"/>
  <c r="AR145" i="37"/>
  <c r="AV145" i="37" s="1"/>
  <c r="AV148" i="37"/>
  <c r="AR157" i="37"/>
  <c r="AV157" i="37" s="1"/>
  <c r="AV179" i="37"/>
  <c r="AV94" i="37"/>
  <c r="E117" i="39"/>
  <c r="E223" i="39"/>
  <c r="AP5" i="37"/>
  <c r="B19" i="37"/>
  <c r="AD6" i="37"/>
  <c r="L12" i="37"/>
  <c r="L14" i="37"/>
  <c r="L15" i="37"/>
  <c r="AU66" i="37"/>
  <c r="AU132" i="37" s="1"/>
  <c r="AT116" i="37"/>
  <c r="AT129" i="37" s="1"/>
  <c r="AV113" i="37"/>
  <c r="AV128" i="37"/>
  <c r="D11" i="39"/>
  <c r="E43" i="43" s="1"/>
  <c r="E22" i="43" s="1"/>
  <c r="X11" i="36"/>
  <c r="D11" i="52" s="1"/>
  <c r="AV115" i="36"/>
  <c r="AV142" i="36"/>
  <c r="F6" i="36"/>
  <c r="B19" i="36"/>
  <c r="AR181" i="36"/>
  <c r="AV179" i="36"/>
  <c r="AV181" i="36" s="1"/>
  <c r="U64" i="36"/>
  <c r="U66" i="36" s="1"/>
  <c r="U133" i="36" s="1"/>
  <c r="AL94" i="36"/>
  <c r="AP94" i="36"/>
  <c r="D97" i="39"/>
  <c r="AR146" i="36"/>
  <c r="AV146" i="36" s="1"/>
  <c r="AT154" i="36"/>
  <c r="AV154" i="36" s="1"/>
  <c r="AR157" i="36"/>
  <c r="AV157" i="36" s="1"/>
  <c r="AR145" i="36"/>
  <c r="AV145" i="36" s="1"/>
  <c r="AV19" i="36"/>
  <c r="U11" i="48" s="1"/>
  <c r="AR155" i="36"/>
  <c r="X62" i="36"/>
  <c r="X65" i="36" s="1"/>
  <c r="P64" i="36"/>
  <c r="P66" i="36" s="1"/>
  <c r="P133" i="36" s="1"/>
  <c r="D162" i="39"/>
  <c r="D189" i="39"/>
  <c r="AP205" i="36"/>
  <c r="AR88" i="36"/>
  <c r="AR74" i="36"/>
  <c r="AR75" i="36"/>
  <c r="AV75" i="36" s="1"/>
  <c r="AV92" i="36"/>
  <c r="H19" i="36"/>
  <c r="K76" i="36" s="1"/>
  <c r="L76" i="36" s="1"/>
  <c r="N19" i="36"/>
  <c r="F39" i="36"/>
  <c r="F64" i="36" s="1"/>
  <c r="AD39" i="36"/>
  <c r="AD64" i="36" s="1"/>
  <c r="AD66" i="36" s="1"/>
  <c r="F62" i="36"/>
  <c r="F65" i="36" s="1"/>
  <c r="D43" i="39"/>
  <c r="E5" i="44" s="1"/>
  <c r="D45" i="39"/>
  <c r="D47" i="39"/>
  <c r="D49" i="39"/>
  <c r="D51" i="39"/>
  <c r="D53" i="39"/>
  <c r="E18" i="44" s="1"/>
  <c r="D55" i="39"/>
  <c r="D57" i="39"/>
  <c r="D59" i="39"/>
  <c r="D61" i="39"/>
  <c r="AV39" i="36"/>
  <c r="AV64" i="36" s="1"/>
  <c r="AV113" i="36"/>
  <c r="AS151" i="36"/>
  <c r="B64" i="36"/>
  <c r="B66" i="36" s="1"/>
  <c r="B133" i="36" s="1"/>
  <c r="K64" i="36"/>
  <c r="K66" i="36" s="1"/>
  <c r="K133" i="36" s="1"/>
  <c r="AN64" i="36"/>
  <c r="AN66" i="36" s="1"/>
  <c r="AN132" i="36" s="1"/>
  <c r="AP176" i="36"/>
  <c r="D173" i="39"/>
  <c r="AP192" i="36"/>
  <c r="AV87" i="36"/>
  <c r="AV62" i="36"/>
  <c r="AV65" i="36" s="1"/>
  <c r="AV205" i="36"/>
  <c r="X12" i="36"/>
  <c r="D12" i="52" s="1"/>
  <c r="C41" i="39"/>
  <c r="C101" i="39"/>
  <c r="C117" i="39"/>
  <c r="C140" i="39"/>
  <c r="C182" i="39"/>
  <c r="C193" i="39" s="1"/>
  <c r="R103" i="37"/>
  <c r="E103" i="53" s="1"/>
  <c r="B41" i="39"/>
  <c r="B152" i="39"/>
  <c r="B168" i="39" s="1"/>
  <c r="L167" i="42"/>
  <c r="W138" i="42"/>
  <c r="W139" i="42" s="1"/>
  <c r="W207" i="42" s="1"/>
  <c r="W220" i="42" s="1"/>
  <c r="W221" i="42" s="1"/>
  <c r="Q138" i="42"/>
  <c r="Q139" i="42" s="1"/>
  <c r="Q207" i="42" s="1"/>
  <c r="Q220" i="42" s="1"/>
  <c r="Q221" i="42" s="1"/>
  <c r="X167" i="42"/>
  <c r="D117" i="39"/>
  <c r="B223" i="39"/>
  <c r="D41" i="39"/>
  <c r="E140" i="39"/>
  <c r="D182" i="39"/>
  <c r="D193" i="39" s="1"/>
  <c r="E3" i="44"/>
  <c r="D140" i="39"/>
  <c r="E41" i="39"/>
  <c r="E73" i="39"/>
  <c r="D101" i="39"/>
  <c r="E152" i="39"/>
  <c r="E168" i="39" s="1"/>
  <c r="E182" i="39"/>
  <c r="E193" i="39" s="1"/>
  <c r="D223" i="39"/>
  <c r="C223" i="39"/>
  <c r="D3" i="44"/>
  <c r="AV176" i="36"/>
  <c r="F97" i="39"/>
  <c r="AC129" i="38"/>
  <c r="AO129" i="38"/>
  <c r="AS129" i="37"/>
  <c r="AS129" i="36"/>
  <c r="AN129" i="37"/>
  <c r="R103" i="36"/>
  <c r="D103" i="53" s="1"/>
  <c r="X210" i="38"/>
  <c r="F210" i="52" s="1"/>
  <c r="F231" i="52" s="1"/>
  <c r="F235" i="52" s="1"/>
  <c r="X210" i="37"/>
  <c r="E210" i="52" s="1"/>
  <c r="E231" i="52" s="1"/>
  <c r="E235" i="52" s="1"/>
  <c r="C73" i="39"/>
  <c r="L39" i="38"/>
  <c r="L64" i="38" s="1"/>
  <c r="AU66" i="38"/>
  <c r="AU132" i="38" s="1"/>
  <c r="AT158" i="38"/>
  <c r="AT85" i="38" s="1"/>
  <c r="AT98" i="38" s="1"/>
  <c r="AV181" i="38"/>
  <c r="F171" i="39"/>
  <c r="F185" i="39"/>
  <c r="F187" i="39"/>
  <c r="F189" i="39"/>
  <c r="F191" i="39"/>
  <c r="F213" i="39"/>
  <c r="F217" i="39"/>
  <c r="F234" i="39" s="1"/>
  <c r="AR87" i="38"/>
  <c r="AV87" i="38" s="1"/>
  <c r="AV105" i="38"/>
  <c r="AR108" i="38"/>
  <c r="AV108" i="38" s="1"/>
  <c r="AV110" i="38"/>
  <c r="AR141" i="38"/>
  <c r="AV153" i="38"/>
  <c r="AR192" i="38"/>
  <c r="F32" i="39"/>
  <c r="F50" i="39"/>
  <c r="F54" i="39"/>
  <c r="F58" i="39"/>
  <c r="F127" i="39"/>
  <c r="AV19" i="38"/>
  <c r="W11" i="48" s="1"/>
  <c r="AR64" i="38"/>
  <c r="AR66" i="38" s="1"/>
  <c r="AR132" i="38" s="1"/>
  <c r="AR156" i="38"/>
  <c r="F36" i="39"/>
  <c r="F18" i="39"/>
  <c r="G50" i="43" s="1"/>
  <c r="G29" i="43" s="1"/>
  <c r="F118" i="39"/>
  <c r="F125" i="39"/>
  <c r="F136" i="39"/>
  <c r="F150" i="39"/>
  <c r="F172" i="39"/>
  <c r="F216" i="39"/>
  <c r="F233" i="39" s="1"/>
  <c r="T5" i="38"/>
  <c r="T74" i="38" s="1"/>
  <c r="X74" i="38" s="1"/>
  <c r="F74" i="52" s="1"/>
  <c r="X12" i="38"/>
  <c r="F12" i="52" s="1"/>
  <c r="X13" i="38"/>
  <c r="F13" i="52" s="1"/>
  <c r="X14" i="38"/>
  <c r="F14" i="52" s="1"/>
  <c r="N19" i="38"/>
  <c r="X39" i="38"/>
  <c r="X64" i="38" s="1"/>
  <c r="X66" i="38" s="1"/>
  <c r="F30" i="39"/>
  <c r="F34" i="39"/>
  <c r="F38" i="39"/>
  <c r="K108" i="38"/>
  <c r="K116" i="38" s="1"/>
  <c r="K129" i="38" s="1"/>
  <c r="V64" i="38"/>
  <c r="V66" i="38" s="1"/>
  <c r="V133" i="38" s="1"/>
  <c r="AM158" i="38"/>
  <c r="P64" i="38"/>
  <c r="P66" i="38" s="1"/>
  <c r="P133" i="38" s="1"/>
  <c r="AO64" i="38"/>
  <c r="AO66" i="38" s="1"/>
  <c r="AO132" i="38" s="1"/>
  <c r="O90" i="38"/>
  <c r="AA90" i="38"/>
  <c r="L6" i="38"/>
  <c r="H19" i="38"/>
  <c r="H5" i="38"/>
  <c r="H74" i="38" s="1"/>
  <c r="L74" i="38" s="1"/>
  <c r="F74" i="50" s="1"/>
  <c r="Z5" i="38"/>
  <c r="Z74" i="38" s="1"/>
  <c r="AD74" i="38" s="1"/>
  <c r="F74" i="51" s="1"/>
  <c r="F8" i="39"/>
  <c r="G40" i="43" s="1"/>
  <c r="G19" i="43" s="1"/>
  <c r="F13" i="39"/>
  <c r="G45" i="43" s="1"/>
  <c r="F14" i="39"/>
  <c r="G46" i="43" s="1"/>
  <c r="F16" i="39"/>
  <c r="G48" i="43" s="1"/>
  <c r="G27" i="43" s="1"/>
  <c r="F29" i="39"/>
  <c r="F33" i="39"/>
  <c r="F37" i="39"/>
  <c r="C64" i="38"/>
  <c r="C66" i="38" s="1"/>
  <c r="C133" i="38" s="1"/>
  <c r="H64" i="38"/>
  <c r="H66" i="38" s="1"/>
  <c r="H133" i="38" s="1"/>
  <c r="Q108" i="38"/>
  <c r="Q116" i="38" s="1"/>
  <c r="Q129" i="38" s="1"/>
  <c r="Q64" i="38"/>
  <c r="Q66" i="38" s="1"/>
  <c r="Q133" i="38" s="1"/>
  <c r="F46" i="39"/>
  <c r="B64" i="38"/>
  <c r="B66" i="38" s="1"/>
  <c r="U64" i="38"/>
  <c r="U66" i="38" s="1"/>
  <c r="U133" i="38" s="1"/>
  <c r="B91" i="38"/>
  <c r="N91" i="38"/>
  <c r="Z91" i="38"/>
  <c r="H92" i="38"/>
  <c r="AX92" i="38" s="1"/>
  <c r="C90" i="38"/>
  <c r="N87" i="38"/>
  <c r="F10" i="39"/>
  <c r="G42" i="43" s="1"/>
  <c r="B19" i="38"/>
  <c r="F45" i="39"/>
  <c r="F49" i="39"/>
  <c r="F53" i="39"/>
  <c r="G18" i="44" s="1"/>
  <c r="F57" i="39"/>
  <c r="F61" i="39"/>
  <c r="Z64" i="38"/>
  <c r="Z66" i="38" s="1"/>
  <c r="Z133" i="38" s="1"/>
  <c r="AO89" i="38"/>
  <c r="AO99" i="38" s="1"/>
  <c r="AO86" i="38"/>
  <c r="AP76" i="38"/>
  <c r="AP89" i="38" s="1"/>
  <c r="I90" i="38"/>
  <c r="U90" i="38"/>
  <c r="AM90" i="38"/>
  <c r="AP77" i="38"/>
  <c r="AP90" i="38" s="1"/>
  <c r="T93" i="38"/>
  <c r="AX93" i="38" s="1"/>
  <c r="AP82" i="38"/>
  <c r="AP95" i="38" s="1"/>
  <c r="AL95" i="38"/>
  <c r="B5" i="38"/>
  <c r="AL88" i="38"/>
  <c r="AP5" i="38"/>
  <c r="AP88" i="38" s="1"/>
  <c r="AL87" i="38"/>
  <c r="AL75" i="38"/>
  <c r="AP75" i="38" s="1"/>
  <c r="X6" i="38"/>
  <c r="F9" i="38"/>
  <c r="F17" i="39"/>
  <c r="G49" i="43" s="1"/>
  <c r="G28" i="43" s="1"/>
  <c r="F31" i="39"/>
  <c r="F35" i="39"/>
  <c r="AA64" i="38"/>
  <c r="AA66" i="38" s="1"/>
  <c r="AA133" i="38" s="1"/>
  <c r="AL64" i="38"/>
  <c r="AL66" i="38" s="1"/>
  <c r="AL132" i="38" s="1"/>
  <c r="AP132" i="38" s="1"/>
  <c r="L62" i="38"/>
  <c r="L65" i="38" s="1"/>
  <c r="L66" i="38" s="1"/>
  <c r="AP62" i="38"/>
  <c r="AP65" i="38" s="1"/>
  <c r="F44" i="39"/>
  <c r="F48" i="39"/>
  <c r="F52" i="39"/>
  <c r="F56" i="39"/>
  <c r="F60" i="39"/>
  <c r="K64" i="38"/>
  <c r="K66" i="38" s="1"/>
  <c r="K133" i="38" s="1"/>
  <c r="AC76" i="38"/>
  <c r="H91" i="38"/>
  <c r="T91" i="38"/>
  <c r="AP78" i="38"/>
  <c r="AP91" i="38" s="1"/>
  <c r="AL91" i="38"/>
  <c r="AM94" i="38"/>
  <c r="AP94" i="38"/>
  <c r="Z94" i="38"/>
  <c r="AL147" i="38"/>
  <c r="AP147" i="38" s="1"/>
  <c r="AL146" i="38"/>
  <c r="AP146" i="38" s="1"/>
  <c r="AL157" i="38"/>
  <c r="AL141" i="38"/>
  <c r="AN154" i="38"/>
  <c r="AL148" i="38"/>
  <c r="AP148" i="38" s="1"/>
  <c r="W108" i="38"/>
  <c r="W116" i="38" s="1"/>
  <c r="W129" i="38" s="1"/>
  <c r="D64" i="38"/>
  <c r="D66" i="38" s="1"/>
  <c r="D133" i="38" s="1"/>
  <c r="I64" i="38"/>
  <c r="I66" i="38" s="1"/>
  <c r="I133" i="38" s="1"/>
  <c r="N64" i="38"/>
  <c r="N66" i="38" s="1"/>
  <c r="N133" i="38" s="1"/>
  <c r="W64" i="38"/>
  <c r="W66" i="38" s="1"/>
  <c r="W133" i="38" s="1"/>
  <c r="AB64" i="38"/>
  <c r="AB66" i="38" s="1"/>
  <c r="AB133" i="38" s="1"/>
  <c r="F83" i="39"/>
  <c r="F84" i="39"/>
  <c r="V116" i="38"/>
  <c r="X110" i="38"/>
  <c r="F110" i="52" s="1"/>
  <c r="AD16" i="38"/>
  <c r="AP19" i="38"/>
  <c r="E116" i="38"/>
  <c r="F42" i="39"/>
  <c r="E64" i="38"/>
  <c r="E66" i="38" s="1"/>
  <c r="E133" i="38" s="1"/>
  <c r="J64" i="38"/>
  <c r="J66" i="38" s="1"/>
  <c r="J133" i="38" s="1"/>
  <c r="O64" i="38"/>
  <c r="O66" i="38" s="1"/>
  <c r="O133" i="38" s="1"/>
  <c r="T64" i="38"/>
  <c r="T66" i="38" s="1"/>
  <c r="T133" i="38" s="1"/>
  <c r="AC64" i="38"/>
  <c r="AC66" i="38" s="1"/>
  <c r="AC133" i="38" s="1"/>
  <c r="AN64" i="38"/>
  <c r="AN66" i="38" s="1"/>
  <c r="AN132" i="38" s="1"/>
  <c r="U89" i="38"/>
  <c r="B94" i="38"/>
  <c r="AD82" i="38"/>
  <c r="L115" i="38"/>
  <c r="F115" i="50" s="1"/>
  <c r="F112" i="39"/>
  <c r="D116" i="38"/>
  <c r="J116" i="38"/>
  <c r="P116" i="38"/>
  <c r="O151" i="38"/>
  <c r="F109" i="39"/>
  <c r="F110" i="39"/>
  <c r="F143" i="39"/>
  <c r="I151" i="38"/>
  <c r="AN151" i="38"/>
  <c r="AP149" i="38"/>
  <c r="F162" i="39"/>
  <c r="F142" i="39"/>
  <c r="AP176" i="38"/>
  <c r="F160" i="39"/>
  <c r="F186" i="39"/>
  <c r="AP205" i="38"/>
  <c r="F212" i="39"/>
  <c r="AP192" i="38"/>
  <c r="F184" i="39"/>
  <c r="F211" i="39"/>
  <c r="F215" i="39"/>
  <c r="T192" i="38"/>
  <c r="F188" i="39"/>
  <c r="F209" i="39"/>
  <c r="F210" i="39"/>
  <c r="F231" i="39" s="1"/>
  <c r="F214" i="39"/>
  <c r="F218" i="39"/>
  <c r="H192" i="38"/>
  <c r="U151" i="37"/>
  <c r="I151" i="37"/>
  <c r="AR93" i="37"/>
  <c r="AV93" i="37" s="1"/>
  <c r="E186" i="39"/>
  <c r="E190" i="39"/>
  <c r="E17" i="39"/>
  <c r="F49" i="43" s="1"/>
  <c r="F28" i="43" s="1"/>
  <c r="E44" i="39"/>
  <c r="E46" i="39"/>
  <c r="E48" i="39"/>
  <c r="E50" i="39"/>
  <c r="E52" i="39"/>
  <c r="E54" i="39"/>
  <c r="E56" i="39"/>
  <c r="E58" i="39"/>
  <c r="E60" i="39"/>
  <c r="E109" i="39"/>
  <c r="AS66" i="37"/>
  <c r="AS132" i="37" s="1"/>
  <c r="AV62" i="37"/>
  <c r="AV65" i="37" s="1"/>
  <c r="AV66" i="37" s="1"/>
  <c r="AV181" i="37"/>
  <c r="E13" i="39"/>
  <c r="F45" i="43" s="1"/>
  <c r="F24" i="43" s="1"/>
  <c r="E15" i="39"/>
  <c r="F47" i="43" s="1"/>
  <c r="F26" i="43" s="1"/>
  <c r="E31" i="39"/>
  <c r="E33" i="39"/>
  <c r="E35" i="39"/>
  <c r="E37" i="39"/>
  <c r="E114" i="39"/>
  <c r="E134" i="39"/>
  <c r="E143" i="39"/>
  <c r="E160" i="39"/>
  <c r="E172" i="39"/>
  <c r="E213" i="39"/>
  <c r="E217" i="39"/>
  <c r="E234" i="39" s="1"/>
  <c r="AR87" i="37"/>
  <c r="AV87" i="37" s="1"/>
  <c r="AV105" i="37"/>
  <c r="AR108" i="37"/>
  <c r="AV108" i="37" s="1"/>
  <c r="AV110" i="37"/>
  <c r="AR141" i="37"/>
  <c r="AV155" i="37"/>
  <c r="AR192" i="37"/>
  <c r="E18" i="39"/>
  <c r="F50" i="43" s="1"/>
  <c r="E43" i="39"/>
  <c r="F5" i="44" s="1"/>
  <c r="E45" i="39"/>
  <c r="E47" i="39"/>
  <c r="E49" i="39"/>
  <c r="E51" i="39"/>
  <c r="E53" i="39"/>
  <c r="F18" i="44" s="1"/>
  <c r="E55" i="39"/>
  <c r="E57" i="39"/>
  <c r="E59" i="39"/>
  <c r="E61" i="39"/>
  <c r="E125" i="39"/>
  <c r="E127" i="39"/>
  <c r="E142" i="39"/>
  <c r="E150" i="39"/>
  <c r="E162" i="39"/>
  <c r="AV19" i="37"/>
  <c r="V11" i="48" s="1"/>
  <c r="AR64" i="37"/>
  <c r="AR66" i="37" s="1"/>
  <c r="AR132" i="37" s="1"/>
  <c r="AV132" i="37" s="1"/>
  <c r="AR88" i="37"/>
  <c r="AV88" i="37" s="1"/>
  <c r="AR156" i="37"/>
  <c r="AU183" i="37"/>
  <c r="AU192" i="37" s="1"/>
  <c r="E203" i="39"/>
  <c r="E212" i="39"/>
  <c r="E216" i="39"/>
  <c r="E233" i="39" s="1"/>
  <c r="AU76" i="37"/>
  <c r="K183" i="37"/>
  <c r="L19" i="37"/>
  <c r="V6" i="48" s="1"/>
  <c r="T157" i="37"/>
  <c r="X19" i="37"/>
  <c r="V5" i="48" s="1"/>
  <c r="AC183" i="37"/>
  <c r="AC192" i="37" s="1"/>
  <c r="Z157" i="37"/>
  <c r="AC76" i="37"/>
  <c r="AD76" i="37" s="1"/>
  <c r="AD19" i="37"/>
  <c r="V7" i="48" s="1"/>
  <c r="B88" i="37"/>
  <c r="E6" i="39"/>
  <c r="F38" i="43" s="1"/>
  <c r="F17" i="43" s="1"/>
  <c r="E8" i="39"/>
  <c r="F40" i="43" s="1"/>
  <c r="AP87" i="37"/>
  <c r="AP88" i="37"/>
  <c r="F5" i="37"/>
  <c r="F88" i="37" s="1"/>
  <c r="E88" i="49" s="1"/>
  <c r="X6" i="37"/>
  <c r="E6" i="52" s="1"/>
  <c r="L7" i="37"/>
  <c r="N75" i="37"/>
  <c r="R75" i="37" s="1"/>
  <c r="E75" i="53" s="1"/>
  <c r="T5" i="37"/>
  <c r="AL87" i="37"/>
  <c r="AL88" i="37"/>
  <c r="AL75" i="37"/>
  <c r="AP75" i="37" s="1"/>
  <c r="R6" i="37"/>
  <c r="F7" i="37"/>
  <c r="F9" i="37"/>
  <c r="E9" i="49" s="1"/>
  <c r="AN154" i="37"/>
  <c r="AL157" i="37"/>
  <c r="AL148" i="37"/>
  <c r="AP148" i="37" s="1"/>
  <c r="AL147" i="37"/>
  <c r="AP147" i="37" s="1"/>
  <c r="AL141" i="37"/>
  <c r="AL146" i="37"/>
  <c r="AP146" i="37" s="1"/>
  <c r="AQ30" i="37"/>
  <c r="AO76" i="37"/>
  <c r="AP76" i="37" s="1"/>
  <c r="AP89" i="37" s="1"/>
  <c r="I158" i="37"/>
  <c r="AQ29" i="37"/>
  <c r="E108" i="37"/>
  <c r="AC108" i="37"/>
  <c r="AC116" i="37" s="1"/>
  <c r="E42" i="39"/>
  <c r="E64" i="37"/>
  <c r="E66" i="37" s="1"/>
  <c r="E133" i="37" s="1"/>
  <c r="J64" i="37"/>
  <c r="J66" i="37" s="1"/>
  <c r="J133" i="37" s="1"/>
  <c r="O64" i="37"/>
  <c r="O66" i="37" s="1"/>
  <c r="O133" i="37" s="1"/>
  <c r="T64" i="37"/>
  <c r="T66" i="37" s="1"/>
  <c r="T133" i="37" s="1"/>
  <c r="AC64" i="37"/>
  <c r="AC66" i="37" s="1"/>
  <c r="AC133" i="37" s="1"/>
  <c r="AN64" i="37"/>
  <c r="AN66" i="37" s="1"/>
  <c r="AN132" i="37" s="1"/>
  <c r="O89" i="37"/>
  <c r="U89" i="37"/>
  <c r="AP78" i="37"/>
  <c r="AP91" i="37" s="1"/>
  <c r="N90" i="37"/>
  <c r="K108" i="37"/>
  <c r="K116" i="37" s="1"/>
  <c r="K129" i="37" s="1"/>
  <c r="B64" i="37"/>
  <c r="B66" i="37" s="1"/>
  <c r="B133" i="37" s="1"/>
  <c r="K64" i="37"/>
  <c r="K66" i="37" s="1"/>
  <c r="K133" i="37" s="1"/>
  <c r="P64" i="37"/>
  <c r="P66" i="37" s="1"/>
  <c r="P133" i="37" s="1"/>
  <c r="U64" i="37"/>
  <c r="U66" i="37" s="1"/>
  <c r="U133" i="37" s="1"/>
  <c r="Z64" i="37"/>
  <c r="Z66" i="37" s="1"/>
  <c r="Z133" i="37" s="1"/>
  <c r="AO64" i="37"/>
  <c r="AO66" i="37" s="1"/>
  <c r="AO132" i="37" s="1"/>
  <c r="H92" i="37"/>
  <c r="B94" i="37"/>
  <c r="I89" i="37"/>
  <c r="AM89" i="37"/>
  <c r="H90" i="37"/>
  <c r="Q108" i="37"/>
  <c r="Q116" i="37" s="1"/>
  <c r="C64" i="37"/>
  <c r="C66" i="37" s="1"/>
  <c r="C133" i="37" s="1"/>
  <c r="H64" i="37"/>
  <c r="H66" i="37" s="1"/>
  <c r="H133" i="37" s="1"/>
  <c r="Q64" i="37"/>
  <c r="Q66" i="37" s="1"/>
  <c r="Q133" i="37" s="1"/>
  <c r="V64" i="37"/>
  <c r="V66" i="37" s="1"/>
  <c r="V133" i="37" s="1"/>
  <c r="AA64" i="37"/>
  <c r="AA66" i="37" s="1"/>
  <c r="AA133" i="37" s="1"/>
  <c r="AD133" i="37" s="1"/>
  <c r="E133" i="51" s="1"/>
  <c r="AL64" i="37"/>
  <c r="AL66" i="37" s="1"/>
  <c r="AL132" i="37" s="1"/>
  <c r="AP132" i="37" s="1"/>
  <c r="AN90" i="37"/>
  <c r="B92" i="37"/>
  <c r="AP93" i="37"/>
  <c r="Z94" i="37"/>
  <c r="W108" i="37"/>
  <c r="W116" i="37" s="1"/>
  <c r="W129" i="37" s="1"/>
  <c r="D64" i="37"/>
  <c r="D66" i="37" s="1"/>
  <c r="D133" i="37" s="1"/>
  <c r="N64" i="37"/>
  <c r="N66" i="37" s="1"/>
  <c r="N133" i="37" s="1"/>
  <c r="W64" i="37"/>
  <c r="W66" i="37" s="1"/>
  <c r="W133" i="37" s="1"/>
  <c r="AB64" i="37"/>
  <c r="AB66" i="37" s="1"/>
  <c r="AB133" i="37" s="1"/>
  <c r="AP77" i="37"/>
  <c r="AP90" i="37" s="1"/>
  <c r="AP92" i="37"/>
  <c r="AL92" i="37"/>
  <c r="T93" i="37"/>
  <c r="AX93" i="37" s="1"/>
  <c r="H94" i="37"/>
  <c r="AP94" i="37"/>
  <c r="AL94" i="37"/>
  <c r="E83" i="39"/>
  <c r="E84" i="39"/>
  <c r="C108" i="37"/>
  <c r="AY108" i="37" s="1"/>
  <c r="E112" i="39"/>
  <c r="L112" i="37"/>
  <c r="E112" i="50" s="1"/>
  <c r="AL95" i="37"/>
  <c r="E118" i="39"/>
  <c r="E128" i="37"/>
  <c r="AC128" i="37"/>
  <c r="E110" i="39"/>
  <c r="Q128" i="37"/>
  <c r="F173" i="37"/>
  <c r="E173" i="49" s="1"/>
  <c r="AM151" i="37"/>
  <c r="AP145" i="37"/>
  <c r="O151" i="37"/>
  <c r="F153" i="37"/>
  <c r="E153" i="49" s="1"/>
  <c r="E173" i="39"/>
  <c r="C151" i="37"/>
  <c r="E171" i="39"/>
  <c r="E187" i="39"/>
  <c r="E191" i="39"/>
  <c r="T192" i="37"/>
  <c r="E185" i="39"/>
  <c r="E189" i="39"/>
  <c r="E211" i="39"/>
  <c r="E215" i="39"/>
  <c r="AP192" i="37"/>
  <c r="E184" i="39"/>
  <c r="E188" i="39"/>
  <c r="E210" i="39"/>
  <c r="E231" i="39" s="1"/>
  <c r="E214" i="39"/>
  <c r="E218" i="39"/>
  <c r="L39" i="36"/>
  <c r="L64" i="36" s="1"/>
  <c r="L66" i="36" s="1"/>
  <c r="Z19" i="36"/>
  <c r="AP5" i="36"/>
  <c r="AP88" i="36" s="1"/>
  <c r="L6" i="36"/>
  <c r="R12" i="36"/>
  <c r="T19" i="36"/>
  <c r="AT90" i="36"/>
  <c r="AS158" i="36"/>
  <c r="AS85" i="36" s="1"/>
  <c r="AS98" i="36" s="1"/>
  <c r="AU86" i="36"/>
  <c r="AR64" i="36"/>
  <c r="AR66" i="36" s="1"/>
  <c r="AR132" i="36" s="1"/>
  <c r="AV76" i="36"/>
  <c r="AV89" i="36" s="1"/>
  <c r="D34" i="39"/>
  <c r="D36" i="39"/>
  <c r="D38" i="39"/>
  <c r="D83" i="39"/>
  <c r="D127" i="39"/>
  <c r="D203" i="39"/>
  <c r="AT64" i="36"/>
  <c r="AT66" i="36" s="1"/>
  <c r="AT132" i="36" s="1"/>
  <c r="AV77" i="36"/>
  <c r="AV90" i="36" s="1"/>
  <c r="AV78" i="36"/>
  <c r="AV91" i="36" s="1"/>
  <c r="AV94" i="36"/>
  <c r="AS89" i="36"/>
  <c r="AR141" i="36"/>
  <c r="AV153" i="36"/>
  <c r="AR192" i="36"/>
  <c r="D18" i="39"/>
  <c r="E50" i="43" s="1"/>
  <c r="E29" i="43" s="1"/>
  <c r="D29" i="39"/>
  <c r="E9" i="44" s="1"/>
  <c r="D42" i="39"/>
  <c r="D44" i="39"/>
  <c r="D46" i="39"/>
  <c r="D48" i="39"/>
  <c r="D50" i="39"/>
  <c r="D52" i="39"/>
  <c r="D54" i="39"/>
  <c r="D56" i="39"/>
  <c r="D58" i="39"/>
  <c r="D60" i="39"/>
  <c r="D125" i="39"/>
  <c r="D134" i="39"/>
  <c r="D150" i="39"/>
  <c r="D171" i="39"/>
  <c r="D213" i="39"/>
  <c r="D217" i="39"/>
  <c r="D234" i="39" s="1"/>
  <c r="AR87" i="36"/>
  <c r="AV105" i="36"/>
  <c r="AR108" i="36"/>
  <c r="AV108" i="36" s="1"/>
  <c r="AR156" i="36"/>
  <c r="AU183" i="36"/>
  <c r="AU192" i="36" s="1"/>
  <c r="D16" i="39"/>
  <c r="E48" i="43" s="1"/>
  <c r="E27" i="43" s="1"/>
  <c r="D32" i="39"/>
  <c r="D17" i="39"/>
  <c r="E49" i="43" s="1"/>
  <c r="E28" i="43" s="1"/>
  <c r="D31" i="39"/>
  <c r="D33" i="39"/>
  <c r="D35" i="39"/>
  <c r="D37" i="39"/>
  <c r="D209" i="39"/>
  <c r="C158" i="36"/>
  <c r="C167" i="36" s="1"/>
  <c r="O66" i="36"/>
  <c r="O133" i="36" s="1"/>
  <c r="N157" i="36"/>
  <c r="K158" i="36"/>
  <c r="K167" i="36" s="1"/>
  <c r="D12" i="39"/>
  <c r="E44" i="43" s="1"/>
  <c r="H5" i="36"/>
  <c r="H74" i="36" s="1"/>
  <c r="T5" i="36"/>
  <c r="T74" i="36" s="1"/>
  <c r="AL88" i="36"/>
  <c r="AL87" i="36"/>
  <c r="AL74" i="36"/>
  <c r="D6" i="39"/>
  <c r="E38" i="43" s="1"/>
  <c r="E17" i="43" s="1"/>
  <c r="D7" i="39"/>
  <c r="E39" i="43" s="1"/>
  <c r="E18" i="43" s="1"/>
  <c r="D8" i="39"/>
  <c r="E40" i="43" s="1"/>
  <c r="D9" i="39"/>
  <c r="E41" i="43" s="1"/>
  <c r="E20" i="43" s="1"/>
  <c r="AL157" i="36"/>
  <c r="AN154" i="36"/>
  <c r="AL148" i="36"/>
  <c r="AP148" i="36" s="1"/>
  <c r="AL141" i="36"/>
  <c r="AL146" i="36"/>
  <c r="AP146" i="36" s="1"/>
  <c r="AL147" i="36"/>
  <c r="AP147" i="36" s="1"/>
  <c r="D64" i="36"/>
  <c r="D66" i="36" s="1"/>
  <c r="D133" i="36" s="1"/>
  <c r="N64" i="36"/>
  <c r="N66" i="36" s="1"/>
  <c r="N133" i="36" s="1"/>
  <c r="W64" i="36"/>
  <c r="W66" i="36" s="1"/>
  <c r="W133" i="36" s="1"/>
  <c r="AB64" i="36"/>
  <c r="AB66" i="36" s="1"/>
  <c r="AB133" i="36" s="1"/>
  <c r="AM66" i="36"/>
  <c r="AM132" i="36" s="1"/>
  <c r="J64" i="36"/>
  <c r="J66" i="36" s="1"/>
  <c r="J133" i="36" s="1"/>
  <c r="V64" i="36"/>
  <c r="V66" i="36" s="1"/>
  <c r="V133" i="36" s="1"/>
  <c r="C89" i="36"/>
  <c r="AA89" i="36"/>
  <c r="N90" i="36"/>
  <c r="D84" i="39"/>
  <c r="H91" i="36"/>
  <c r="H92" i="36"/>
  <c r="W108" i="36"/>
  <c r="W116" i="36" s="1"/>
  <c r="W129" i="36" s="1"/>
  <c r="C108" i="36"/>
  <c r="Q108" i="36"/>
  <c r="Q116" i="36" s="1"/>
  <c r="D30" i="39"/>
  <c r="AC108" i="36"/>
  <c r="AC116" i="36" s="1"/>
  <c r="AC129" i="36" s="1"/>
  <c r="Q64" i="36"/>
  <c r="Q66" i="36" s="1"/>
  <c r="Q133" i="36" s="1"/>
  <c r="AO76" i="36"/>
  <c r="AP76" i="36" s="1"/>
  <c r="AP89" i="36" s="1"/>
  <c r="AP77" i="36"/>
  <c r="AP90" i="36" s="1"/>
  <c r="AP78" i="36"/>
  <c r="AP91" i="36" s="1"/>
  <c r="H90" i="36"/>
  <c r="AL90" i="36"/>
  <c r="N93" i="36"/>
  <c r="AX93" i="36" s="1"/>
  <c r="V116" i="36"/>
  <c r="X110" i="36"/>
  <c r="D110" i="52" s="1"/>
  <c r="H64" i="36"/>
  <c r="H66" i="36" s="1"/>
  <c r="H133" i="36" s="1"/>
  <c r="AA64" i="36"/>
  <c r="AA66" i="36" s="1"/>
  <c r="AA133" i="36" s="1"/>
  <c r="T90" i="36"/>
  <c r="AL92" i="36"/>
  <c r="AP92" i="36"/>
  <c r="F113" i="36"/>
  <c r="D113" i="49" s="1"/>
  <c r="D10" i="39"/>
  <c r="E42" i="43" s="1"/>
  <c r="D15" i="39"/>
  <c r="E47" i="43" s="1"/>
  <c r="E26" i="43" s="1"/>
  <c r="E108" i="36"/>
  <c r="X39" i="36"/>
  <c r="X64" i="36" s="1"/>
  <c r="E64" i="36"/>
  <c r="E66" i="36" s="1"/>
  <c r="E133" i="36" s="1"/>
  <c r="B5" i="36"/>
  <c r="N5" i="36"/>
  <c r="N74" i="36" s="1"/>
  <c r="Z5" i="36"/>
  <c r="Z74" i="36" s="1"/>
  <c r="T64" i="36"/>
  <c r="T66" i="36" s="1"/>
  <c r="T133" i="36" s="1"/>
  <c r="Z64" i="36"/>
  <c r="Z66" i="36" s="1"/>
  <c r="Z133" i="36" s="1"/>
  <c r="AL64" i="36"/>
  <c r="AL66" i="36" s="1"/>
  <c r="AL132" i="36" s="1"/>
  <c r="B90" i="36"/>
  <c r="Z90" i="36"/>
  <c r="T94" i="36"/>
  <c r="AX94" i="36" s="1"/>
  <c r="AP82" i="36"/>
  <c r="AP95" i="36" s="1"/>
  <c r="K108" i="36"/>
  <c r="K116" i="36" s="1"/>
  <c r="K129" i="36" s="1"/>
  <c r="L113" i="36"/>
  <c r="D113" i="50" s="1"/>
  <c r="X114" i="36"/>
  <c r="D114" i="52" s="1"/>
  <c r="D114" i="39"/>
  <c r="D112" i="39"/>
  <c r="L112" i="36"/>
  <c r="D112" i="50" s="1"/>
  <c r="F114" i="36"/>
  <c r="D114" i="49" s="1"/>
  <c r="D118" i="39"/>
  <c r="AO128" i="36"/>
  <c r="AO129" i="36" s="1"/>
  <c r="AM151" i="36"/>
  <c r="R113" i="36"/>
  <c r="D113" i="53" s="1"/>
  <c r="AP145" i="36"/>
  <c r="D110" i="39"/>
  <c r="Q128" i="36"/>
  <c r="D142" i="39"/>
  <c r="I151" i="36"/>
  <c r="D143" i="39"/>
  <c r="O151" i="36"/>
  <c r="D159" i="39"/>
  <c r="D160" i="39"/>
  <c r="D210" i="39"/>
  <c r="D231" i="39" s="1"/>
  <c r="X210" i="36"/>
  <c r="D210" i="52" s="1"/>
  <c r="D231" i="52" s="1"/>
  <c r="D235" i="52" s="1"/>
  <c r="D212" i="39"/>
  <c r="D216" i="39"/>
  <c r="D233" i="39" s="1"/>
  <c r="T192" i="36"/>
  <c r="F159" i="36"/>
  <c r="D159" i="49" s="1"/>
  <c r="D172" i="39"/>
  <c r="D186" i="39"/>
  <c r="D190" i="39"/>
  <c r="D185" i="39"/>
  <c r="D188" i="39"/>
  <c r="D211" i="39"/>
  <c r="D215" i="39"/>
  <c r="N192" i="36"/>
  <c r="D184" i="39"/>
  <c r="D187" i="39"/>
  <c r="D191" i="39"/>
  <c r="D214" i="39"/>
  <c r="D218" i="39"/>
  <c r="F25" i="43" l="1"/>
  <c r="F69" i="43"/>
  <c r="AY108" i="36"/>
  <c r="L133" i="37"/>
  <c r="E133" i="50" s="1"/>
  <c r="L137" i="38"/>
  <c r="F137" i="50" s="1"/>
  <c r="AV132" i="36"/>
  <c r="X133" i="38"/>
  <c r="F133" i="52" s="1"/>
  <c r="AV155" i="38"/>
  <c r="H82" i="38" s="1"/>
  <c r="AX82" i="38" s="1"/>
  <c r="BB82" i="38" s="1"/>
  <c r="AZ135" i="38"/>
  <c r="AD132" i="37"/>
  <c r="E132" i="51" s="1"/>
  <c r="R132" i="37"/>
  <c r="E132" i="53" s="1"/>
  <c r="BA108" i="37"/>
  <c r="BA116" i="37" s="1"/>
  <c r="BA128" i="37"/>
  <c r="AY132" i="36"/>
  <c r="AD137" i="36"/>
  <c r="D137" i="51" s="1"/>
  <c r="R137" i="36"/>
  <c r="D137" i="53" s="1"/>
  <c r="AD108" i="38"/>
  <c r="F66" i="38"/>
  <c r="R133" i="37"/>
  <c r="E133" i="53" s="1"/>
  <c r="AX94" i="38"/>
  <c r="BB96" i="37"/>
  <c r="E96" i="39" s="1"/>
  <c r="AY135" i="38"/>
  <c r="L132" i="37"/>
  <c r="E132" i="50" s="1"/>
  <c r="G83" i="45"/>
  <c r="G125" i="45"/>
  <c r="G104" i="45"/>
  <c r="F230" i="39"/>
  <c r="E230" i="39"/>
  <c r="D230" i="39"/>
  <c r="F20" i="43"/>
  <c r="F64" i="43"/>
  <c r="AE108" i="38"/>
  <c r="F108" i="51"/>
  <c r="G70" i="43"/>
  <c r="G26" i="43"/>
  <c r="L89" i="36"/>
  <c r="D89" i="50" s="1"/>
  <c r="D76" i="50"/>
  <c r="X89" i="37"/>
  <c r="E89" i="52" s="1"/>
  <c r="E76" i="52"/>
  <c r="G67" i="43"/>
  <c r="G23" i="43"/>
  <c r="F67" i="43"/>
  <c r="F23" i="43"/>
  <c r="E69" i="43"/>
  <c r="E25" i="43"/>
  <c r="L89" i="37"/>
  <c r="E89" i="50" s="1"/>
  <c r="E76" i="50"/>
  <c r="W20" i="48"/>
  <c r="X20" i="48"/>
  <c r="I133" i="36"/>
  <c r="I158" i="36"/>
  <c r="I167" i="36" s="1"/>
  <c r="AC133" i="36"/>
  <c r="AD133" i="36" s="1"/>
  <c r="D133" i="51" s="1"/>
  <c r="AC158" i="36"/>
  <c r="AC167" i="36" s="1"/>
  <c r="G20" i="43"/>
  <c r="G64" i="43"/>
  <c r="BA133" i="36"/>
  <c r="E67" i="43"/>
  <c r="E23" i="43"/>
  <c r="T200" i="36"/>
  <c r="X200" i="36" s="1"/>
  <c r="D200" i="52" s="1"/>
  <c r="T175" i="36"/>
  <c r="X175" i="36" s="1"/>
  <c r="D175" i="52" s="1"/>
  <c r="T161" i="36"/>
  <c r="X161" i="36" s="1"/>
  <c r="D161" i="52" s="1"/>
  <c r="T147" i="36"/>
  <c r="T146" i="36"/>
  <c r="T148" i="36"/>
  <c r="X148" i="36" s="1"/>
  <c r="D148" i="52" s="1"/>
  <c r="T145" i="36"/>
  <c r="AD95" i="38"/>
  <c r="F95" i="51" s="1"/>
  <c r="F82" i="51"/>
  <c r="BA133" i="38"/>
  <c r="G9" i="38"/>
  <c r="F9" i="49"/>
  <c r="S12" i="36"/>
  <c r="K12" i="53" s="1"/>
  <c r="D12" i="53"/>
  <c r="D19" i="53" s="1"/>
  <c r="AD183" i="37"/>
  <c r="M7" i="37"/>
  <c r="L7" i="50" s="1"/>
  <c r="E7" i="50"/>
  <c r="AZ133" i="38"/>
  <c r="B200" i="38"/>
  <c r="B175" i="38"/>
  <c r="B148" i="38"/>
  <c r="B161" i="38"/>
  <c r="B145" i="38"/>
  <c r="B147" i="38"/>
  <c r="B146" i="38"/>
  <c r="AX19" i="38"/>
  <c r="M6" i="38"/>
  <c r="F6" i="50"/>
  <c r="N175" i="38"/>
  <c r="R175" i="38" s="1"/>
  <c r="F175" i="53" s="1"/>
  <c r="N200" i="38"/>
  <c r="R200" i="38" s="1"/>
  <c r="F200" i="53" s="1"/>
  <c r="N148" i="38"/>
  <c r="R148" i="38" s="1"/>
  <c r="F148" i="53" s="1"/>
  <c r="N145" i="38"/>
  <c r="R145" i="38" s="1"/>
  <c r="F145" i="53" s="1"/>
  <c r="N161" i="38"/>
  <c r="R161" i="38" s="1"/>
  <c r="F161" i="53" s="1"/>
  <c r="N147" i="38"/>
  <c r="N146" i="38"/>
  <c r="AE6" i="37"/>
  <c r="E6" i="51"/>
  <c r="AZ137" i="37"/>
  <c r="M8" i="37"/>
  <c r="L8" i="50" s="1"/>
  <c r="E8" i="50"/>
  <c r="L6" i="49"/>
  <c r="X132" i="37"/>
  <c r="E132" i="52" s="1"/>
  <c r="BB113" i="36"/>
  <c r="D113" i="39" s="1"/>
  <c r="AX132" i="36"/>
  <c r="F132" i="36"/>
  <c r="D132" i="49" s="1"/>
  <c r="E123" i="42"/>
  <c r="BA123" i="42" s="1"/>
  <c r="BA123" i="38"/>
  <c r="D124" i="42"/>
  <c r="AZ124" i="42" s="1"/>
  <c r="AZ124" i="38"/>
  <c r="E124" i="42"/>
  <c r="BA124" i="42" s="1"/>
  <c r="BA124" i="38"/>
  <c r="BA108" i="36"/>
  <c r="BA116" i="36" s="1"/>
  <c r="BA129" i="36" s="1"/>
  <c r="AX92" i="36"/>
  <c r="E15" i="44"/>
  <c r="M6" i="36"/>
  <c r="D6" i="50"/>
  <c r="AZ133" i="37"/>
  <c r="AX92" i="37"/>
  <c r="X133" i="37"/>
  <c r="E133" i="52" s="1"/>
  <c r="G7" i="37"/>
  <c r="G29" i="37" s="1"/>
  <c r="E7" i="49"/>
  <c r="E5" i="49" s="1"/>
  <c r="E5" i="52"/>
  <c r="Z87" i="37"/>
  <c r="AD89" i="37"/>
  <c r="E89" i="51" s="1"/>
  <c r="E76" i="51"/>
  <c r="AV156" i="37"/>
  <c r="AX156" i="37"/>
  <c r="BB156" i="37" s="1"/>
  <c r="AD133" i="38"/>
  <c r="F133" i="51" s="1"/>
  <c r="B74" i="38"/>
  <c r="AX74" i="38" s="1"/>
  <c r="BB74" i="38" s="1"/>
  <c r="AX5" i="38"/>
  <c r="BB5" i="38" s="1"/>
  <c r="G65" i="43"/>
  <c r="G21" i="43"/>
  <c r="B158" i="38"/>
  <c r="B133" i="38"/>
  <c r="AT86" i="38"/>
  <c r="F133" i="36"/>
  <c r="AX133" i="36"/>
  <c r="M15" i="37"/>
  <c r="E15" i="50"/>
  <c r="B157" i="37"/>
  <c r="B200" i="37"/>
  <c r="B175" i="37"/>
  <c r="B161" i="37"/>
  <c r="B148" i="37"/>
  <c r="F148" i="37" s="1"/>
  <c r="E148" i="49" s="1"/>
  <c r="B145" i="37"/>
  <c r="B147" i="37"/>
  <c r="B146" i="37"/>
  <c r="F146" i="37" s="1"/>
  <c r="E146" i="49" s="1"/>
  <c r="AX19" i="37"/>
  <c r="BB155" i="37"/>
  <c r="M13" i="37"/>
  <c r="E13" i="50"/>
  <c r="X146" i="38"/>
  <c r="F146" i="52" s="1"/>
  <c r="T200" i="38"/>
  <c r="X200" i="38" s="1"/>
  <c r="F200" i="52" s="1"/>
  <c r="T175" i="38"/>
  <c r="X175" i="38" s="1"/>
  <c r="F175" i="52" s="1"/>
  <c r="T161" i="38"/>
  <c r="X161" i="38" s="1"/>
  <c r="F161" i="52" s="1"/>
  <c r="T147" i="38"/>
  <c r="X147" i="38" s="1"/>
  <c r="F147" i="52" s="1"/>
  <c r="T146" i="38"/>
  <c r="T148" i="38"/>
  <c r="T145" i="38"/>
  <c r="X145" i="38" s="1"/>
  <c r="F145" i="52" s="1"/>
  <c r="G62" i="43"/>
  <c r="G18" i="43"/>
  <c r="BB155" i="38"/>
  <c r="AD95" i="37"/>
  <c r="E95" i="51" s="1"/>
  <c r="E82" i="51"/>
  <c r="BA137" i="38"/>
  <c r="AZ132" i="37"/>
  <c r="M9" i="37"/>
  <c r="L9" i="50" s="1"/>
  <c r="E9" i="50"/>
  <c r="AZ137" i="36"/>
  <c r="E119" i="42"/>
  <c r="BA119" i="38"/>
  <c r="E128" i="38"/>
  <c r="E129" i="38" s="1"/>
  <c r="C123" i="42"/>
  <c r="AY123" i="38"/>
  <c r="F123" i="38"/>
  <c r="F123" i="49" s="1"/>
  <c r="AY89" i="38"/>
  <c r="K15" i="50"/>
  <c r="K15" i="39"/>
  <c r="BA135" i="36"/>
  <c r="C120" i="42"/>
  <c r="AY120" i="38"/>
  <c r="F120" i="38"/>
  <c r="F120" i="49" s="1"/>
  <c r="B173" i="42"/>
  <c r="AX173" i="38"/>
  <c r="BB173" i="38" s="1"/>
  <c r="F173" i="39" s="1"/>
  <c r="F173" i="38"/>
  <c r="F173" i="49" s="1"/>
  <c r="AX190" i="38"/>
  <c r="BB190" i="38" s="1"/>
  <c r="F190" i="39" s="1"/>
  <c r="L190" i="38"/>
  <c r="F190" i="50" s="1"/>
  <c r="M11" i="38"/>
  <c r="M11" i="50" s="1"/>
  <c r="F11" i="50"/>
  <c r="M9" i="38"/>
  <c r="M9" i="50" s="1"/>
  <c r="F9" i="50"/>
  <c r="E19" i="52"/>
  <c r="AE16" i="36"/>
  <c r="D16" i="51"/>
  <c r="D19" i="51" s="1"/>
  <c r="K19" i="53"/>
  <c r="K29" i="53" s="1"/>
  <c r="AY135" i="36"/>
  <c r="X135" i="38"/>
  <c r="F135" i="52" s="1"/>
  <c r="L135" i="38"/>
  <c r="F135" i="50" s="1"/>
  <c r="M12" i="38"/>
  <c r="F12" i="50"/>
  <c r="AX192" i="37"/>
  <c r="AY89" i="37"/>
  <c r="M11" i="49"/>
  <c r="M11" i="39"/>
  <c r="AD135" i="37"/>
  <c r="E135" i="51" s="1"/>
  <c r="X135" i="37"/>
  <c r="E135" i="52" s="1"/>
  <c r="R135" i="37"/>
  <c r="E135" i="53" s="1"/>
  <c r="L135" i="37"/>
  <c r="E135" i="50" s="1"/>
  <c r="F135" i="37"/>
  <c r="E135" i="49" s="1"/>
  <c r="AX135" i="37"/>
  <c r="M14" i="36"/>
  <c r="D14" i="50"/>
  <c r="M11" i="36"/>
  <c r="K11" i="50" s="1"/>
  <c r="D11" i="50"/>
  <c r="K8" i="49"/>
  <c r="AD132" i="36"/>
  <c r="D132" i="51" s="1"/>
  <c r="X137" i="36"/>
  <c r="D137" i="52" s="1"/>
  <c r="R132" i="36"/>
  <c r="D132" i="53" s="1"/>
  <c r="L135" i="36"/>
  <c r="D135" i="50" s="1"/>
  <c r="F135" i="36"/>
  <c r="D135" i="49" s="1"/>
  <c r="AX135" i="36"/>
  <c r="AD137" i="38"/>
  <c r="F137" i="51" s="1"/>
  <c r="R137" i="38"/>
  <c r="F137" i="53" s="1"/>
  <c r="F137" i="38"/>
  <c r="F137" i="49" s="1"/>
  <c r="AX137" i="38"/>
  <c r="M15" i="38"/>
  <c r="F15" i="50"/>
  <c r="BA132" i="37"/>
  <c r="M10" i="36"/>
  <c r="K10" i="50" s="1"/>
  <c r="D10" i="50"/>
  <c r="X133" i="36"/>
  <c r="D133" i="52" s="1"/>
  <c r="E68" i="43"/>
  <c r="E24" i="43"/>
  <c r="Z200" i="36"/>
  <c r="AD200" i="36" s="1"/>
  <c r="D200" i="51" s="1"/>
  <c r="Z175" i="36"/>
  <c r="AD175" i="36" s="1"/>
  <c r="D175" i="51" s="1"/>
  <c r="Z148" i="36"/>
  <c r="Z145" i="36"/>
  <c r="Z161" i="36"/>
  <c r="AD161" i="36" s="1"/>
  <c r="D161" i="51" s="1"/>
  <c r="Z147" i="36"/>
  <c r="AD147" i="36" s="1"/>
  <c r="D147" i="51" s="1"/>
  <c r="Z146" i="36"/>
  <c r="F63" i="43"/>
  <c r="F19" i="43"/>
  <c r="AE16" i="38"/>
  <c r="F16" i="51"/>
  <c r="AX90" i="36"/>
  <c r="E65" i="43"/>
  <c r="E21" i="43"/>
  <c r="R133" i="36"/>
  <c r="D133" i="53" s="1"/>
  <c r="F133" i="37"/>
  <c r="E133" i="49" s="1"/>
  <c r="AX133" i="37"/>
  <c r="BA133" i="37"/>
  <c r="F73" i="43"/>
  <c r="F29" i="43"/>
  <c r="Y6" i="38"/>
  <c r="M6" i="52" s="1"/>
  <c r="M19" i="52" s="1"/>
  <c r="M29" i="52" s="1"/>
  <c r="F6" i="52"/>
  <c r="F5" i="52" s="1"/>
  <c r="G68" i="43"/>
  <c r="G24" i="43"/>
  <c r="AV156" i="38"/>
  <c r="AX156" i="38"/>
  <c r="BB156" i="38" s="1"/>
  <c r="H200" i="36"/>
  <c r="L200" i="36" s="1"/>
  <c r="D200" i="50" s="1"/>
  <c r="H175" i="36"/>
  <c r="L175" i="36" s="1"/>
  <c r="D175" i="50" s="1"/>
  <c r="H161" i="36"/>
  <c r="L161" i="36" s="1"/>
  <c r="D161" i="50" s="1"/>
  <c r="H147" i="36"/>
  <c r="H146" i="36"/>
  <c r="L146" i="36" s="1"/>
  <c r="D146" i="50" s="1"/>
  <c r="H148" i="36"/>
  <c r="L148" i="36" s="1"/>
  <c r="D148" i="50" s="1"/>
  <c r="H145" i="36"/>
  <c r="G6" i="36"/>
  <c r="D6" i="49"/>
  <c r="H175" i="37"/>
  <c r="L175" i="37" s="1"/>
  <c r="E175" i="50" s="1"/>
  <c r="H200" i="37"/>
  <c r="L200" i="37" s="1"/>
  <c r="E200" i="50" s="1"/>
  <c r="H147" i="37"/>
  <c r="L147" i="37" s="1"/>
  <c r="E147" i="50" s="1"/>
  <c r="H146" i="37"/>
  <c r="L146" i="37" s="1"/>
  <c r="E146" i="50" s="1"/>
  <c r="H161" i="37"/>
  <c r="L161" i="37" s="1"/>
  <c r="E161" i="50" s="1"/>
  <c r="H148" i="37"/>
  <c r="L148" i="37" s="1"/>
  <c r="E148" i="50" s="1"/>
  <c r="H145" i="37"/>
  <c r="L145" i="37" s="1"/>
  <c r="E145" i="50" s="1"/>
  <c r="Z200" i="38"/>
  <c r="AD200" i="38" s="1"/>
  <c r="F200" i="51" s="1"/>
  <c r="Z175" i="38"/>
  <c r="AD175" i="38" s="1"/>
  <c r="F175" i="51" s="1"/>
  <c r="Z148" i="38"/>
  <c r="AD148" i="38" s="1"/>
  <c r="F148" i="51" s="1"/>
  <c r="Z145" i="38"/>
  <c r="AD145" i="38" s="1"/>
  <c r="F145" i="51" s="1"/>
  <c r="Z147" i="38"/>
  <c r="AD147" i="38" s="1"/>
  <c r="F147" i="51" s="1"/>
  <c r="Z161" i="38"/>
  <c r="AD161" i="38" s="1"/>
  <c r="F161" i="51" s="1"/>
  <c r="Z146" i="38"/>
  <c r="AD146" i="38" s="1"/>
  <c r="F146" i="51" s="1"/>
  <c r="BA132" i="38"/>
  <c r="M8" i="49"/>
  <c r="AX90" i="37"/>
  <c r="K9" i="49"/>
  <c r="B159" i="42"/>
  <c r="AX159" i="38"/>
  <c r="BB159" i="38" s="1"/>
  <c r="F159" i="39" s="1"/>
  <c r="F159" i="38"/>
  <c r="F159" i="49" s="1"/>
  <c r="C121" i="42"/>
  <c r="AY121" i="38"/>
  <c r="F121" i="38"/>
  <c r="F121" i="49" s="1"/>
  <c r="AY137" i="37"/>
  <c r="X132" i="38"/>
  <c r="F132" i="52" s="1"/>
  <c r="F132" i="37"/>
  <c r="E132" i="49" s="1"/>
  <c r="AX132" i="37"/>
  <c r="M10" i="37"/>
  <c r="L10" i="50" s="1"/>
  <c r="E10" i="50"/>
  <c r="L132" i="36"/>
  <c r="D132" i="50" s="1"/>
  <c r="AX108" i="38"/>
  <c r="B74" i="36"/>
  <c r="AX74" i="36" s="1"/>
  <c r="BB74" i="36" s="1"/>
  <c r="AX5" i="36"/>
  <c r="BB5" i="36" s="1"/>
  <c r="AY89" i="36"/>
  <c r="AZ133" i="36"/>
  <c r="E63" i="43"/>
  <c r="E19" i="43"/>
  <c r="AV156" i="36"/>
  <c r="AX156" i="36"/>
  <c r="BB156" i="36" s="1"/>
  <c r="AM158" i="37"/>
  <c r="AM167" i="37" s="1"/>
  <c r="S6" i="37"/>
  <c r="E6" i="53"/>
  <c r="E5" i="53" s="1"/>
  <c r="AD5" i="37"/>
  <c r="AD87" i="37" s="1"/>
  <c r="E87" i="51" s="1"/>
  <c r="F65" i="43"/>
  <c r="F21" i="43"/>
  <c r="H157" i="37"/>
  <c r="AU158" i="37"/>
  <c r="AU167" i="37" s="1"/>
  <c r="R133" i="38"/>
  <c r="F133" i="53" s="1"/>
  <c r="AP66" i="38"/>
  <c r="AC183" i="38"/>
  <c r="AE29" i="36"/>
  <c r="AV155" i="36"/>
  <c r="H82" i="36" s="1"/>
  <c r="AX82" i="36" s="1"/>
  <c r="BB82" i="36" s="1"/>
  <c r="D86" i="47" s="1"/>
  <c r="D220" i="47" s="1"/>
  <c r="D225" i="47" s="1"/>
  <c r="AX155" i="36"/>
  <c r="BB155" i="36" s="1"/>
  <c r="M14" i="37"/>
  <c r="E14" i="50"/>
  <c r="Z200" i="37"/>
  <c r="AD200" i="37" s="1"/>
  <c r="E200" i="51" s="1"/>
  <c r="Z175" i="37"/>
  <c r="AD175" i="37" s="1"/>
  <c r="E175" i="51" s="1"/>
  <c r="Z148" i="37"/>
  <c r="AD148" i="37" s="1"/>
  <c r="E148" i="51" s="1"/>
  <c r="Z145" i="37"/>
  <c r="AD145" i="37" s="1"/>
  <c r="E145" i="51" s="1"/>
  <c r="Z161" i="37"/>
  <c r="AD161" i="37" s="1"/>
  <c r="E161" i="51" s="1"/>
  <c r="Z147" i="37"/>
  <c r="AD147" i="37" s="1"/>
  <c r="E147" i="51" s="1"/>
  <c r="Z146" i="37"/>
  <c r="AD146" i="37" s="1"/>
  <c r="E146" i="51" s="1"/>
  <c r="B74" i="37"/>
  <c r="AX74" i="37" s="1"/>
  <c r="BB74" i="37" s="1"/>
  <c r="AX5" i="37"/>
  <c r="BB5" i="37" s="1"/>
  <c r="F66" i="43"/>
  <c r="F22" i="43"/>
  <c r="F71" i="43"/>
  <c r="F27" i="43"/>
  <c r="S29" i="38"/>
  <c r="G101" i="45"/>
  <c r="AD95" i="36"/>
  <c r="D95" i="51" s="1"/>
  <c r="D82" i="51"/>
  <c r="AE6" i="38"/>
  <c r="M6" i="51" s="1"/>
  <c r="F6" i="51"/>
  <c r="N200" i="37"/>
  <c r="R200" i="37" s="1"/>
  <c r="E200" i="53" s="1"/>
  <c r="N175" i="37"/>
  <c r="R175" i="37" s="1"/>
  <c r="E175" i="53" s="1"/>
  <c r="N148" i="37"/>
  <c r="R148" i="37" s="1"/>
  <c r="E148" i="53" s="1"/>
  <c r="N161" i="37"/>
  <c r="R161" i="37" s="1"/>
  <c r="E161" i="53" s="1"/>
  <c r="N145" i="37"/>
  <c r="N151" i="37" s="1"/>
  <c r="N147" i="37"/>
  <c r="N146" i="37"/>
  <c r="R146" i="37" s="1"/>
  <c r="E146" i="53" s="1"/>
  <c r="AX108" i="36"/>
  <c r="BA135" i="38"/>
  <c r="M14" i="38"/>
  <c r="F14" i="50"/>
  <c r="M10" i="49"/>
  <c r="M7" i="36"/>
  <c r="K7" i="50" s="1"/>
  <c r="D7" i="50"/>
  <c r="AX91" i="36"/>
  <c r="AZ135" i="36"/>
  <c r="F19" i="49"/>
  <c r="F5" i="49"/>
  <c r="BA137" i="36"/>
  <c r="AY153" i="38"/>
  <c r="BB153" i="38" s="1"/>
  <c r="F153" i="39" s="1"/>
  <c r="F153" i="38"/>
  <c r="F153" i="49" s="1"/>
  <c r="D120" i="42"/>
  <c r="AZ137" i="38"/>
  <c r="F5" i="53"/>
  <c r="F19" i="53"/>
  <c r="AY132" i="37"/>
  <c r="L11" i="49"/>
  <c r="AY137" i="36"/>
  <c r="AY91" i="38"/>
  <c r="AY137" i="38"/>
  <c r="AD137" i="37"/>
  <c r="E137" i="51" s="1"/>
  <c r="X137" i="37"/>
  <c r="E137" i="52" s="1"/>
  <c r="R137" i="37"/>
  <c r="E137" i="53" s="1"/>
  <c r="L137" i="37"/>
  <c r="E137" i="50" s="1"/>
  <c r="F137" i="37"/>
  <c r="E137" i="49" s="1"/>
  <c r="AX137" i="37"/>
  <c r="L8" i="49"/>
  <c r="L8" i="39"/>
  <c r="AD135" i="36"/>
  <c r="D135" i="51" s="1"/>
  <c r="X135" i="36"/>
  <c r="D135" i="52" s="1"/>
  <c r="R135" i="36"/>
  <c r="D135" i="53" s="1"/>
  <c r="L137" i="36"/>
  <c r="D137" i="50" s="1"/>
  <c r="C122" i="42"/>
  <c r="AY122" i="38"/>
  <c r="F122" i="38"/>
  <c r="F122" i="49" s="1"/>
  <c r="D121" i="42"/>
  <c r="B203" i="42"/>
  <c r="AX203" i="38"/>
  <c r="BB203" i="38" s="1"/>
  <c r="F203" i="39" s="1"/>
  <c r="F203" i="38"/>
  <c r="F203" i="49" s="1"/>
  <c r="AY151" i="38"/>
  <c r="AD132" i="38"/>
  <c r="F132" i="51" s="1"/>
  <c r="R132" i="38"/>
  <c r="F132" i="53" s="1"/>
  <c r="F132" i="38"/>
  <c r="F132" i="49" s="1"/>
  <c r="AX132" i="38"/>
  <c r="BA135" i="37"/>
  <c r="Z157" i="38"/>
  <c r="AD157" i="38" s="1"/>
  <c r="F157" i="51" s="1"/>
  <c r="AY90" i="38"/>
  <c r="AX91" i="38"/>
  <c r="G69" i="43"/>
  <c r="G25" i="43"/>
  <c r="H200" i="38"/>
  <c r="L200" i="38" s="1"/>
  <c r="F200" i="50" s="1"/>
  <c r="H175" i="38"/>
  <c r="L175" i="38" s="1"/>
  <c r="F175" i="50" s="1"/>
  <c r="H147" i="38"/>
  <c r="H146" i="38"/>
  <c r="L146" i="38" s="1"/>
  <c r="F146" i="50" s="1"/>
  <c r="H148" i="38"/>
  <c r="L148" i="38" s="1"/>
  <c r="F148" i="50" s="1"/>
  <c r="H161" i="38"/>
  <c r="L161" i="38" s="1"/>
  <c r="F161" i="50" s="1"/>
  <c r="H145" i="38"/>
  <c r="R147" i="36"/>
  <c r="D147" i="53" s="1"/>
  <c r="N200" i="36"/>
  <c r="R200" i="36" s="1"/>
  <c r="D200" i="53" s="1"/>
  <c r="N175" i="36"/>
  <c r="R175" i="36" s="1"/>
  <c r="D175" i="53" s="1"/>
  <c r="N148" i="36"/>
  <c r="N145" i="36"/>
  <c r="N161" i="36"/>
  <c r="R161" i="36" s="1"/>
  <c r="D161" i="53" s="1"/>
  <c r="N147" i="36"/>
  <c r="N146" i="36"/>
  <c r="B141" i="36"/>
  <c r="F141" i="36" s="1"/>
  <c r="D141" i="49" s="1"/>
  <c r="B200" i="36"/>
  <c r="B175" i="36"/>
  <c r="B148" i="36"/>
  <c r="B145" i="36"/>
  <c r="AX145" i="36" s="1"/>
  <c r="BB145" i="36" s="1"/>
  <c r="B161" i="36"/>
  <c r="B147" i="36"/>
  <c r="B146" i="36"/>
  <c r="AX19" i="36"/>
  <c r="M12" i="37"/>
  <c r="E12" i="50"/>
  <c r="T200" i="37"/>
  <c r="X200" i="37" s="1"/>
  <c r="E200" i="52" s="1"/>
  <c r="T175" i="37"/>
  <c r="X175" i="37" s="1"/>
  <c r="E175" i="52" s="1"/>
  <c r="T147" i="37"/>
  <c r="X147" i="37" s="1"/>
  <c r="E147" i="52" s="1"/>
  <c r="T146" i="37"/>
  <c r="T148" i="37"/>
  <c r="X148" i="37" s="1"/>
  <c r="E148" i="52" s="1"/>
  <c r="T161" i="37"/>
  <c r="X161" i="37" s="1"/>
  <c r="E161" i="52" s="1"/>
  <c r="T145" i="37"/>
  <c r="X145" i="37" s="1"/>
  <c r="E145" i="52" s="1"/>
  <c r="F62" i="43"/>
  <c r="F18" i="43"/>
  <c r="M11" i="37"/>
  <c r="L11" i="50" s="1"/>
  <c r="E11" i="50"/>
  <c r="E19" i="50" s="1"/>
  <c r="AE16" i="37"/>
  <c r="E16" i="51"/>
  <c r="E5" i="51" s="1"/>
  <c r="AS158" i="38"/>
  <c r="AS85" i="38" s="1"/>
  <c r="AS98" i="38" s="1"/>
  <c r="AS99" i="38" s="1"/>
  <c r="AS132" i="38"/>
  <c r="AY132" i="38" s="1"/>
  <c r="Z141" i="38"/>
  <c r="AD141" i="38" s="1"/>
  <c r="F141" i="51" s="1"/>
  <c r="AO158" i="36"/>
  <c r="AO167" i="36" s="1"/>
  <c r="AO132" i="36"/>
  <c r="BA132" i="36" s="1"/>
  <c r="G167" i="53"/>
  <c r="BA108" i="38"/>
  <c r="BA116" i="38" s="1"/>
  <c r="AZ135" i="37"/>
  <c r="E39" i="53"/>
  <c r="E64" i="53" s="1"/>
  <c r="E66" i="53" s="1"/>
  <c r="K10" i="49"/>
  <c r="K10" i="39"/>
  <c r="D5" i="51"/>
  <c r="D5" i="52"/>
  <c r="D19" i="52"/>
  <c r="AX192" i="36"/>
  <c r="AZ132" i="36"/>
  <c r="D123" i="42"/>
  <c r="C119" i="42"/>
  <c r="AY119" i="42" s="1"/>
  <c r="AY119" i="38"/>
  <c r="M10" i="38"/>
  <c r="M10" i="50" s="1"/>
  <c r="F10" i="50"/>
  <c r="M6" i="49"/>
  <c r="M6" i="39"/>
  <c r="L10" i="49"/>
  <c r="L10" i="39"/>
  <c r="K13" i="50"/>
  <c r="K13" i="39"/>
  <c r="M9" i="36"/>
  <c r="K9" i="50" s="1"/>
  <c r="D9" i="50"/>
  <c r="E120" i="42"/>
  <c r="BA120" i="42" s="1"/>
  <c r="BA120" i="38"/>
  <c r="D122" i="42"/>
  <c r="E121" i="42"/>
  <c r="BA121" i="42" s="1"/>
  <c r="BA121" i="38"/>
  <c r="AY153" i="42"/>
  <c r="C167" i="42"/>
  <c r="F153" i="42"/>
  <c r="AZ132" i="38"/>
  <c r="M19" i="53"/>
  <c r="M29" i="53" s="1"/>
  <c r="AY135" i="37"/>
  <c r="E19" i="49"/>
  <c r="M12" i="36"/>
  <c r="D12" i="50"/>
  <c r="M8" i="36"/>
  <c r="K8" i="50" s="1"/>
  <c r="D8" i="50"/>
  <c r="K7" i="49"/>
  <c r="E122" i="42"/>
  <c r="BA122" i="42" s="1"/>
  <c r="BA122" i="38"/>
  <c r="X137" i="38"/>
  <c r="F137" i="52" s="1"/>
  <c r="L132" i="38"/>
  <c r="F132" i="50" s="1"/>
  <c r="K11" i="49"/>
  <c r="AY108" i="38"/>
  <c r="M13" i="38"/>
  <c r="F13" i="50"/>
  <c r="AX108" i="37"/>
  <c r="BB108" i="37" s="1"/>
  <c r="AX137" i="36"/>
  <c r="F137" i="36"/>
  <c r="D137" i="49" s="1"/>
  <c r="AD135" i="38"/>
  <c r="F135" i="51" s="1"/>
  <c r="R135" i="38"/>
  <c r="F135" i="53" s="1"/>
  <c r="F135" i="38"/>
  <c r="F135" i="49" s="1"/>
  <c r="AX135" i="38"/>
  <c r="BB135" i="38" s="1"/>
  <c r="F135" i="39" s="1"/>
  <c r="F8" i="50"/>
  <c r="M8" i="38"/>
  <c r="M8" i="50" s="1"/>
  <c r="BA137" i="37"/>
  <c r="W131" i="38"/>
  <c r="W130" i="38"/>
  <c r="AS130" i="38"/>
  <c r="AS131" i="38"/>
  <c r="K131" i="38"/>
  <c r="K130" i="38"/>
  <c r="AO131" i="38"/>
  <c r="AO130" i="38"/>
  <c r="AU130" i="38"/>
  <c r="AU131" i="38"/>
  <c r="Q130" i="38"/>
  <c r="Q131" i="38"/>
  <c r="AN131" i="38"/>
  <c r="AN130" i="38"/>
  <c r="AN138" i="38" s="1"/>
  <c r="AN139" i="38" s="1"/>
  <c r="AT130" i="38"/>
  <c r="AT131" i="38"/>
  <c r="K131" i="37"/>
  <c r="K130" i="37"/>
  <c r="AO131" i="37"/>
  <c r="AO130" i="37"/>
  <c r="W131" i="37"/>
  <c r="W130" i="37"/>
  <c r="AN131" i="37"/>
  <c r="AN130" i="37"/>
  <c r="AU131" i="37"/>
  <c r="AU130" i="37"/>
  <c r="AU138" i="37" s="1"/>
  <c r="AU139" i="37" s="1"/>
  <c r="AT131" i="37"/>
  <c r="AT130" i="37"/>
  <c r="AS131" i="37"/>
  <c r="AS130" i="37"/>
  <c r="AN131" i="36"/>
  <c r="AN130" i="36"/>
  <c r="AS130" i="36"/>
  <c r="AS131" i="36"/>
  <c r="AS138" i="36" s="1"/>
  <c r="AS139" i="36" s="1"/>
  <c r="AO131" i="36"/>
  <c r="AO130" i="36"/>
  <c r="K131" i="36"/>
  <c r="K130" i="36"/>
  <c r="W131" i="36"/>
  <c r="W130" i="36"/>
  <c r="AY133" i="37"/>
  <c r="L133" i="38"/>
  <c r="F133" i="50" s="1"/>
  <c r="AY133" i="38"/>
  <c r="L133" i="36"/>
  <c r="D133" i="50" s="1"/>
  <c r="AY133" i="36"/>
  <c r="X106" i="42"/>
  <c r="G106" i="52" s="1"/>
  <c r="AX106" i="42"/>
  <c r="AD106" i="42"/>
  <c r="G106" i="51" s="1"/>
  <c r="AC130" i="36"/>
  <c r="AC131" i="36"/>
  <c r="AC130" i="38"/>
  <c r="AC131" i="38"/>
  <c r="AU86" i="38"/>
  <c r="AU192" i="38"/>
  <c r="AX94" i="37"/>
  <c r="B158" i="36"/>
  <c r="B85" i="36" s="1"/>
  <c r="F115" i="39"/>
  <c r="AV183" i="38"/>
  <c r="AV192" i="38" s="1"/>
  <c r="G115" i="45"/>
  <c r="AU89" i="38"/>
  <c r="AV89" i="38" s="1"/>
  <c r="G7" i="38"/>
  <c r="Z88" i="37"/>
  <c r="Z165" i="37" s="1"/>
  <c r="AD165" i="37" s="1"/>
  <c r="E165" i="51" s="1"/>
  <c r="R19" i="37"/>
  <c r="V4" i="48" s="1"/>
  <c r="N157" i="37"/>
  <c r="Q183" i="37"/>
  <c r="R183" i="37" s="1"/>
  <c r="L108" i="37"/>
  <c r="G9" i="37"/>
  <c r="B75" i="37"/>
  <c r="Q76" i="37"/>
  <c r="R76" i="37" s="1"/>
  <c r="H88" i="37"/>
  <c r="H164" i="37" s="1"/>
  <c r="L164" i="37" s="1"/>
  <c r="E164" i="50" s="1"/>
  <c r="X146" i="37"/>
  <c r="E146" i="52" s="1"/>
  <c r="W183" i="37"/>
  <c r="W192" i="37" s="1"/>
  <c r="N141" i="37"/>
  <c r="R141" i="37" s="1"/>
  <c r="E141" i="53" s="1"/>
  <c r="AP66" i="37"/>
  <c r="Y6" i="37"/>
  <c r="L6" i="52" s="1"/>
  <c r="L19" i="52" s="1"/>
  <c r="L29" i="52" s="1"/>
  <c r="Z75" i="37"/>
  <c r="AD75" i="37" s="1"/>
  <c r="E75" i="51" s="1"/>
  <c r="B87" i="37"/>
  <c r="R145" i="37"/>
  <c r="E145" i="53" s="1"/>
  <c r="R147" i="37"/>
  <c r="E147" i="53" s="1"/>
  <c r="Y11" i="36"/>
  <c r="G6" i="44"/>
  <c r="G122" i="45"/>
  <c r="G13" i="44"/>
  <c r="F15" i="44"/>
  <c r="L66" i="37"/>
  <c r="AN158" i="36"/>
  <c r="AN85" i="36" s="1"/>
  <c r="AN98" i="36" s="1"/>
  <c r="AU158" i="36"/>
  <c r="AU167" i="36" s="1"/>
  <c r="R66" i="36"/>
  <c r="E6" i="44"/>
  <c r="W183" i="38"/>
  <c r="W76" i="38"/>
  <c r="X76" i="38" s="1"/>
  <c r="X19" i="38"/>
  <c r="W5" i="48" s="1"/>
  <c r="X148" i="38"/>
  <c r="F148" i="52" s="1"/>
  <c r="T157" i="38"/>
  <c r="X157" i="38" s="1"/>
  <c r="F157" i="52" s="1"/>
  <c r="X183" i="37"/>
  <c r="N88" i="38"/>
  <c r="R5" i="38"/>
  <c r="R87" i="38" s="1"/>
  <c r="F87" i="53" s="1"/>
  <c r="N75" i="38"/>
  <c r="R75" i="38" s="1"/>
  <c r="F75" i="53" s="1"/>
  <c r="E76" i="37"/>
  <c r="E86" i="37" s="1"/>
  <c r="F19" i="37"/>
  <c r="V3" i="48" s="1"/>
  <c r="E183" i="37"/>
  <c r="F147" i="36"/>
  <c r="D147" i="49" s="1"/>
  <c r="G121" i="45"/>
  <c r="E72" i="43"/>
  <c r="G100" i="45"/>
  <c r="G5" i="44"/>
  <c r="G89" i="45"/>
  <c r="G68" i="45"/>
  <c r="G72" i="43"/>
  <c r="F39" i="39"/>
  <c r="F64" i="39" s="1"/>
  <c r="N87" i="37"/>
  <c r="H87" i="37"/>
  <c r="F70" i="43"/>
  <c r="AD108" i="37"/>
  <c r="L5" i="37"/>
  <c r="L87" i="37" s="1"/>
  <c r="E87" i="50" s="1"/>
  <c r="F10" i="44"/>
  <c r="R108" i="37"/>
  <c r="F51" i="43"/>
  <c r="L51" i="43" s="1"/>
  <c r="H75" i="37"/>
  <c r="L75" i="37" s="1"/>
  <c r="E75" i="50" s="1"/>
  <c r="E66" i="43"/>
  <c r="E51" i="43"/>
  <c r="K51" i="43" s="1"/>
  <c r="R146" i="36"/>
  <c r="D146" i="53" s="1"/>
  <c r="Q183" i="36"/>
  <c r="AS99" i="36"/>
  <c r="E10" i="44"/>
  <c r="X66" i="36"/>
  <c r="Q76" i="36"/>
  <c r="R76" i="36" s="1"/>
  <c r="R145" i="36"/>
  <c r="D145" i="53" s="1"/>
  <c r="E12" i="44"/>
  <c r="D39" i="39"/>
  <c r="D64" i="39" s="1"/>
  <c r="R148" i="36"/>
  <c r="D148" i="53" s="1"/>
  <c r="G17" i="44"/>
  <c r="G126" i="45"/>
  <c r="G84" i="45"/>
  <c r="G105" i="45"/>
  <c r="G14" i="44"/>
  <c r="G123" i="45"/>
  <c r="G102" i="45"/>
  <c r="G81" i="45"/>
  <c r="F74" i="39"/>
  <c r="G15" i="44"/>
  <c r="G82" i="45"/>
  <c r="G124" i="45"/>
  <c r="G103" i="45"/>
  <c r="G61" i="43"/>
  <c r="G66" i="43"/>
  <c r="G71" i="43"/>
  <c r="G12" i="44"/>
  <c r="G73" i="43"/>
  <c r="G63" i="43"/>
  <c r="R66" i="38"/>
  <c r="G94" i="45"/>
  <c r="G4" i="44"/>
  <c r="G109" i="45"/>
  <c r="G67" i="45"/>
  <c r="G88" i="45"/>
  <c r="D154" i="38"/>
  <c r="B141" i="38"/>
  <c r="N141" i="38"/>
  <c r="R141" i="38" s="1"/>
  <c r="F141" i="53" s="1"/>
  <c r="P154" i="38"/>
  <c r="R154" i="38" s="1"/>
  <c r="F154" i="53" s="1"/>
  <c r="F232" i="39"/>
  <c r="F235" i="39" s="1"/>
  <c r="G118" i="45"/>
  <c r="G76" i="45"/>
  <c r="G97" i="45"/>
  <c r="G99" i="45"/>
  <c r="G120" i="45"/>
  <c r="G78" i="45"/>
  <c r="G7" i="44"/>
  <c r="G90" i="45"/>
  <c r="G111" i="45"/>
  <c r="G69" i="45"/>
  <c r="G8" i="44"/>
  <c r="G92" i="45"/>
  <c r="G71" i="45"/>
  <c r="G113" i="45"/>
  <c r="L108" i="38"/>
  <c r="H141" i="38"/>
  <c r="L141" i="38" s="1"/>
  <c r="F141" i="50" s="1"/>
  <c r="J154" i="38"/>
  <c r="L154" i="38" s="1"/>
  <c r="F154" i="50" s="1"/>
  <c r="G11" i="44"/>
  <c r="G119" i="45"/>
  <c r="G77" i="45"/>
  <c r="G98" i="45"/>
  <c r="AT167" i="38"/>
  <c r="G51" i="43"/>
  <c r="M51" i="43" s="1"/>
  <c r="G10" i="44"/>
  <c r="G112" i="39"/>
  <c r="L112" i="42"/>
  <c r="G112" i="50" s="1"/>
  <c r="G73" i="45"/>
  <c r="AV76" i="38"/>
  <c r="AE29" i="38"/>
  <c r="G9" i="44"/>
  <c r="F5" i="39"/>
  <c r="F19" i="39"/>
  <c r="F62" i="39"/>
  <c r="F65" i="39" s="1"/>
  <c r="T141" i="38"/>
  <c r="X141" i="38" s="1"/>
  <c r="F141" i="52" s="1"/>
  <c r="V154" i="38"/>
  <c r="X154" i="38" s="1"/>
  <c r="F154" i="52" s="1"/>
  <c r="AV66" i="38"/>
  <c r="F4" i="44"/>
  <c r="F88" i="45"/>
  <c r="F67" i="45"/>
  <c r="F109" i="45"/>
  <c r="F13" i="44"/>
  <c r="F122" i="45"/>
  <c r="F80" i="45"/>
  <c r="F101" i="45"/>
  <c r="F14" i="44"/>
  <c r="F102" i="45"/>
  <c r="F123" i="45"/>
  <c r="F81" i="45"/>
  <c r="F68" i="43"/>
  <c r="T141" i="37"/>
  <c r="X141" i="37" s="1"/>
  <c r="E141" i="52" s="1"/>
  <c r="V154" i="37"/>
  <c r="X154" i="37" s="1"/>
  <c r="E154" i="52" s="1"/>
  <c r="R5" i="37"/>
  <c r="N74" i="37"/>
  <c r="R74" i="37" s="1"/>
  <c r="E74" i="53" s="1"/>
  <c r="F7" i="44"/>
  <c r="F90" i="45"/>
  <c r="F69" i="45"/>
  <c r="F111" i="45"/>
  <c r="AV116" i="37"/>
  <c r="AV129" i="37" s="1"/>
  <c r="AV70" i="37" s="1"/>
  <c r="E29" i="39"/>
  <c r="F8" i="44"/>
  <c r="F71" i="45"/>
  <c r="F113" i="45"/>
  <c r="F92" i="45"/>
  <c r="E19" i="39"/>
  <c r="F61" i="43"/>
  <c r="F72" i="43"/>
  <c r="D154" i="37"/>
  <c r="B141" i="37"/>
  <c r="J154" i="37"/>
  <c r="L154" i="37" s="1"/>
  <c r="E154" i="50" s="1"/>
  <c r="H141" i="37"/>
  <c r="L141" i="37" s="1"/>
  <c r="E141" i="50" s="1"/>
  <c r="E232" i="39"/>
  <c r="E235" i="39" s="1"/>
  <c r="T74" i="37"/>
  <c r="X74" i="37" s="1"/>
  <c r="E74" i="52" s="1"/>
  <c r="F115" i="45"/>
  <c r="F94" i="45"/>
  <c r="F73" i="45"/>
  <c r="F100" i="45"/>
  <c r="F121" i="45"/>
  <c r="F79" i="45"/>
  <c r="F16" i="44"/>
  <c r="F104" i="45"/>
  <c r="F83" i="45"/>
  <c r="F125" i="45"/>
  <c r="F110" i="45"/>
  <c r="F89" i="45"/>
  <c r="F68" i="45"/>
  <c r="F76" i="45"/>
  <c r="F97" i="45"/>
  <c r="F118" i="45"/>
  <c r="F17" i="44"/>
  <c r="F126" i="45"/>
  <c r="F105" i="45"/>
  <c r="F84" i="45"/>
  <c r="F120" i="45"/>
  <c r="F78" i="45"/>
  <c r="F99" i="45"/>
  <c r="E62" i="39"/>
  <c r="E65" i="39" s="1"/>
  <c r="E5" i="39"/>
  <c r="F6" i="44"/>
  <c r="AB154" i="37"/>
  <c r="AD154" i="37" s="1"/>
  <c r="E154" i="51" s="1"/>
  <c r="Z141" i="37"/>
  <c r="AD141" i="37" s="1"/>
  <c r="E141" i="51" s="1"/>
  <c r="F124" i="45"/>
  <c r="F103" i="45"/>
  <c r="F82" i="45"/>
  <c r="F12" i="44"/>
  <c r="F11" i="44"/>
  <c r="F119" i="45"/>
  <c r="F98" i="45"/>
  <c r="F77" i="45"/>
  <c r="D232" i="39"/>
  <c r="D235" i="39" s="1"/>
  <c r="E17" i="44"/>
  <c r="E126" i="45"/>
  <c r="E105" i="45"/>
  <c r="E84" i="45"/>
  <c r="E64" i="43"/>
  <c r="E7" i="44"/>
  <c r="E111" i="45"/>
  <c r="E90" i="45"/>
  <c r="E69" i="45"/>
  <c r="L19" i="36"/>
  <c r="U6" i="48" s="1"/>
  <c r="J154" i="36"/>
  <c r="H141" i="36"/>
  <c r="F19" i="36"/>
  <c r="U3" i="48" s="1"/>
  <c r="D154" i="36"/>
  <c r="D115" i="39"/>
  <c r="L145" i="36"/>
  <c r="D145" i="50" s="1"/>
  <c r="H157" i="36"/>
  <c r="L157" i="36" s="1"/>
  <c r="D157" i="50" s="1"/>
  <c r="B157" i="36"/>
  <c r="F157" i="36" s="1"/>
  <c r="D157" i="49" s="1"/>
  <c r="E4" i="44"/>
  <c r="E109" i="45"/>
  <c r="E88" i="45"/>
  <c r="E67" i="45"/>
  <c r="AD145" i="36"/>
  <c r="D145" i="51" s="1"/>
  <c r="AB154" i="36"/>
  <c r="Z141" i="36"/>
  <c r="AD141" i="36" s="1"/>
  <c r="D141" i="51" s="1"/>
  <c r="E73" i="43"/>
  <c r="E71" i="43"/>
  <c r="E61" i="43"/>
  <c r="AV66" i="36"/>
  <c r="E121" i="45"/>
  <c r="E100" i="45"/>
  <c r="E79" i="45"/>
  <c r="E16" i="44"/>
  <c r="E125" i="45"/>
  <c r="E104" i="45"/>
  <c r="E83" i="45"/>
  <c r="E68" i="45"/>
  <c r="E89" i="45"/>
  <c r="E110" i="45"/>
  <c r="F66" i="36"/>
  <c r="G29" i="36"/>
  <c r="E11" i="44"/>
  <c r="E119" i="45"/>
  <c r="E98" i="45"/>
  <c r="E77" i="45"/>
  <c r="E76" i="36"/>
  <c r="E183" i="36"/>
  <c r="E14" i="44"/>
  <c r="E123" i="45"/>
  <c r="E102" i="45"/>
  <c r="E81" i="45"/>
  <c r="H95" i="36"/>
  <c r="AX95" i="36" s="1"/>
  <c r="BB95" i="36" s="1"/>
  <c r="D99" i="47" s="1"/>
  <c r="L82" i="36"/>
  <c r="AP87" i="36"/>
  <c r="E62" i="43"/>
  <c r="E70" i="43"/>
  <c r="D62" i="39"/>
  <c r="D65" i="39" s="1"/>
  <c r="E82" i="45"/>
  <c r="E103" i="45"/>
  <c r="E124" i="45"/>
  <c r="E118" i="45"/>
  <c r="E97" i="45"/>
  <c r="E76" i="45"/>
  <c r="E120" i="45"/>
  <c r="E99" i="45"/>
  <c r="E78" i="45"/>
  <c r="D5" i="39"/>
  <c r="L147" i="36"/>
  <c r="D147" i="50" s="1"/>
  <c r="K183" i="36"/>
  <c r="L183" i="36" s="1"/>
  <c r="F145" i="36"/>
  <c r="D145" i="49" s="1"/>
  <c r="F148" i="36"/>
  <c r="D148" i="49" s="1"/>
  <c r="E8" i="44"/>
  <c r="E92" i="45"/>
  <c r="E113" i="45"/>
  <c r="E71" i="45"/>
  <c r="V154" i="36"/>
  <c r="T141" i="36"/>
  <c r="X141" i="36" s="1"/>
  <c r="D141" i="52" s="1"/>
  <c r="D19" i="39"/>
  <c r="E73" i="45"/>
  <c r="E115" i="45"/>
  <c r="E94" i="45"/>
  <c r="E13" i="44"/>
  <c r="E122" i="45"/>
  <c r="E101" i="45"/>
  <c r="E80" i="45"/>
  <c r="R19" i="36"/>
  <c r="U4" i="48" s="1"/>
  <c r="P154" i="36"/>
  <c r="N141" i="36"/>
  <c r="AO138" i="42"/>
  <c r="AO139" i="42" s="1"/>
  <c r="AO207" i="42" s="1"/>
  <c r="AO220" i="42" s="1"/>
  <c r="AO221" i="42" s="1"/>
  <c r="Q129" i="36"/>
  <c r="R103" i="38"/>
  <c r="F103" i="53" s="1"/>
  <c r="Y29" i="38"/>
  <c r="AR158" i="38"/>
  <c r="AR151" i="38"/>
  <c r="AV141" i="38"/>
  <c r="AV151" i="38" s="1"/>
  <c r="AR164" i="38"/>
  <c r="AV164" i="38" s="1"/>
  <c r="AR165" i="38"/>
  <c r="AV165" i="38" s="1"/>
  <c r="AR163" i="38"/>
  <c r="AV163" i="38" s="1"/>
  <c r="AS86" i="38"/>
  <c r="AV116" i="38"/>
  <c r="AV129" i="38" s="1"/>
  <c r="AV69" i="38" s="1"/>
  <c r="AR116" i="38"/>
  <c r="AR129" i="38" s="1"/>
  <c r="AU138" i="38"/>
  <c r="AU139" i="38" s="1"/>
  <c r="AU158" i="38"/>
  <c r="AU167" i="38" s="1"/>
  <c r="F113" i="39"/>
  <c r="AN158" i="38"/>
  <c r="AN85" i="38" s="1"/>
  <c r="W158" i="38"/>
  <c r="AC158" i="38"/>
  <c r="E158" i="38"/>
  <c r="X108" i="38"/>
  <c r="N158" i="38"/>
  <c r="AP157" i="38"/>
  <c r="AL165" i="38"/>
  <c r="AP165" i="38" s="1"/>
  <c r="AL163" i="38"/>
  <c r="AP163" i="38" s="1"/>
  <c r="AL164" i="38"/>
  <c r="AP164" i="38" s="1"/>
  <c r="Z158" i="38"/>
  <c r="U158" i="38"/>
  <c r="AM167" i="38"/>
  <c r="AM85" i="38"/>
  <c r="J158" i="38"/>
  <c r="J85" i="38" s="1"/>
  <c r="J98" i="38" s="1"/>
  <c r="AP141" i="38"/>
  <c r="AP151" i="38" s="1"/>
  <c r="AL151" i="38"/>
  <c r="T158" i="38"/>
  <c r="I158" i="38"/>
  <c r="F114" i="39"/>
  <c r="AC89" i="38"/>
  <c r="AD76" i="38"/>
  <c r="AL158" i="38"/>
  <c r="B88" i="38"/>
  <c r="B87" i="38"/>
  <c r="B75" i="38"/>
  <c r="F5" i="38"/>
  <c r="N163" i="38"/>
  <c r="R163" i="38" s="1"/>
  <c r="F163" i="53" s="1"/>
  <c r="N164" i="38"/>
  <c r="R164" i="38" s="1"/>
  <c r="F164" i="53" s="1"/>
  <c r="N165" i="38"/>
  <c r="R165" i="38" s="1"/>
  <c r="F165" i="53" s="1"/>
  <c r="Q158" i="38"/>
  <c r="R88" i="38"/>
  <c r="F88" i="53" s="1"/>
  <c r="K183" i="38"/>
  <c r="L147" i="38"/>
  <c r="F147" i="50" s="1"/>
  <c r="L145" i="38"/>
  <c r="F145" i="50" s="1"/>
  <c r="H157" i="38"/>
  <c r="L19" i="38"/>
  <c r="W6" i="48" s="1"/>
  <c r="K76" i="38"/>
  <c r="AO158" i="38"/>
  <c r="AO167" i="38" s="1"/>
  <c r="V158" i="38"/>
  <c r="V85" i="38" s="1"/>
  <c r="V98" i="38" s="1"/>
  <c r="F108" i="38"/>
  <c r="Q183" i="38"/>
  <c r="N157" i="38"/>
  <c r="R147" i="38"/>
  <c r="F147" i="53" s="1"/>
  <c r="R146" i="38"/>
  <c r="F146" i="53" s="1"/>
  <c r="Q76" i="38"/>
  <c r="R19" i="38"/>
  <c r="W4" i="48" s="1"/>
  <c r="AP87" i="38"/>
  <c r="O158" i="38"/>
  <c r="AB158" i="38"/>
  <c r="AB85" i="38" s="1"/>
  <c r="AB98" i="38" s="1"/>
  <c r="D158" i="38"/>
  <c r="R108" i="38"/>
  <c r="AP154" i="38"/>
  <c r="K158" i="38"/>
  <c r="E183" i="38"/>
  <c r="B157" i="38"/>
  <c r="E76" i="38"/>
  <c r="BA76" i="38" s="1"/>
  <c r="F19" i="38"/>
  <c r="W3" i="48" s="1"/>
  <c r="C158" i="38"/>
  <c r="Z88" i="38"/>
  <c r="Z87" i="38"/>
  <c r="Z75" i="38"/>
  <c r="AD75" i="38" s="1"/>
  <c r="F75" i="51" s="1"/>
  <c r="AD5" i="38"/>
  <c r="P158" i="38"/>
  <c r="P85" i="38" s="1"/>
  <c r="P98" i="38" s="1"/>
  <c r="T88" i="38"/>
  <c r="X5" i="38"/>
  <c r="T87" i="38"/>
  <c r="T75" i="38"/>
  <c r="X75" i="38" s="1"/>
  <c r="F75" i="52" s="1"/>
  <c r="AA158" i="38"/>
  <c r="H158" i="38"/>
  <c r="F156" i="39"/>
  <c r="L5" i="38"/>
  <c r="H88" i="38"/>
  <c r="H87" i="38"/>
  <c r="H75" i="38"/>
  <c r="L75" i="38" s="1"/>
  <c r="F75" i="50" s="1"/>
  <c r="AD88" i="37"/>
  <c r="E88" i="51" s="1"/>
  <c r="F87" i="37"/>
  <c r="E87" i="49" s="1"/>
  <c r="AU86" i="37"/>
  <c r="AU89" i="37"/>
  <c r="AV76" i="37"/>
  <c r="AV183" i="37"/>
  <c r="AV192" i="37" s="1"/>
  <c r="AR151" i="37"/>
  <c r="AV141" i="37"/>
  <c r="AV151" i="37" s="1"/>
  <c r="AR158" i="37"/>
  <c r="AV69" i="37"/>
  <c r="AT138" i="37"/>
  <c r="AT139" i="37" s="1"/>
  <c r="AT158" i="37"/>
  <c r="AR116" i="37"/>
  <c r="AR129" i="37" s="1"/>
  <c r="AR164" i="37"/>
  <c r="AV164" i="37" s="1"/>
  <c r="AR165" i="37"/>
  <c r="AV165" i="37" s="1"/>
  <c r="AR163" i="37"/>
  <c r="AV163" i="37" s="1"/>
  <c r="AS158" i="37"/>
  <c r="AS138" i="37"/>
  <c r="AS139" i="37" s="1"/>
  <c r="E113" i="39"/>
  <c r="D158" i="37"/>
  <c r="V158" i="37"/>
  <c r="V85" i="37" s="1"/>
  <c r="V98" i="37" s="1"/>
  <c r="Q129" i="37"/>
  <c r="AO158" i="37"/>
  <c r="AO167" i="37" s="1"/>
  <c r="K158" i="37"/>
  <c r="K167" i="37" s="1"/>
  <c r="AN158" i="37"/>
  <c r="AN85" i="37" s="1"/>
  <c r="J158" i="37"/>
  <c r="J85" i="37" s="1"/>
  <c r="J98" i="37" s="1"/>
  <c r="AC129" i="37"/>
  <c r="E116" i="37"/>
  <c r="E129" i="37" s="1"/>
  <c r="I167" i="37"/>
  <c r="I85" i="37"/>
  <c r="AC89" i="37"/>
  <c r="AC99" i="37" s="1"/>
  <c r="AC86" i="37"/>
  <c r="AB158" i="37"/>
  <c r="AB85" i="37" s="1"/>
  <c r="AB98" i="37" s="1"/>
  <c r="Q158" i="37"/>
  <c r="Q167" i="37" s="1"/>
  <c r="Z158" i="37"/>
  <c r="B158" i="37"/>
  <c r="AC158" i="37"/>
  <c r="AC167" i="37" s="1"/>
  <c r="E158" i="37"/>
  <c r="AL151" i="37"/>
  <c r="AP141" i="37"/>
  <c r="AP151" i="37" s="1"/>
  <c r="AP157" i="37"/>
  <c r="AD157" i="37"/>
  <c r="E157" i="51" s="1"/>
  <c r="X157" i="37"/>
  <c r="E157" i="52" s="1"/>
  <c r="W158" i="37"/>
  <c r="W167" i="37" s="1"/>
  <c r="AL158" i="37"/>
  <c r="H158" i="37"/>
  <c r="U158" i="37"/>
  <c r="F108" i="37"/>
  <c r="T158" i="37"/>
  <c r="X108" i="37"/>
  <c r="H82" i="37"/>
  <c r="AX82" i="37" s="1"/>
  <c r="BB82" i="37" s="1"/>
  <c r="AO89" i="37"/>
  <c r="AO99" i="37" s="1"/>
  <c r="AO86" i="37"/>
  <c r="AP154" i="37"/>
  <c r="AL164" i="37"/>
  <c r="AP164" i="37" s="1"/>
  <c r="AL163" i="37"/>
  <c r="AP163" i="37" s="1"/>
  <c r="AL165" i="37"/>
  <c r="AP165" i="37" s="1"/>
  <c r="N163" i="37"/>
  <c r="R163" i="37" s="1"/>
  <c r="E163" i="53" s="1"/>
  <c r="N164" i="37"/>
  <c r="R164" i="37" s="1"/>
  <c r="E164" i="53" s="1"/>
  <c r="N165" i="37"/>
  <c r="R165" i="37" s="1"/>
  <c r="E165" i="53" s="1"/>
  <c r="B164" i="37"/>
  <c r="B165" i="37"/>
  <c r="B163" i="37"/>
  <c r="F147" i="37"/>
  <c r="E147" i="49" s="1"/>
  <c r="F157" i="37"/>
  <c r="E157" i="49" s="1"/>
  <c r="H163" i="37"/>
  <c r="L163" i="37" s="1"/>
  <c r="E163" i="50" s="1"/>
  <c r="K89" i="37"/>
  <c r="K99" i="37" s="1"/>
  <c r="K86" i="37"/>
  <c r="L157" i="37"/>
  <c r="E157" i="50" s="1"/>
  <c r="N158" i="37"/>
  <c r="AA158" i="37"/>
  <c r="C158" i="37"/>
  <c r="P158" i="37"/>
  <c r="P85" i="37" s="1"/>
  <c r="P98" i="37" s="1"/>
  <c r="O158" i="37"/>
  <c r="E156" i="39"/>
  <c r="T88" i="37"/>
  <c r="T87" i="37"/>
  <c r="T75" i="37"/>
  <c r="X75" i="37" s="1"/>
  <c r="E75" i="52" s="1"/>
  <c r="X5" i="37"/>
  <c r="R157" i="37"/>
  <c r="E157" i="53" s="1"/>
  <c r="F145" i="37"/>
  <c r="E145" i="49" s="1"/>
  <c r="W89" i="37"/>
  <c r="W99" i="37" s="1"/>
  <c r="W86" i="37"/>
  <c r="K192" i="37"/>
  <c r="L183" i="37"/>
  <c r="AD154" i="36"/>
  <c r="D154" i="51" s="1"/>
  <c r="AC76" i="36"/>
  <c r="AD76" i="36" s="1"/>
  <c r="AD19" i="36"/>
  <c r="U7" i="48" s="1"/>
  <c r="V20" i="48" s="1"/>
  <c r="Z157" i="36"/>
  <c r="AD157" i="36" s="1"/>
  <c r="D157" i="51" s="1"/>
  <c r="AD146" i="36"/>
  <c r="D146" i="51" s="1"/>
  <c r="X19" i="36"/>
  <c r="U5" i="48" s="1"/>
  <c r="X146" i="36"/>
  <c r="D146" i="52" s="1"/>
  <c r="X147" i="36"/>
  <c r="D147" i="52" s="1"/>
  <c r="AD148" i="36"/>
  <c r="D148" i="51" s="1"/>
  <c r="AC183" i="36"/>
  <c r="AD183" i="36" s="1"/>
  <c r="W76" i="36"/>
  <c r="W86" i="36" s="1"/>
  <c r="T157" i="36"/>
  <c r="X145" i="36"/>
  <c r="D145" i="52" s="1"/>
  <c r="W183" i="36"/>
  <c r="AR116" i="36"/>
  <c r="AR129" i="36" s="1"/>
  <c r="AR158" i="36"/>
  <c r="AS86" i="36"/>
  <c r="AR164" i="36"/>
  <c r="AV164" i="36" s="1"/>
  <c r="AR165" i="36"/>
  <c r="AV165" i="36" s="1"/>
  <c r="AR163" i="36"/>
  <c r="AV163" i="36" s="1"/>
  <c r="AR151" i="36"/>
  <c r="AV141" i="36"/>
  <c r="AV151" i="36" s="1"/>
  <c r="AV74" i="36"/>
  <c r="AT158" i="36"/>
  <c r="AT138" i="36"/>
  <c r="AT139" i="36" s="1"/>
  <c r="AU138" i="36"/>
  <c r="AU139" i="36" s="1"/>
  <c r="AS167" i="36"/>
  <c r="AV116" i="36"/>
  <c r="AV129" i="36" s="1"/>
  <c r="AV69" i="36" s="1"/>
  <c r="AV183" i="36"/>
  <c r="AV192" i="36" s="1"/>
  <c r="AL158" i="36"/>
  <c r="F5" i="36"/>
  <c r="B87" i="36"/>
  <c r="B88" i="36"/>
  <c r="B75" i="36"/>
  <c r="Q158" i="36"/>
  <c r="Q167" i="36" s="1"/>
  <c r="V158" i="36"/>
  <c r="V85" i="36" s="1"/>
  <c r="AM158" i="36"/>
  <c r="W158" i="36"/>
  <c r="W167" i="36" s="1"/>
  <c r="I85" i="36"/>
  <c r="AL163" i="36"/>
  <c r="AP163" i="36" s="1"/>
  <c r="AL164" i="36"/>
  <c r="AP164" i="36" s="1"/>
  <c r="AL165" i="36"/>
  <c r="AP165" i="36" s="1"/>
  <c r="AC192" i="36"/>
  <c r="K192" i="36"/>
  <c r="F146" i="36"/>
  <c r="D146" i="49" s="1"/>
  <c r="Z158" i="36"/>
  <c r="AA158" i="36"/>
  <c r="D82" i="39"/>
  <c r="J158" i="36"/>
  <c r="J85" i="36" s="1"/>
  <c r="J98" i="36" s="1"/>
  <c r="AB158" i="36"/>
  <c r="AB85" i="36" s="1"/>
  <c r="N158" i="36"/>
  <c r="AP154" i="36"/>
  <c r="K89" i="36"/>
  <c r="K99" i="36" s="1"/>
  <c r="K86" i="36"/>
  <c r="L154" i="36"/>
  <c r="D154" i="50" s="1"/>
  <c r="Q89" i="36"/>
  <c r="Q99" i="36" s="1"/>
  <c r="R154" i="36"/>
  <c r="D154" i="53" s="1"/>
  <c r="R157" i="36"/>
  <c r="D157" i="53" s="1"/>
  <c r="U158" i="36"/>
  <c r="D153" i="39"/>
  <c r="T158" i="36"/>
  <c r="Z87" i="36"/>
  <c r="Z88" i="36"/>
  <c r="Z75" i="36"/>
  <c r="AD75" i="36" s="1"/>
  <c r="D75" i="51" s="1"/>
  <c r="AD5" i="36"/>
  <c r="E116" i="36"/>
  <c r="E129" i="36" s="1"/>
  <c r="H158" i="36"/>
  <c r="AO89" i="36"/>
  <c r="AO99" i="36" s="1"/>
  <c r="AO86" i="36"/>
  <c r="D158" i="36"/>
  <c r="AP157" i="36"/>
  <c r="X5" i="36"/>
  <c r="T87" i="36"/>
  <c r="T88" i="36"/>
  <c r="T75" i="36"/>
  <c r="X75" i="36" s="1"/>
  <c r="D75" i="52" s="1"/>
  <c r="F154" i="36"/>
  <c r="D154" i="49" s="1"/>
  <c r="E192" i="36"/>
  <c r="O158" i="36"/>
  <c r="C85" i="36"/>
  <c r="F108" i="36"/>
  <c r="AD108" i="36"/>
  <c r="D156" i="39"/>
  <c r="N75" i="36"/>
  <c r="R75" i="36" s="1"/>
  <c r="D75" i="53" s="1"/>
  <c r="N87" i="36"/>
  <c r="N88" i="36"/>
  <c r="R5" i="36"/>
  <c r="E158" i="36"/>
  <c r="L108" i="36"/>
  <c r="X108" i="36"/>
  <c r="R108" i="36"/>
  <c r="AL151" i="36"/>
  <c r="AP141" i="36"/>
  <c r="AP151" i="36" s="1"/>
  <c r="AP74" i="36"/>
  <c r="H88" i="36"/>
  <c r="H87" i="36"/>
  <c r="H75" i="36"/>
  <c r="L75" i="36" s="1"/>
  <c r="D75" i="50" s="1"/>
  <c r="L5" i="36"/>
  <c r="AC89" i="36"/>
  <c r="AC99" i="36" s="1"/>
  <c r="AC86" i="36"/>
  <c r="P158" i="36"/>
  <c r="P85" i="36" s="1"/>
  <c r="H165" i="37" l="1"/>
  <c r="L165" i="37" s="1"/>
  <c r="E165" i="50" s="1"/>
  <c r="Z164" i="37"/>
  <c r="AD164" i="37" s="1"/>
  <c r="E164" i="51" s="1"/>
  <c r="AN138" i="36"/>
  <c r="AN139" i="36" s="1"/>
  <c r="AT138" i="38"/>
  <c r="AT139" i="38" s="1"/>
  <c r="AO138" i="38"/>
  <c r="AO139" i="38" s="1"/>
  <c r="AX88" i="37"/>
  <c r="BB88" i="37" s="1"/>
  <c r="M8" i="39"/>
  <c r="F19" i="52"/>
  <c r="Z163" i="37"/>
  <c r="AD163" i="37" s="1"/>
  <c r="E163" i="51" s="1"/>
  <c r="AX75" i="38"/>
  <c r="BB75" i="38" s="1"/>
  <c r="BA183" i="38"/>
  <c r="BA158" i="36"/>
  <c r="BA167" i="36" s="1"/>
  <c r="BA129" i="37"/>
  <c r="BA158" i="37"/>
  <c r="BA167" i="37" s="1"/>
  <c r="AM85" i="37"/>
  <c r="AU207" i="37"/>
  <c r="AU220" i="37" s="1"/>
  <c r="AU221" i="37" s="1"/>
  <c r="BB108" i="36"/>
  <c r="K9" i="39"/>
  <c r="AX192" i="38"/>
  <c r="BB135" i="37"/>
  <c r="E135" i="39" s="1"/>
  <c r="D228" i="47"/>
  <c r="D237" i="47" s="1"/>
  <c r="D71" i="47"/>
  <c r="L192" i="36"/>
  <c r="D183" i="50"/>
  <c r="D192" i="50" s="1"/>
  <c r="E130" i="38"/>
  <c r="BA130" i="38" s="1"/>
  <c r="E131" i="38"/>
  <c r="AX75" i="36"/>
  <c r="BB75" i="36" s="1"/>
  <c r="D75" i="39" s="1"/>
  <c r="F183" i="37"/>
  <c r="BA183" i="37"/>
  <c r="X192" i="37"/>
  <c r="E183" i="52"/>
  <c r="E192" i="52" s="1"/>
  <c r="R192" i="37"/>
  <c r="E183" i="53"/>
  <c r="AY122" i="42"/>
  <c r="F122" i="42"/>
  <c r="G122" i="49" s="1"/>
  <c r="L13" i="50"/>
  <c r="L13" i="39"/>
  <c r="AX161" i="37"/>
  <c r="BB161" i="37" s="1"/>
  <c r="E161" i="39" s="1"/>
  <c r="F161" i="37"/>
  <c r="E161" i="49" s="1"/>
  <c r="AX158" i="38"/>
  <c r="AP132" i="36"/>
  <c r="AX147" i="38"/>
  <c r="BB147" i="38" s="1"/>
  <c r="F147" i="39" s="1"/>
  <c r="V29" i="48"/>
  <c r="J107" i="48" s="1"/>
  <c r="W29" i="48"/>
  <c r="K107" i="48" s="1"/>
  <c r="AZ158" i="36"/>
  <c r="AD192" i="36"/>
  <c r="D183" i="51"/>
  <c r="D192" i="51" s="1"/>
  <c r="Y108" i="37"/>
  <c r="E108" i="52"/>
  <c r="S108" i="38"/>
  <c r="F108" i="53"/>
  <c r="AS167" i="38"/>
  <c r="AX75" i="37"/>
  <c r="BB75" i="37" s="1"/>
  <c r="BB133" i="36"/>
  <c r="D133" i="39" s="1"/>
  <c r="L11" i="39"/>
  <c r="L19" i="39" s="1"/>
  <c r="L29" i="39" s="1"/>
  <c r="BB135" i="36"/>
  <c r="D135" i="39" s="1"/>
  <c r="F19" i="51"/>
  <c r="F5" i="51"/>
  <c r="L14" i="50"/>
  <c r="L14" i="39"/>
  <c r="S29" i="37"/>
  <c r="L6" i="53"/>
  <c r="L19" i="53" s="1"/>
  <c r="L29" i="53" s="1"/>
  <c r="AX159" i="42"/>
  <c r="F159" i="42"/>
  <c r="G159" i="49" s="1"/>
  <c r="B167" i="42"/>
  <c r="D5" i="49"/>
  <c r="D19" i="49"/>
  <c r="K8" i="39"/>
  <c r="M12" i="50"/>
  <c r="M12" i="39"/>
  <c r="AX175" i="37"/>
  <c r="BB175" i="37" s="1"/>
  <c r="F175" i="37"/>
  <c r="M29" i="38"/>
  <c r="M6" i="50"/>
  <c r="AX200" i="38"/>
  <c r="BB200" i="38" s="1"/>
  <c r="F200" i="38"/>
  <c r="F200" i="49" s="1"/>
  <c r="Y108" i="36"/>
  <c r="D108" i="52"/>
  <c r="AE108" i="36"/>
  <c r="D108" i="51"/>
  <c r="AN167" i="36"/>
  <c r="Q89" i="37"/>
  <c r="Q99" i="37" s="1"/>
  <c r="E88" i="39"/>
  <c r="Z151" i="37"/>
  <c r="E192" i="37"/>
  <c r="AZ158" i="37"/>
  <c r="W16" i="48"/>
  <c r="W25" i="48" s="1"/>
  <c r="W9" i="48"/>
  <c r="X16" i="48"/>
  <c r="X25" i="48" s="1"/>
  <c r="AZ158" i="38"/>
  <c r="W17" i="48"/>
  <c r="X17" i="48"/>
  <c r="G108" i="38"/>
  <c r="G109" i="38" s="1"/>
  <c r="F108" i="49"/>
  <c r="W19" i="48"/>
  <c r="X19" i="48"/>
  <c r="AX87" i="38"/>
  <c r="Y108" i="38"/>
  <c r="F108" i="52"/>
  <c r="N151" i="36"/>
  <c r="F76" i="36"/>
  <c r="BA76" i="36"/>
  <c r="F141" i="37"/>
  <c r="E141" i="49" s="1"/>
  <c r="AX141" i="37"/>
  <c r="M108" i="38"/>
  <c r="F108" i="50"/>
  <c r="F154" i="38"/>
  <c r="F154" i="49" s="1"/>
  <c r="AZ154" i="38"/>
  <c r="BB154" i="38" s="1"/>
  <c r="L9" i="49"/>
  <c r="L9" i="39"/>
  <c r="V17" i="48"/>
  <c r="AX158" i="36"/>
  <c r="BB133" i="37"/>
  <c r="E133" i="39" s="1"/>
  <c r="E19" i="53"/>
  <c r="K7" i="39"/>
  <c r="BB132" i="36"/>
  <c r="L16" i="51"/>
  <c r="L16" i="39"/>
  <c r="AX146" i="36"/>
  <c r="BB146" i="36" s="1"/>
  <c r="D146" i="39" s="1"/>
  <c r="AX148" i="36"/>
  <c r="BB148" i="36" s="1"/>
  <c r="D5" i="53"/>
  <c r="BB137" i="38"/>
  <c r="F137" i="39" s="1"/>
  <c r="AV132" i="38"/>
  <c r="AY121" i="42"/>
  <c r="F121" i="42"/>
  <c r="G121" i="49" s="1"/>
  <c r="K6" i="49"/>
  <c r="K6" i="39"/>
  <c r="E75" i="45" s="1"/>
  <c r="E85" i="45" s="1"/>
  <c r="V18" i="48"/>
  <c r="K14" i="50"/>
  <c r="K14" i="39"/>
  <c r="AX173" i="42"/>
  <c r="BB173" i="42" s="1"/>
  <c r="G173" i="39" s="1"/>
  <c r="F173" i="42"/>
  <c r="G173" i="49" s="1"/>
  <c r="AY123" i="42"/>
  <c r="F123" i="42"/>
  <c r="G123" i="49" s="1"/>
  <c r="BB137" i="36"/>
  <c r="D137" i="39" s="1"/>
  <c r="BB132" i="37"/>
  <c r="AX145" i="37"/>
  <c r="BB145" i="37" s="1"/>
  <c r="E145" i="39" s="1"/>
  <c r="AX200" i="37"/>
  <c r="BB200" i="37" s="1"/>
  <c r="F200" i="37"/>
  <c r="E200" i="49" s="1"/>
  <c r="L7" i="49"/>
  <c r="L19" i="49" s="1"/>
  <c r="L29" i="49" s="1"/>
  <c r="L7" i="39"/>
  <c r="D5" i="50"/>
  <c r="D19" i="50"/>
  <c r="L6" i="39"/>
  <c r="BB137" i="37"/>
  <c r="BA25" i="38"/>
  <c r="BB25" i="38" s="1"/>
  <c r="BB19" i="38"/>
  <c r="AX161" i="38"/>
  <c r="BB161" i="38" s="1"/>
  <c r="F161" i="39" s="1"/>
  <c r="F161" i="38"/>
  <c r="F161" i="49" s="1"/>
  <c r="AY158" i="38"/>
  <c r="AY167" i="38" s="1"/>
  <c r="D95" i="39"/>
  <c r="U9" i="48"/>
  <c r="S108" i="37"/>
  <c r="E108" i="53"/>
  <c r="F76" i="37"/>
  <c r="BA76" i="37"/>
  <c r="X89" i="38"/>
  <c r="F89" i="52" s="1"/>
  <c r="F76" i="52"/>
  <c r="R89" i="37"/>
  <c r="E89" i="53" s="1"/>
  <c r="E76" i="53"/>
  <c r="M7" i="49"/>
  <c r="M7" i="39"/>
  <c r="L12" i="50"/>
  <c r="L12" i="39"/>
  <c r="AX161" i="36"/>
  <c r="BB161" i="36" s="1"/>
  <c r="F161" i="36"/>
  <c r="D161" i="49" s="1"/>
  <c r="AX200" i="36"/>
  <c r="BB200" i="36" s="1"/>
  <c r="F200" i="36"/>
  <c r="D200" i="49" s="1"/>
  <c r="M14" i="50"/>
  <c r="M14" i="39"/>
  <c r="K16" i="51"/>
  <c r="K19" i="51" s="1"/>
  <c r="K29" i="51" s="1"/>
  <c r="K16" i="39"/>
  <c r="E117" i="45" s="1"/>
  <c r="E127" i="45" s="1"/>
  <c r="BA128" i="38"/>
  <c r="BA129" i="38" s="1"/>
  <c r="AX146" i="37"/>
  <c r="BB146" i="37" s="1"/>
  <c r="AE29" i="37"/>
  <c r="L6" i="51"/>
  <c r="F5" i="50"/>
  <c r="F19" i="50"/>
  <c r="AX175" i="38"/>
  <c r="BB175" i="38" s="1"/>
  <c r="F175" i="38"/>
  <c r="S108" i="36"/>
  <c r="D108" i="53"/>
  <c r="AX88" i="36"/>
  <c r="BB88" i="36" s="1"/>
  <c r="D88" i="39" s="1"/>
  <c r="L192" i="37"/>
  <c r="E183" i="50"/>
  <c r="E192" i="50" s="1"/>
  <c r="Q86" i="37"/>
  <c r="AY158" i="37"/>
  <c r="AX157" i="38"/>
  <c r="AD89" i="38"/>
  <c r="F89" i="51" s="1"/>
  <c r="F76" i="51"/>
  <c r="BA183" i="36"/>
  <c r="F141" i="38"/>
  <c r="F141" i="49" s="1"/>
  <c r="AX141" i="38"/>
  <c r="R89" i="36"/>
  <c r="D89" i="53" s="1"/>
  <c r="D76" i="53"/>
  <c r="V16" i="48"/>
  <c r="V25" i="48" s="1"/>
  <c r="V9" i="48"/>
  <c r="V22" i="48" s="1"/>
  <c r="M13" i="50"/>
  <c r="M13" i="39"/>
  <c r="G153" i="49"/>
  <c r="BA25" i="36"/>
  <c r="BB25" i="36" s="1"/>
  <c r="D25" i="39" s="1"/>
  <c r="BB19" i="36"/>
  <c r="AX141" i="36"/>
  <c r="M10" i="39"/>
  <c r="K19" i="49"/>
  <c r="K29" i="49" s="1"/>
  <c r="M15" i="50"/>
  <c r="M15" i="39"/>
  <c r="AY120" i="42"/>
  <c r="F120" i="42"/>
  <c r="G120" i="49" s="1"/>
  <c r="BA119" i="42"/>
  <c r="BA128" i="42" s="1"/>
  <c r="BA129" i="42" s="1"/>
  <c r="E128" i="42"/>
  <c r="E129" i="42" s="1"/>
  <c r="AX147" i="37"/>
  <c r="BB147" i="37" s="1"/>
  <c r="E147" i="39" s="1"/>
  <c r="L15" i="50"/>
  <c r="L15" i="39"/>
  <c r="F117" i="45" s="1"/>
  <c r="AX145" i="38"/>
  <c r="BB145" i="38" s="1"/>
  <c r="F145" i="39" s="1"/>
  <c r="E5" i="50"/>
  <c r="F158" i="36"/>
  <c r="D158" i="49" s="1"/>
  <c r="M108" i="36"/>
  <c r="D108" i="50"/>
  <c r="F183" i="36"/>
  <c r="AY158" i="36"/>
  <c r="AY167" i="36" s="1"/>
  <c r="AD89" i="36"/>
  <c r="D89" i="51" s="1"/>
  <c r="D76" i="51"/>
  <c r="E89" i="37"/>
  <c r="G108" i="37"/>
  <c r="G109" i="37" s="1"/>
  <c r="E108" i="49"/>
  <c r="AX158" i="37"/>
  <c r="H151" i="37"/>
  <c r="F75" i="37"/>
  <c r="E75" i="49" s="1"/>
  <c r="Z151" i="38"/>
  <c r="AX88" i="38"/>
  <c r="BB88" i="38" s="1"/>
  <c r="E85" i="38"/>
  <c r="BA158" i="38"/>
  <c r="BA167" i="38" s="1"/>
  <c r="AN86" i="36"/>
  <c r="S29" i="36"/>
  <c r="L95" i="36"/>
  <c r="D95" i="50" s="1"/>
  <c r="D82" i="50"/>
  <c r="AX157" i="36"/>
  <c r="BB157" i="36" s="1"/>
  <c r="D167" i="36"/>
  <c r="AZ154" i="36"/>
  <c r="BB154" i="36" s="1"/>
  <c r="F74" i="37"/>
  <c r="E74" i="49" s="1"/>
  <c r="F154" i="37"/>
  <c r="E154" i="49" s="1"/>
  <c r="AZ154" i="37"/>
  <c r="BB154" i="37" s="1"/>
  <c r="E154" i="39" s="1"/>
  <c r="L154" i="39" s="1"/>
  <c r="G29" i="38"/>
  <c r="F74" i="38"/>
  <c r="F74" i="49" s="1"/>
  <c r="M29" i="37"/>
  <c r="AE108" i="37"/>
  <c r="E108" i="51"/>
  <c r="W18" i="48"/>
  <c r="X18" i="48"/>
  <c r="Y29" i="36"/>
  <c r="K11" i="52"/>
  <c r="K19" i="52" s="1"/>
  <c r="K29" i="52" s="1"/>
  <c r="AX87" i="37"/>
  <c r="M108" i="37"/>
  <c r="E108" i="50"/>
  <c r="K11" i="39"/>
  <c r="K12" i="50"/>
  <c r="K12" i="39"/>
  <c r="E96" i="45" s="1"/>
  <c r="E106" i="45" s="1"/>
  <c r="BB132" i="38"/>
  <c r="BB153" i="42"/>
  <c r="AY167" i="42"/>
  <c r="AX147" i="36"/>
  <c r="BB147" i="36" s="1"/>
  <c r="AX175" i="36"/>
  <c r="BB175" i="36" s="1"/>
  <c r="F175" i="36"/>
  <c r="AX203" i="42"/>
  <c r="BB203" i="42" s="1"/>
  <c r="G203" i="39" s="1"/>
  <c r="F203" i="42"/>
  <c r="G203" i="49" s="1"/>
  <c r="AC192" i="38"/>
  <c r="AD183" i="38"/>
  <c r="BB108" i="38"/>
  <c r="F108" i="39" s="1"/>
  <c r="M16" i="51"/>
  <c r="M19" i="51" s="1"/>
  <c r="M29" i="51" s="1"/>
  <c r="M16" i="39"/>
  <c r="BA25" i="37"/>
  <c r="BB25" i="37" s="1"/>
  <c r="E25" i="39" s="1"/>
  <c r="BB19" i="37"/>
  <c r="AX148" i="37"/>
  <c r="BB148" i="37" s="1"/>
  <c r="E148" i="39" s="1"/>
  <c r="AX157" i="37"/>
  <c r="F133" i="38"/>
  <c r="F133" i="49" s="1"/>
  <c r="AX133" i="38"/>
  <c r="BB133" i="38" s="1"/>
  <c r="F133" i="39" s="1"/>
  <c r="M29" i="36"/>
  <c r="K6" i="50"/>
  <c r="E19" i="51"/>
  <c r="AX146" i="38"/>
  <c r="BB146" i="38" s="1"/>
  <c r="F146" i="39" s="1"/>
  <c r="AX148" i="38"/>
  <c r="BB148" i="38" s="1"/>
  <c r="F148" i="39" s="1"/>
  <c r="V19" i="48"/>
  <c r="AD192" i="37"/>
  <c r="E183" i="51"/>
  <c r="E192" i="51" s="1"/>
  <c r="M9" i="49"/>
  <c r="M9" i="39"/>
  <c r="M19" i="39" s="1"/>
  <c r="M29" i="39" s="1"/>
  <c r="X29" i="48"/>
  <c r="L107" i="48" s="1"/>
  <c r="AR131" i="38"/>
  <c r="AV131" i="38" s="1"/>
  <c r="AR130" i="38"/>
  <c r="AV130" i="38" s="1"/>
  <c r="Q131" i="37"/>
  <c r="Q130" i="37"/>
  <c r="E131" i="37"/>
  <c r="E130" i="37"/>
  <c r="AR130" i="37"/>
  <c r="AV130" i="37" s="1"/>
  <c r="AR131" i="37"/>
  <c r="AV131" i="37" s="1"/>
  <c r="AR131" i="36"/>
  <c r="AV131" i="36" s="1"/>
  <c r="AR130" i="36"/>
  <c r="AV130" i="36" s="1"/>
  <c r="E131" i="36"/>
  <c r="BA131" i="36" s="1"/>
  <c r="E130" i="36"/>
  <c r="BA130" i="36" s="1"/>
  <c r="Q130" i="36"/>
  <c r="Q131" i="36"/>
  <c r="Q138" i="36" s="1"/>
  <c r="Q139" i="36" s="1"/>
  <c r="AY167" i="37"/>
  <c r="I98" i="37"/>
  <c r="AC131" i="37"/>
  <c r="AC130" i="37"/>
  <c r="BA192" i="38"/>
  <c r="BB183" i="38"/>
  <c r="BB192" i="38" s="1"/>
  <c r="BB76" i="38"/>
  <c r="AU99" i="38"/>
  <c r="AO207" i="38"/>
  <c r="AO220" i="38" s="1"/>
  <c r="AO221" i="38" s="1"/>
  <c r="D133" i="49"/>
  <c r="G108" i="36"/>
  <c r="G109" i="36" s="1"/>
  <c r="D108" i="49"/>
  <c r="E86" i="47"/>
  <c r="E220" i="47" s="1"/>
  <c r="E225" i="47" s="1"/>
  <c r="F86" i="47"/>
  <c r="F220" i="47" s="1"/>
  <c r="F225" i="47" s="1"/>
  <c r="D242" i="47"/>
  <c r="D221" i="47"/>
  <c r="AU207" i="38"/>
  <c r="AU220" i="38" s="1"/>
  <c r="AU221" i="38" s="1"/>
  <c r="AS138" i="38"/>
  <c r="AS139" i="38" s="1"/>
  <c r="AS207" i="38" s="1"/>
  <c r="AS220" i="38" s="1"/>
  <c r="AS221" i="38" s="1"/>
  <c r="W89" i="38"/>
  <c r="Y29" i="37"/>
  <c r="Q192" i="37"/>
  <c r="AX87" i="36"/>
  <c r="BB87" i="36" s="1"/>
  <c r="R141" i="36"/>
  <c r="D141" i="53" s="1"/>
  <c r="AN207" i="36"/>
  <c r="AU207" i="36"/>
  <c r="AU220" i="36" s="1"/>
  <c r="AU221" i="36" s="1"/>
  <c r="Q86" i="36"/>
  <c r="AO138" i="37"/>
  <c r="AO139" i="37" s="1"/>
  <c r="AO207" i="37" s="1"/>
  <c r="AO220" i="37" s="1"/>
  <c r="AO221" i="37" s="1"/>
  <c r="D66" i="39"/>
  <c r="K167" i="38"/>
  <c r="K85" i="38"/>
  <c r="K98" i="38" s="1"/>
  <c r="E98" i="38"/>
  <c r="W167" i="38"/>
  <c r="W85" i="38"/>
  <c r="AC167" i="38"/>
  <c r="AC85" i="38"/>
  <c r="AN167" i="38"/>
  <c r="AN207" i="38" s="1"/>
  <c r="Q167" i="38"/>
  <c r="Q85" i="38"/>
  <c r="Q98" i="38" s="1"/>
  <c r="AB167" i="37"/>
  <c r="V167" i="37"/>
  <c r="AN167" i="37"/>
  <c r="F66" i="39"/>
  <c r="W192" i="38"/>
  <c r="X183" i="38"/>
  <c r="T151" i="37"/>
  <c r="E74" i="39"/>
  <c r="E146" i="39"/>
  <c r="B151" i="37"/>
  <c r="D167" i="37"/>
  <c r="F74" i="43"/>
  <c r="L74" i="43" s="1"/>
  <c r="E30" i="43"/>
  <c r="K30" i="43" s="1"/>
  <c r="F30" i="43"/>
  <c r="L30" i="43" s="1"/>
  <c r="G74" i="43"/>
  <c r="M74" i="43" s="1"/>
  <c r="G30" i="43"/>
  <c r="M30" i="43" s="1"/>
  <c r="G19" i="44"/>
  <c r="AT207" i="38"/>
  <c r="AT220" i="38" s="1"/>
  <c r="AT221" i="38" s="1"/>
  <c r="L88" i="37"/>
  <c r="E88" i="50" s="1"/>
  <c r="B151" i="36"/>
  <c r="H151" i="36"/>
  <c r="E74" i="43"/>
  <c r="K74" i="43" s="1"/>
  <c r="E86" i="36"/>
  <c r="L141" i="36"/>
  <c r="D141" i="50" s="1"/>
  <c r="V167" i="36"/>
  <c r="E89" i="36"/>
  <c r="J167" i="36"/>
  <c r="E19" i="44"/>
  <c r="Q192" i="36"/>
  <c r="R183" i="36"/>
  <c r="F200" i="39"/>
  <c r="V167" i="38"/>
  <c r="F88" i="39"/>
  <c r="T151" i="38"/>
  <c r="G53" i="45"/>
  <c r="F25" i="39"/>
  <c r="AC138" i="38"/>
  <c r="AC139" i="38" s="1"/>
  <c r="P167" i="37"/>
  <c r="J167" i="37"/>
  <c r="E200" i="39"/>
  <c r="E99" i="37"/>
  <c r="K138" i="37"/>
  <c r="K139" i="37" s="1"/>
  <c r="K207" i="37" s="1"/>
  <c r="K220" i="37" s="1"/>
  <c r="K221" i="37" s="1"/>
  <c r="AN138" i="37"/>
  <c r="AN139" i="37" s="1"/>
  <c r="AN207" i="37" s="1"/>
  <c r="F53" i="45"/>
  <c r="AU99" i="37"/>
  <c r="AV89" i="37"/>
  <c r="F9" i="44"/>
  <c r="F19" i="44" s="1"/>
  <c r="E39" i="39"/>
  <c r="E64" i="39" s="1"/>
  <c r="E66" i="39" s="1"/>
  <c r="R87" i="37"/>
  <c r="E87" i="53" s="1"/>
  <c r="R88" i="37"/>
  <c r="E88" i="53" s="1"/>
  <c r="F127" i="45"/>
  <c r="X76" i="36"/>
  <c r="W89" i="36"/>
  <c r="W99" i="36" s="1"/>
  <c r="E53" i="45"/>
  <c r="D200" i="39"/>
  <c r="D145" i="39"/>
  <c r="AB167" i="36"/>
  <c r="E137" i="39"/>
  <c r="AC138" i="36"/>
  <c r="AC139" i="36" s="1"/>
  <c r="AC207" i="36" s="1"/>
  <c r="AC220" i="36" s="1"/>
  <c r="AC221" i="36" s="1"/>
  <c r="W138" i="38"/>
  <c r="W139" i="38" s="1"/>
  <c r="B167" i="37"/>
  <c r="AR85" i="38"/>
  <c r="AV158" i="38"/>
  <c r="AV167" i="38" s="1"/>
  <c r="AR167" i="38"/>
  <c r="AV70" i="38"/>
  <c r="L87" i="38"/>
  <c r="F87" i="50" s="1"/>
  <c r="L88" i="38"/>
  <c r="F88" i="50" s="1"/>
  <c r="L158" i="38"/>
  <c r="F158" i="50" s="1"/>
  <c r="H85" i="38"/>
  <c r="H86" i="38" s="1"/>
  <c r="T165" i="38"/>
  <c r="X165" i="38" s="1"/>
  <c r="F165" i="52" s="1"/>
  <c r="T164" i="38"/>
  <c r="X164" i="38" s="1"/>
  <c r="F164" i="52" s="1"/>
  <c r="T163" i="38"/>
  <c r="B151" i="38"/>
  <c r="F147" i="38"/>
  <c r="F147" i="49" s="1"/>
  <c r="L157" i="38"/>
  <c r="F157" i="50" s="1"/>
  <c r="F158" i="38"/>
  <c r="F158" i="49" s="1"/>
  <c r="B85" i="38"/>
  <c r="K138" i="38"/>
  <c r="K139" i="38" s="1"/>
  <c r="H95" i="38"/>
  <c r="AX95" i="38" s="1"/>
  <c r="BB95" i="38" s="1"/>
  <c r="L82" i="38"/>
  <c r="AA167" i="38"/>
  <c r="AA85" i="38"/>
  <c r="AA98" i="38" s="1"/>
  <c r="X87" i="38"/>
  <c r="F87" i="52" s="1"/>
  <c r="X88" i="38"/>
  <c r="F88" i="52" s="1"/>
  <c r="C85" i="38"/>
  <c r="C167" i="38"/>
  <c r="F146" i="38"/>
  <c r="F146" i="49" s="1"/>
  <c r="D167" i="38"/>
  <c r="D85" i="38"/>
  <c r="AZ85" i="38" s="1"/>
  <c r="H151" i="38"/>
  <c r="K192" i="38"/>
  <c r="L183" i="38"/>
  <c r="F88" i="38"/>
  <c r="F88" i="49" s="1"/>
  <c r="F87" i="38"/>
  <c r="F87" i="49" s="1"/>
  <c r="B163" i="38"/>
  <c r="B164" i="38"/>
  <c r="B165" i="38"/>
  <c r="AP158" i="38"/>
  <c r="AP167" i="38" s="1"/>
  <c r="AL85" i="38"/>
  <c r="Z163" i="38"/>
  <c r="Z164" i="38"/>
  <c r="AD164" i="38" s="1"/>
  <c r="F164" i="51" s="1"/>
  <c r="Z165" i="38"/>
  <c r="AD165" i="38" s="1"/>
  <c r="F165" i="51" s="1"/>
  <c r="F145" i="38"/>
  <c r="F145" i="49" s="1"/>
  <c r="H165" i="38"/>
  <c r="L165" i="38" s="1"/>
  <c r="F165" i="50" s="1"/>
  <c r="H163" i="38"/>
  <c r="L163" i="38" s="1"/>
  <c r="F163" i="50" s="1"/>
  <c r="H164" i="38"/>
  <c r="L164" i="38" s="1"/>
  <c r="F164" i="50" s="1"/>
  <c r="AD88" i="38"/>
  <c r="F88" i="51" s="1"/>
  <c r="AD87" i="38"/>
  <c r="F87" i="51" s="1"/>
  <c r="Q89" i="38"/>
  <c r="Q99" i="38" s="1"/>
  <c r="Q86" i="38"/>
  <c r="R76" i="38"/>
  <c r="F76" i="53" s="1"/>
  <c r="F75" i="39"/>
  <c r="F75" i="38"/>
  <c r="F75" i="49" s="1"/>
  <c r="I167" i="38"/>
  <c r="I85" i="38"/>
  <c r="F155" i="39"/>
  <c r="AB167" i="38"/>
  <c r="Q138" i="38"/>
  <c r="Q139" i="38" s="1"/>
  <c r="E89" i="38"/>
  <c r="E86" i="38"/>
  <c r="F76" i="38"/>
  <c r="F148" i="38"/>
  <c r="F148" i="49" s="1"/>
  <c r="F157" i="38"/>
  <c r="F157" i="49" s="1"/>
  <c r="O167" i="38"/>
  <c r="O85" i="38"/>
  <c r="O98" i="38" s="1"/>
  <c r="N151" i="38"/>
  <c r="P167" i="38"/>
  <c r="K89" i="38"/>
  <c r="L76" i="38"/>
  <c r="AL167" i="38"/>
  <c r="AN98" i="38"/>
  <c r="AN86" i="38"/>
  <c r="E192" i="38"/>
  <c r="F183" i="38"/>
  <c r="N167" i="38"/>
  <c r="R157" i="38"/>
  <c r="F157" i="53" s="1"/>
  <c r="J167" i="38"/>
  <c r="X158" i="38"/>
  <c r="F158" i="52" s="1"/>
  <c r="T85" i="38"/>
  <c r="T86" i="38" s="1"/>
  <c r="AM98" i="38"/>
  <c r="AM99" i="38" s="1"/>
  <c r="AM86" i="38"/>
  <c r="R183" i="38"/>
  <c r="Q192" i="38"/>
  <c r="U167" i="38"/>
  <c r="U85" i="38"/>
  <c r="U98" i="38" s="1"/>
  <c r="AD158" i="38"/>
  <c r="F158" i="51" s="1"/>
  <c r="Z85" i="38"/>
  <c r="R158" i="38"/>
  <c r="F158" i="53" s="1"/>
  <c r="N85" i="38"/>
  <c r="E167" i="38"/>
  <c r="E75" i="39"/>
  <c r="AV158" i="37"/>
  <c r="AV167" i="37" s="1"/>
  <c r="AR85" i="37"/>
  <c r="AT85" i="37"/>
  <c r="AT167" i="37"/>
  <c r="AT207" i="37" s="1"/>
  <c r="AS85" i="37"/>
  <c r="AS167" i="37"/>
  <c r="AS207" i="37" s="1"/>
  <c r="AR167" i="37"/>
  <c r="U167" i="37"/>
  <c r="U85" i="37"/>
  <c r="U98" i="37" s="1"/>
  <c r="F164" i="37"/>
  <c r="E164" i="49" s="1"/>
  <c r="E155" i="39"/>
  <c r="AD158" i="37"/>
  <c r="Z85" i="37"/>
  <c r="E108" i="39"/>
  <c r="L158" i="37"/>
  <c r="H85" i="37"/>
  <c r="H86" i="37" s="1"/>
  <c r="AL167" i="37"/>
  <c r="W138" i="37"/>
  <c r="W139" i="37" s="1"/>
  <c r="W207" i="37" s="1"/>
  <c r="W220" i="37" s="1"/>
  <c r="W221" i="37" s="1"/>
  <c r="D85" i="37"/>
  <c r="AZ85" i="37" s="1"/>
  <c r="T164" i="37"/>
  <c r="X164" i="37" s="1"/>
  <c r="E164" i="52" s="1"/>
  <c r="T165" i="37"/>
  <c r="X165" i="37" s="1"/>
  <c r="E165" i="52" s="1"/>
  <c r="T163" i="37"/>
  <c r="X88" i="37"/>
  <c r="E88" i="52" s="1"/>
  <c r="X87" i="37"/>
  <c r="E87" i="52" s="1"/>
  <c r="AM98" i="37"/>
  <c r="AM99" i="37" s="1"/>
  <c r="AM86" i="37"/>
  <c r="O167" i="37"/>
  <c r="O85" i="37"/>
  <c r="O98" i="37" s="1"/>
  <c r="AA167" i="37"/>
  <c r="AA85" i="37"/>
  <c r="AA98" i="37" s="1"/>
  <c r="R158" i="37"/>
  <c r="N85" i="37"/>
  <c r="F163" i="37"/>
  <c r="E163" i="49" s="1"/>
  <c r="H95" i="37"/>
  <c r="L82" i="37"/>
  <c r="AP158" i="37"/>
  <c r="AP167" i="37" s="1"/>
  <c r="AL85" i="37"/>
  <c r="Z167" i="37"/>
  <c r="E167" i="37"/>
  <c r="F158" i="37"/>
  <c r="E158" i="49" s="1"/>
  <c r="B85" i="37"/>
  <c r="C85" i="37"/>
  <c r="C167" i="37"/>
  <c r="N167" i="37"/>
  <c r="H167" i="37"/>
  <c r="F165" i="37"/>
  <c r="E165" i="49" s="1"/>
  <c r="X158" i="37"/>
  <c r="E158" i="52" s="1"/>
  <c r="T85" i="37"/>
  <c r="T86" i="37" s="1"/>
  <c r="AN98" i="37"/>
  <c r="AN86" i="37"/>
  <c r="D161" i="39"/>
  <c r="Z151" i="36"/>
  <c r="D157" i="39"/>
  <c r="X154" i="36"/>
  <c r="D154" i="52" s="1"/>
  <c r="D154" i="39"/>
  <c r="K154" i="39" s="1"/>
  <c r="D148" i="39"/>
  <c r="X157" i="36"/>
  <c r="D157" i="52" s="1"/>
  <c r="D147" i="39"/>
  <c r="T151" i="36"/>
  <c r="W192" i="36"/>
  <c r="X183" i="36"/>
  <c r="AL167" i="36"/>
  <c r="AT85" i="36"/>
  <c r="AT167" i="36"/>
  <c r="AT207" i="36" s="1"/>
  <c r="AR167" i="36"/>
  <c r="AV158" i="36"/>
  <c r="AV167" i="36" s="1"/>
  <c r="AR85" i="36"/>
  <c r="AV70" i="36"/>
  <c r="AS207" i="36"/>
  <c r="AS220" i="36" s="1"/>
  <c r="AS221" i="36" s="1"/>
  <c r="L74" i="36"/>
  <c r="D74" i="50" s="1"/>
  <c r="D155" i="39"/>
  <c r="C98" i="36"/>
  <c r="X87" i="36"/>
  <c r="D87" i="52" s="1"/>
  <c r="X88" i="36"/>
  <c r="D88" i="52" s="1"/>
  <c r="D85" i="36"/>
  <c r="L158" i="36"/>
  <c r="D158" i="50" s="1"/>
  <c r="H85" i="36"/>
  <c r="H86" i="36" s="1"/>
  <c r="AD74" i="36"/>
  <c r="D74" i="51" s="1"/>
  <c r="AB98" i="36"/>
  <c r="V98" i="36"/>
  <c r="F75" i="36"/>
  <c r="D75" i="49" s="1"/>
  <c r="F88" i="36"/>
  <c r="D88" i="49" s="1"/>
  <c r="F87" i="36"/>
  <c r="D87" i="49" s="1"/>
  <c r="H163" i="36"/>
  <c r="H164" i="36"/>
  <c r="L164" i="36" s="1"/>
  <c r="D164" i="50" s="1"/>
  <c r="H165" i="36"/>
  <c r="L165" i="36" s="1"/>
  <c r="D165" i="50" s="1"/>
  <c r="R74" i="36"/>
  <c r="D74" i="53" s="1"/>
  <c r="K138" i="36"/>
  <c r="K139" i="36" s="1"/>
  <c r="K207" i="36" s="1"/>
  <c r="K220" i="36" s="1"/>
  <c r="K221" i="36" s="1"/>
  <c r="X74" i="36"/>
  <c r="D74" i="52" s="1"/>
  <c r="X158" i="36"/>
  <c r="D158" i="52" s="1"/>
  <c r="T85" i="36"/>
  <c r="AD158" i="36"/>
  <c r="D158" i="51" s="1"/>
  <c r="Z85" i="36"/>
  <c r="Z86" i="36" s="1"/>
  <c r="I98" i="36"/>
  <c r="AM167" i="36"/>
  <c r="AM85" i="36"/>
  <c r="B86" i="36"/>
  <c r="F74" i="36"/>
  <c r="D74" i="49" s="1"/>
  <c r="AO138" i="36"/>
  <c r="AO139" i="36" s="1"/>
  <c r="AO207" i="36" s="1"/>
  <c r="AO220" i="36" s="1"/>
  <c r="AO221" i="36" s="1"/>
  <c r="B98" i="36"/>
  <c r="P98" i="36"/>
  <c r="L88" i="36"/>
  <c r="D88" i="50" s="1"/>
  <c r="L87" i="36"/>
  <c r="D87" i="50" s="1"/>
  <c r="E167" i="36"/>
  <c r="N165" i="36"/>
  <c r="R165" i="36" s="1"/>
  <c r="D165" i="53" s="1"/>
  <c r="N163" i="36"/>
  <c r="N164" i="36"/>
  <c r="R164" i="36" s="1"/>
  <c r="D164" i="53" s="1"/>
  <c r="U167" i="36"/>
  <c r="U85" i="36"/>
  <c r="P167" i="36"/>
  <c r="R158" i="36"/>
  <c r="D158" i="53" s="1"/>
  <c r="N85" i="36"/>
  <c r="N86" i="36" s="1"/>
  <c r="AA167" i="36"/>
  <c r="AA85" i="36"/>
  <c r="W138" i="36"/>
  <c r="W139" i="36" s="1"/>
  <c r="R88" i="36"/>
  <c r="D88" i="53" s="1"/>
  <c r="R87" i="36"/>
  <c r="D87" i="53" s="1"/>
  <c r="O167" i="36"/>
  <c r="O85" i="36"/>
  <c r="T163" i="36"/>
  <c r="X163" i="36" s="1"/>
  <c r="D163" i="52" s="1"/>
  <c r="T164" i="36"/>
  <c r="X164" i="36" s="1"/>
  <c r="D164" i="52" s="1"/>
  <c r="T165" i="36"/>
  <c r="X165" i="36" s="1"/>
  <c r="D165" i="52" s="1"/>
  <c r="AD87" i="36"/>
  <c r="D87" i="51" s="1"/>
  <c r="AD88" i="36"/>
  <c r="D88" i="51" s="1"/>
  <c r="Z165" i="36"/>
  <c r="AD165" i="36" s="1"/>
  <c r="D165" i="51" s="1"/>
  <c r="Z164" i="36"/>
  <c r="AD164" i="36" s="1"/>
  <c r="D164" i="51" s="1"/>
  <c r="Z163" i="36"/>
  <c r="B165" i="36"/>
  <c r="B163" i="36"/>
  <c r="B164" i="36"/>
  <c r="AP158" i="36"/>
  <c r="AP167" i="36" s="1"/>
  <c r="AL85" i="36"/>
  <c r="AX85" i="36" l="1"/>
  <c r="AX86" i="36" s="1"/>
  <c r="AX85" i="38"/>
  <c r="AX86" i="38" s="1"/>
  <c r="AY85" i="36"/>
  <c r="G75" i="45"/>
  <c r="G85" i="45" s="1"/>
  <c r="AX85" i="37"/>
  <c r="AX86" i="37" s="1"/>
  <c r="K19" i="39"/>
  <c r="K29" i="39" s="1"/>
  <c r="L19" i="50"/>
  <c r="L29" i="50" s="1"/>
  <c r="AX163" i="36"/>
  <c r="F167" i="53"/>
  <c r="E138" i="38"/>
  <c r="E139" i="38" s="1"/>
  <c r="BA89" i="38"/>
  <c r="AX164" i="38"/>
  <c r="BB164" i="38" s="1"/>
  <c r="F75" i="45"/>
  <c r="F85" i="45" s="1"/>
  <c r="G167" i="49"/>
  <c r="BB158" i="37"/>
  <c r="BB158" i="38"/>
  <c r="BB158" i="36"/>
  <c r="J120" i="48"/>
  <c r="J119" i="48"/>
  <c r="J123" i="48"/>
  <c r="J108" i="48"/>
  <c r="J122" i="48"/>
  <c r="J121" i="48"/>
  <c r="L122" i="48"/>
  <c r="L121" i="48"/>
  <c r="L123" i="48"/>
  <c r="L108" i="48"/>
  <c r="K108" i="48"/>
  <c r="K122" i="48"/>
  <c r="K123" i="48"/>
  <c r="K120" i="48"/>
  <c r="K121" i="48"/>
  <c r="R192" i="38"/>
  <c r="F183" i="53"/>
  <c r="L192" i="38"/>
  <c r="F183" i="50"/>
  <c r="F192" i="50" s="1"/>
  <c r="BB157" i="37"/>
  <c r="E157" i="39" s="1"/>
  <c r="X27" i="48"/>
  <c r="X31" i="48" s="1"/>
  <c r="BA86" i="37"/>
  <c r="BB76" i="37"/>
  <c r="E76" i="39" s="1"/>
  <c r="V27" i="48"/>
  <c r="J67" i="48" s="1"/>
  <c r="E192" i="53"/>
  <c r="BA192" i="37"/>
  <c r="BB183" i="37"/>
  <c r="BB192" i="37" s="1"/>
  <c r="F85" i="36"/>
  <c r="AZ85" i="36"/>
  <c r="F192" i="38"/>
  <c r="F183" i="49"/>
  <c r="F192" i="49" s="1"/>
  <c r="F89" i="38"/>
  <c r="F89" i="49" s="1"/>
  <c r="F76" i="49"/>
  <c r="AX163" i="38"/>
  <c r="BB163" i="38" s="1"/>
  <c r="F163" i="39" s="1"/>
  <c r="L95" i="38"/>
  <c r="F95" i="50" s="1"/>
  <c r="F82" i="50"/>
  <c r="X192" i="38"/>
  <c r="F183" i="52"/>
  <c r="F192" i="52" s="1"/>
  <c r="K19" i="50"/>
  <c r="K29" i="50" s="1"/>
  <c r="BB87" i="37"/>
  <c r="AX2" i="37"/>
  <c r="BB2" i="37" s="1"/>
  <c r="W27" i="48"/>
  <c r="K67" i="48" s="1"/>
  <c r="E130" i="42"/>
  <c r="E131" i="42"/>
  <c r="BA131" i="42" s="1"/>
  <c r="BB141" i="36"/>
  <c r="D141" i="39" s="1"/>
  <c r="AX151" i="36"/>
  <c r="J27" i="48"/>
  <c r="F89" i="37"/>
  <c r="E89" i="49" s="1"/>
  <c r="E76" i="49"/>
  <c r="X26" i="48"/>
  <c r="L47" i="48" s="1"/>
  <c r="AX165" i="37"/>
  <c r="BB165" i="37" s="1"/>
  <c r="F192" i="37"/>
  <c r="E183" i="49"/>
  <c r="E192" i="49" s="1"/>
  <c r="D167" i="52"/>
  <c r="F167" i="50"/>
  <c r="W207" i="38"/>
  <c r="X89" i="36"/>
  <c r="D89" i="52" s="1"/>
  <c r="D76" i="52"/>
  <c r="R192" i="36"/>
  <c r="D183" i="53"/>
  <c r="AN220" i="36"/>
  <c r="AN221" i="36" s="1"/>
  <c r="BA131" i="38"/>
  <c r="BA138" i="38" s="1"/>
  <c r="BA139" i="38" s="1"/>
  <c r="G153" i="39"/>
  <c r="E167" i="49"/>
  <c r="BA85" i="38"/>
  <c r="BA86" i="38" s="1"/>
  <c r="AX164" i="37"/>
  <c r="BB164" i="37" s="1"/>
  <c r="F167" i="42"/>
  <c r="L19" i="51"/>
  <c r="L29" i="51" s="1"/>
  <c r="V26" i="48"/>
  <c r="J47" i="48" s="1"/>
  <c r="F89" i="36"/>
  <c r="D89" i="49" s="1"/>
  <c r="D76" i="49"/>
  <c r="W28" i="48"/>
  <c r="W26" i="48"/>
  <c r="K47" i="48" s="1"/>
  <c r="K27" i="48"/>
  <c r="M19" i="50"/>
  <c r="M29" i="50" s="1"/>
  <c r="BB159" i="42"/>
  <c r="G159" i="39" s="1"/>
  <c r="AX167" i="42"/>
  <c r="AX95" i="37"/>
  <c r="F192" i="36"/>
  <c r="D183" i="49"/>
  <c r="D192" i="49" s="1"/>
  <c r="BB141" i="38"/>
  <c r="AX151" i="38"/>
  <c r="AX2" i="38"/>
  <c r="BB2" i="38" s="1"/>
  <c r="BB87" i="38"/>
  <c r="L27" i="48"/>
  <c r="AX163" i="37"/>
  <c r="BB163" i="37" s="1"/>
  <c r="E163" i="39" s="1"/>
  <c r="B86" i="38"/>
  <c r="G117" i="45"/>
  <c r="G127" i="45" s="1"/>
  <c r="BA86" i="36"/>
  <c r="BB76" i="36"/>
  <c r="D76" i="39" s="1"/>
  <c r="L87" i="48"/>
  <c r="X28" i="48"/>
  <c r="W22" i="48"/>
  <c r="X22" i="48"/>
  <c r="X192" i="36"/>
  <c r="D183" i="52"/>
  <c r="D192" i="52" s="1"/>
  <c r="L95" i="37"/>
  <c r="E95" i="50" s="1"/>
  <c r="E82" i="50"/>
  <c r="R167" i="37"/>
  <c r="E158" i="53"/>
  <c r="L89" i="38"/>
  <c r="F89" i="50" s="1"/>
  <c r="F76" i="50"/>
  <c r="AX165" i="38"/>
  <c r="BB165" i="38" s="1"/>
  <c r="E99" i="36"/>
  <c r="BA89" i="36"/>
  <c r="J87" i="48"/>
  <c r="V28" i="48"/>
  <c r="AD192" i="38"/>
  <c r="F183" i="51"/>
  <c r="F192" i="51" s="1"/>
  <c r="BA89" i="37"/>
  <c r="BA192" i="36"/>
  <c r="BB183" i="36"/>
  <c r="BB192" i="36" s="1"/>
  <c r="BB157" i="38"/>
  <c r="F157" i="39" s="1"/>
  <c r="F96" i="45"/>
  <c r="F106" i="45" s="1"/>
  <c r="M19" i="49"/>
  <c r="M29" i="49" s="1"/>
  <c r="BB141" i="37"/>
  <c r="AX151" i="37"/>
  <c r="AZ167" i="38"/>
  <c r="AZ167" i="37"/>
  <c r="G96" i="45"/>
  <c r="G106" i="45" s="1"/>
  <c r="AZ167" i="36"/>
  <c r="BA207" i="38"/>
  <c r="BA130" i="37"/>
  <c r="BA131" i="37"/>
  <c r="BA138" i="36"/>
  <c r="BA139" i="36" s="1"/>
  <c r="AD167" i="37"/>
  <c r="E158" i="51"/>
  <c r="AY85" i="37"/>
  <c r="BB85" i="37" s="1"/>
  <c r="I98" i="38"/>
  <c r="AY85" i="38"/>
  <c r="L167" i="37"/>
  <c r="E158" i="50"/>
  <c r="E167" i="50" s="1"/>
  <c r="E22" i="44"/>
  <c r="BB89" i="38"/>
  <c r="AC207" i="38"/>
  <c r="E99" i="47"/>
  <c r="F228" i="47"/>
  <c r="F237" i="47" s="1"/>
  <c r="F71" i="47"/>
  <c r="F99" i="47"/>
  <c r="E71" i="47"/>
  <c r="E228" i="47"/>
  <c r="E237" i="47" s="1"/>
  <c r="F95" i="39"/>
  <c r="R167" i="38"/>
  <c r="AX165" i="36"/>
  <c r="BB165" i="36" s="1"/>
  <c r="D165" i="39" s="1"/>
  <c r="AX164" i="36"/>
  <c r="BB164" i="36" s="1"/>
  <c r="AX2" i="36"/>
  <c r="BB2" i="36" s="1"/>
  <c r="BB163" i="36"/>
  <c r="W207" i="36"/>
  <c r="W220" i="36" s="1"/>
  <c r="W221" i="36" s="1"/>
  <c r="AN220" i="38"/>
  <c r="AN221" i="38" s="1"/>
  <c r="K86" i="38"/>
  <c r="W98" i="38"/>
  <c r="W99" i="38" s="1"/>
  <c r="W86" i="38"/>
  <c r="K99" i="38"/>
  <c r="AC98" i="38"/>
  <c r="AC99" i="38" s="1"/>
  <c r="AC86" i="38"/>
  <c r="G22" i="44"/>
  <c r="Q207" i="36"/>
  <c r="Q220" i="36" s="1"/>
  <c r="Q221" i="36" s="1"/>
  <c r="E99" i="38"/>
  <c r="F89" i="39"/>
  <c r="E183" i="39"/>
  <c r="E192" i="39" s="1"/>
  <c r="F22" i="44"/>
  <c r="F129" i="45"/>
  <c r="F137" i="45" s="1"/>
  <c r="F138" i="45" s="1"/>
  <c r="B99" i="36"/>
  <c r="D132" i="39"/>
  <c r="E129" i="45"/>
  <c r="E137" i="45" s="1"/>
  <c r="E138" i="45" s="1"/>
  <c r="E207" i="38"/>
  <c r="E220" i="38" s="1"/>
  <c r="E221" i="38" s="1"/>
  <c r="AN220" i="37"/>
  <c r="AN221" i="37" s="1"/>
  <c r="D108" i="39"/>
  <c r="E165" i="39"/>
  <c r="B167" i="38"/>
  <c r="AV85" i="38"/>
  <c r="AR98" i="38"/>
  <c r="AR86" i="38"/>
  <c r="AR138" i="38"/>
  <c r="AR139" i="38" s="1"/>
  <c r="AR207" i="38" s="1"/>
  <c r="AV138" i="38"/>
  <c r="AV139" i="38" s="1"/>
  <c r="Z98" i="38"/>
  <c r="Z99" i="38" s="1"/>
  <c r="AD85" i="38"/>
  <c r="R89" i="38"/>
  <c r="F89" i="53" s="1"/>
  <c r="N98" i="38"/>
  <c r="N99" i="38" s="1"/>
  <c r="R85" i="38"/>
  <c r="N86" i="38"/>
  <c r="AD163" i="38"/>
  <c r="Z167" i="38"/>
  <c r="AL98" i="38"/>
  <c r="AL99" i="38" s="1"/>
  <c r="AP85" i="38"/>
  <c r="AL86" i="38"/>
  <c r="F164" i="38"/>
  <c r="F164" i="49" s="1"/>
  <c r="F164" i="39"/>
  <c r="D98" i="38"/>
  <c r="AZ98" i="38" s="1"/>
  <c r="F82" i="39"/>
  <c r="K207" i="38"/>
  <c r="K220" i="38" s="1"/>
  <c r="K221" i="38" s="1"/>
  <c r="H167" i="38"/>
  <c r="F158" i="39"/>
  <c r="F132" i="39"/>
  <c r="F163" i="38"/>
  <c r="F163" i="49" s="1"/>
  <c r="C98" i="38"/>
  <c r="Z86" i="38"/>
  <c r="B98" i="38"/>
  <c r="F85" i="38"/>
  <c r="Q207" i="38"/>
  <c r="Q220" i="38" s="1"/>
  <c r="Q221" i="38" s="1"/>
  <c r="T98" i="38"/>
  <c r="T99" i="38" s="1"/>
  <c r="X85" i="38"/>
  <c r="L167" i="38"/>
  <c r="F76" i="39"/>
  <c r="F165" i="39"/>
  <c r="F165" i="38"/>
  <c r="F165" i="49" s="1"/>
  <c r="F154" i="39"/>
  <c r="M154" i="39" s="1"/>
  <c r="X163" i="38"/>
  <c r="T167" i="38"/>
  <c r="H98" i="38"/>
  <c r="H99" i="38" s="1"/>
  <c r="L85" i="38"/>
  <c r="AV85" i="37"/>
  <c r="AR98" i="37"/>
  <c r="AR86" i="37"/>
  <c r="AT98" i="37"/>
  <c r="AT86" i="37"/>
  <c r="AT220" i="37" s="1"/>
  <c r="AT221" i="37" s="1"/>
  <c r="AS98" i="37"/>
  <c r="AS99" i="37" s="1"/>
  <c r="AS86" i="37"/>
  <c r="AS220" i="37" s="1"/>
  <c r="AS221" i="37" s="1"/>
  <c r="AR138" i="37"/>
  <c r="AR139" i="37" s="1"/>
  <c r="AR207" i="37" s="1"/>
  <c r="AV138" i="37"/>
  <c r="AV139" i="37" s="1"/>
  <c r="D98" i="37"/>
  <c r="AZ98" i="37" s="1"/>
  <c r="Z98" i="37"/>
  <c r="Z99" i="37" s="1"/>
  <c r="AD85" i="37"/>
  <c r="E85" i="51" s="1"/>
  <c r="Z86" i="37"/>
  <c r="B98" i="37"/>
  <c r="F85" i="37"/>
  <c r="B86" i="37"/>
  <c r="E82" i="39"/>
  <c r="X163" i="37"/>
  <c r="T167" i="37"/>
  <c r="E132" i="39"/>
  <c r="F167" i="37"/>
  <c r="AL98" i="37"/>
  <c r="AL99" i="37" s="1"/>
  <c r="AP85" i="37"/>
  <c r="AL86" i="37"/>
  <c r="H98" i="37"/>
  <c r="H99" i="37" s="1"/>
  <c r="L85" i="37"/>
  <c r="Q138" i="37"/>
  <c r="Q139" i="37" s="1"/>
  <c r="Q207" i="37" s="1"/>
  <c r="Q220" i="37" s="1"/>
  <c r="Q221" i="37" s="1"/>
  <c r="AC138" i="37"/>
  <c r="AC139" i="37" s="1"/>
  <c r="AC207" i="37" s="1"/>
  <c r="AC220" i="37" s="1"/>
  <c r="AC221" i="37" s="1"/>
  <c r="T98" i="37"/>
  <c r="T99" i="37" s="1"/>
  <c r="X85" i="37"/>
  <c r="C98" i="37"/>
  <c r="E158" i="39"/>
  <c r="N98" i="37"/>
  <c r="N99" i="37" s="1"/>
  <c r="R85" i="37"/>
  <c r="N86" i="37"/>
  <c r="E138" i="37"/>
  <c r="E139" i="37" s="1"/>
  <c r="E207" i="37" s="1"/>
  <c r="E220" i="37" s="1"/>
  <c r="E221" i="37" s="1"/>
  <c r="E164" i="39"/>
  <c r="X167" i="36"/>
  <c r="AR98" i="36"/>
  <c r="AR99" i="36" s="1"/>
  <c r="AV85" i="36"/>
  <c r="AR86" i="36"/>
  <c r="AT98" i="36"/>
  <c r="AT86" i="36"/>
  <c r="AT220" i="36" s="1"/>
  <c r="AT221" i="36" s="1"/>
  <c r="AR138" i="36"/>
  <c r="AR139" i="36" s="1"/>
  <c r="AR207" i="36" s="1"/>
  <c r="AV138" i="36"/>
  <c r="AV139" i="36" s="1"/>
  <c r="AA98" i="36"/>
  <c r="D164" i="39"/>
  <c r="F164" i="36"/>
  <c r="D164" i="49" s="1"/>
  <c r="T167" i="36"/>
  <c r="T98" i="36"/>
  <c r="T99" i="36" s="1"/>
  <c r="X85" i="36"/>
  <c r="T86" i="36"/>
  <c r="D98" i="36"/>
  <c r="D74" i="39"/>
  <c r="AL98" i="36"/>
  <c r="AL99" i="36" s="1"/>
  <c r="AP85" i="36"/>
  <c r="AL86" i="36"/>
  <c r="F163" i="36"/>
  <c r="D163" i="49" s="1"/>
  <c r="B167" i="36"/>
  <c r="D158" i="39"/>
  <c r="N98" i="36"/>
  <c r="N99" i="36" s="1"/>
  <c r="R85" i="36"/>
  <c r="R163" i="36"/>
  <c r="N167" i="36"/>
  <c r="AM98" i="36"/>
  <c r="AM99" i="36" s="1"/>
  <c r="AM86" i="36"/>
  <c r="L85" i="36"/>
  <c r="H98" i="36"/>
  <c r="H99" i="36" s="1"/>
  <c r="F165" i="36"/>
  <c r="D165" i="49" s="1"/>
  <c r="AD163" i="36"/>
  <c r="Z167" i="36"/>
  <c r="O98" i="36"/>
  <c r="U98" i="36"/>
  <c r="E138" i="36"/>
  <c r="E139" i="36" s="1"/>
  <c r="E207" i="36" s="1"/>
  <c r="E220" i="36" s="1"/>
  <c r="E221" i="36" s="1"/>
  <c r="Z98" i="36"/>
  <c r="Z99" i="36" s="1"/>
  <c r="AD85" i="36"/>
  <c r="L163" i="36"/>
  <c r="H167" i="36"/>
  <c r="D167" i="49" l="1"/>
  <c r="W31" i="48"/>
  <c r="W220" i="38"/>
  <c r="W221" i="38" s="1"/>
  <c r="V31" i="48"/>
  <c r="F167" i="49"/>
  <c r="BA207" i="36"/>
  <c r="BA220" i="36" s="1"/>
  <c r="BA221" i="36" s="1"/>
  <c r="BA220" i="38"/>
  <c r="BA221" i="38" s="1"/>
  <c r="G129" i="45"/>
  <c r="G137" i="45" s="1"/>
  <c r="G138" i="45" s="1"/>
  <c r="J68" i="48"/>
  <c r="J81" i="48"/>
  <c r="J83" i="48"/>
  <c r="J82" i="48"/>
  <c r="J80" i="48"/>
  <c r="J79" i="48"/>
  <c r="J62" i="48"/>
  <c r="J61" i="48"/>
  <c r="J59" i="48"/>
  <c r="J63" i="48"/>
  <c r="J60" i="48"/>
  <c r="R98" i="36"/>
  <c r="D98" i="53" s="1"/>
  <c r="D85" i="53"/>
  <c r="X98" i="37"/>
  <c r="E98" i="52" s="1"/>
  <c r="E85" i="52"/>
  <c r="AX98" i="37"/>
  <c r="AX99" i="37" s="1"/>
  <c r="L102" i="48"/>
  <c r="L88" i="48"/>
  <c r="L101" i="48"/>
  <c r="L103" i="48"/>
  <c r="K61" i="48"/>
  <c r="K62" i="48"/>
  <c r="K60" i="48"/>
  <c r="K63" i="48"/>
  <c r="L63" i="48"/>
  <c r="L62" i="48"/>
  <c r="L61" i="48"/>
  <c r="AZ98" i="36"/>
  <c r="AD167" i="38"/>
  <c r="F163" i="51"/>
  <c r="F167" i="51" s="1"/>
  <c r="AY98" i="37"/>
  <c r="BB95" i="37"/>
  <c r="E95" i="39" s="1"/>
  <c r="E138" i="42"/>
  <c r="E139" i="42" s="1"/>
  <c r="E207" i="42" s="1"/>
  <c r="E220" i="42" s="1"/>
  <c r="E221" i="42" s="1"/>
  <c r="BA130" i="42"/>
  <c r="BA138" i="42" s="1"/>
  <c r="BA139" i="42" s="1"/>
  <c r="BA207" i="42" s="1"/>
  <c r="BA220" i="42" s="1"/>
  <c r="BA221" i="42" s="1"/>
  <c r="L67" i="48"/>
  <c r="F98" i="38"/>
  <c r="F98" i="49" s="1"/>
  <c r="F85" i="49"/>
  <c r="F141" i="39"/>
  <c r="K40" i="48"/>
  <c r="K42" i="48"/>
  <c r="K43" i="48"/>
  <c r="K28" i="48"/>
  <c r="K41" i="48"/>
  <c r="K87" i="48"/>
  <c r="G167" i="39"/>
  <c r="F98" i="36"/>
  <c r="D98" i="49" s="1"/>
  <c r="D85" i="49"/>
  <c r="AX167" i="37"/>
  <c r="F192" i="53"/>
  <c r="O123" i="48"/>
  <c r="BB167" i="37"/>
  <c r="L167" i="36"/>
  <c r="D163" i="50"/>
  <c r="D167" i="50" s="1"/>
  <c r="AY98" i="36"/>
  <c r="R98" i="37"/>
  <c r="E98" i="53" s="1"/>
  <c r="E85" i="53"/>
  <c r="X167" i="37"/>
  <c r="E163" i="52"/>
  <c r="E167" i="52" s="1"/>
  <c r="BB89" i="37"/>
  <c r="E89" i="39" s="1"/>
  <c r="BA99" i="37"/>
  <c r="J102" i="48"/>
  <c r="J101" i="48"/>
  <c r="J99" i="48"/>
  <c r="J100" i="48"/>
  <c r="J103" i="48"/>
  <c r="J88" i="48"/>
  <c r="E167" i="53"/>
  <c r="D192" i="53"/>
  <c r="K82" i="48"/>
  <c r="K80" i="48"/>
  <c r="K68" i="48"/>
  <c r="K81" i="48"/>
  <c r="K83" i="48"/>
  <c r="X167" i="38"/>
  <c r="F163" i="52"/>
  <c r="F167" i="52" s="1"/>
  <c r="AY98" i="38"/>
  <c r="J42" i="48"/>
  <c r="J41" i="48"/>
  <c r="J40" i="48"/>
  <c r="J28" i="48"/>
  <c r="J39" i="48"/>
  <c r="J43" i="48"/>
  <c r="AD167" i="36"/>
  <c r="D163" i="51"/>
  <c r="D167" i="51" s="1"/>
  <c r="R167" i="36"/>
  <c r="D163" i="53"/>
  <c r="X98" i="36"/>
  <c r="D98" i="52" s="1"/>
  <c r="D85" i="52"/>
  <c r="F98" i="37"/>
  <c r="E98" i="49" s="1"/>
  <c r="E85" i="49"/>
  <c r="X98" i="38"/>
  <c r="F98" i="52" s="1"/>
  <c r="F85" i="52"/>
  <c r="AX98" i="38"/>
  <c r="AX99" i="38" s="1"/>
  <c r="R98" i="38"/>
  <c r="F98" i="53" s="1"/>
  <c r="F85" i="53"/>
  <c r="D183" i="39"/>
  <c r="D192" i="39" s="1"/>
  <c r="BB85" i="36"/>
  <c r="BA138" i="37"/>
  <c r="BA139" i="37" s="1"/>
  <c r="BA207" i="37" s="1"/>
  <c r="BA220" i="37" s="1"/>
  <c r="BA221" i="37" s="1"/>
  <c r="E141" i="39"/>
  <c r="AX167" i="38"/>
  <c r="BA99" i="36"/>
  <c r="BB89" i="36"/>
  <c r="D89" i="39" s="1"/>
  <c r="AX98" i="36"/>
  <c r="AX99" i="36" s="1"/>
  <c r="L41" i="48"/>
  <c r="L43" i="48"/>
  <c r="L28" i="48"/>
  <c r="L42" i="48"/>
  <c r="BB167" i="38"/>
  <c r="BB167" i="42"/>
  <c r="BA98" i="38"/>
  <c r="BA99" i="38" s="1"/>
  <c r="AD98" i="38"/>
  <c r="F98" i="51" s="1"/>
  <c r="F85" i="51"/>
  <c r="E167" i="51"/>
  <c r="AD98" i="36"/>
  <c r="D98" i="51" s="1"/>
  <c r="D85" i="51"/>
  <c r="L98" i="38"/>
  <c r="F98" i="50" s="1"/>
  <c r="F85" i="50"/>
  <c r="BB85" i="38"/>
  <c r="L98" i="37"/>
  <c r="E98" i="50" s="1"/>
  <c r="E85" i="50"/>
  <c r="L98" i="36"/>
  <c r="D98" i="50" s="1"/>
  <c r="D85" i="50"/>
  <c r="AC220" i="38"/>
  <c r="AC221" i="38" s="1"/>
  <c r="E221" i="47"/>
  <c r="E242" i="47"/>
  <c r="F242" i="47"/>
  <c r="F221" i="47"/>
  <c r="BB167" i="36"/>
  <c r="AX167" i="36"/>
  <c r="F183" i="39"/>
  <c r="AR99" i="38"/>
  <c r="AV98" i="38"/>
  <c r="AV99" i="38" s="1"/>
  <c r="B99" i="37"/>
  <c r="AR99" i="37"/>
  <c r="AV98" i="37"/>
  <c r="AV99" i="37" s="1"/>
  <c r="E167" i="39"/>
  <c r="F167" i="39"/>
  <c r="B99" i="38"/>
  <c r="F167" i="38"/>
  <c r="AR220" i="38"/>
  <c r="AR221" i="38" s="1"/>
  <c r="AV207" i="38"/>
  <c r="AV68" i="38" s="1"/>
  <c r="AV86" i="38"/>
  <c r="AP98" i="38"/>
  <c r="AP99" i="38" s="1"/>
  <c r="AP86" i="38"/>
  <c r="AR220" i="37"/>
  <c r="AR221" i="37" s="1"/>
  <c r="AV207" i="37"/>
  <c r="AV68" i="37" s="1"/>
  <c r="AV86" i="37"/>
  <c r="AD98" i="37"/>
  <c r="E98" i="51" s="1"/>
  <c r="AP98" i="37"/>
  <c r="AP99" i="37" s="1"/>
  <c r="AP86" i="37"/>
  <c r="E85" i="39"/>
  <c r="AV207" i="36"/>
  <c r="AV68" i="36" s="1"/>
  <c r="AR220" i="36"/>
  <c r="AR221" i="36" s="1"/>
  <c r="AV98" i="36"/>
  <c r="AV99" i="36" s="1"/>
  <c r="AV86" i="36"/>
  <c r="AP98" i="36"/>
  <c r="AP99" i="36" s="1"/>
  <c r="AP86" i="36"/>
  <c r="F167" i="36"/>
  <c r="J144" i="48" l="1"/>
  <c r="D85" i="39"/>
  <c r="BB98" i="38"/>
  <c r="F98" i="39" s="1"/>
  <c r="O43" i="48"/>
  <c r="L82" i="48"/>
  <c r="L68" i="48"/>
  <c r="L83" i="48"/>
  <c r="O83" i="48" s="1"/>
  <c r="L81" i="48"/>
  <c r="L144" i="48" s="1"/>
  <c r="D167" i="53"/>
  <c r="BB98" i="36"/>
  <c r="D98" i="39" s="1"/>
  <c r="K103" i="48"/>
  <c r="O103" i="48" s="1"/>
  <c r="K88" i="48"/>
  <c r="K101" i="48"/>
  <c r="K100" i="48"/>
  <c r="K102" i="48"/>
  <c r="BB98" i="37"/>
  <c r="E98" i="39" s="1"/>
  <c r="O63" i="48"/>
  <c r="F85" i="39"/>
  <c r="D163" i="39"/>
  <c r="AV220" i="38"/>
  <c r="AV71" i="38"/>
  <c r="AP71" i="38"/>
  <c r="AV220" i="37"/>
  <c r="AV71" i="37"/>
  <c r="AP71" i="37"/>
  <c r="AV220" i="36"/>
  <c r="AV71" i="36"/>
  <c r="AP71" i="36"/>
  <c r="Q23" i="48" l="1"/>
  <c r="K144" i="48"/>
  <c r="D167" i="39"/>
  <c r="AV221" i="36"/>
  <c r="AV221" i="37"/>
  <c r="AV221" i="38"/>
  <c r="AR159" i="33" l="1"/>
  <c r="AX159" i="33" s="1"/>
  <c r="H9" i="33"/>
  <c r="AX9" i="33" s="1"/>
  <c r="H8" i="33"/>
  <c r="H7" i="33"/>
  <c r="H10" i="33"/>
  <c r="H12" i="33"/>
  <c r="AX12" i="33" s="1"/>
  <c r="H11" i="33"/>
  <c r="AX11" i="33" s="1"/>
  <c r="B51" i="34" l="1"/>
  <c r="B69" i="34" s="1"/>
  <c r="H48" i="34"/>
  <c r="G48" i="34"/>
  <c r="F48" i="34"/>
  <c r="E48" i="34"/>
  <c r="D48" i="34"/>
  <c r="D66" i="34" s="1"/>
  <c r="B48" i="34"/>
  <c r="H47" i="34"/>
  <c r="G47" i="34"/>
  <c r="F47" i="34"/>
  <c r="E47" i="34"/>
  <c r="D47" i="34"/>
  <c r="C47" i="34"/>
  <c r="B47" i="34"/>
  <c r="H46" i="34"/>
  <c r="G46" i="34"/>
  <c r="F46" i="34"/>
  <c r="E46" i="34"/>
  <c r="D46" i="34"/>
  <c r="C46" i="34"/>
  <c r="H45" i="34"/>
  <c r="G45" i="34"/>
  <c r="F45" i="34"/>
  <c r="E45" i="34"/>
  <c r="D45" i="34"/>
  <c r="C45" i="34"/>
  <c r="B45" i="34"/>
  <c r="H44" i="34"/>
  <c r="G44" i="34"/>
  <c r="F44" i="34"/>
  <c r="E44" i="34"/>
  <c r="D44" i="34"/>
  <c r="C44" i="34"/>
  <c r="B44" i="34"/>
  <c r="H43" i="34"/>
  <c r="G43" i="34"/>
  <c r="F43" i="34"/>
  <c r="E43" i="34"/>
  <c r="D43" i="34"/>
  <c r="C43" i="34"/>
  <c r="B43" i="34"/>
  <c r="H42" i="34"/>
  <c r="G42" i="34"/>
  <c r="F42" i="34"/>
  <c r="E42" i="34"/>
  <c r="D42" i="34"/>
  <c r="D60" i="34" s="1"/>
  <c r="C42" i="34"/>
  <c r="C60" i="34" s="1"/>
  <c r="B42" i="34"/>
  <c r="H41" i="34"/>
  <c r="G41" i="34"/>
  <c r="F41" i="34"/>
  <c r="E41" i="34"/>
  <c r="D41" i="34"/>
  <c r="C41" i="34"/>
  <c r="B41" i="34"/>
  <c r="H40" i="34"/>
  <c r="G40" i="34"/>
  <c r="F40" i="34"/>
  <c r="E40" i="34"/>
  <c r="D40" i="34"/>
  <c r="C40" i="34"/>
  <c r="B40" i="34"/>
  <c r="H39" i="34"/>
  <c r="G39" i="34"/>
  <c r="F39" i="34"/>
  <c r="E39" i="34"/>
  <c r="D39" i="34"/>
  <c r="C39" i="34"/>
  <c r="B39" i="34"/>
  <c r="K26" i="34"/>
  <c r="B26" i="34"/>
  <c r="K25" i="34"/>
  <c r="B25" i="34"/>
  <c r="K24" i="34"/>
  <c r="B24" i="34"/>
  <c r="M23" i="34"/>
  <c r="L23" i="34"/>
  <c r="K23" i="34"/>
  <c r="F34" i="34"/>
  <c r="C34" i="34"/>
  <c r="B23" i="34"/>
  <c r="M22" i="34"/>
  <c r="L22" i="34"/>
  <c r="M21" i="34"/>
  <c r="L21" i="34"/>
  <c r="K21" i="34"/>
  <c r="B14" i="34"/>
  <c r="B68" i="34" s="1"/>
  <c r="B13" i="34"/>
  <c r="B67" i="34" s="1"/>
  <c r="H12" i="34"/>
  <c r="G12" i="34"/>
  <c r="F12" i="34"/>
  <c r="E12" i="34"/>
  <c r="B12" i="34"/>
  <c r="Q11" i="34"/>
  <c r="H65" i="34" s="1"/>
  <c r="P11" i="34"/>
  <c r="O11" i="34"/>
  <c r="N11" i="34"/>
  <c r="M11" i="34"/>
  <c r="D65" i="34" s="1"/>
  <c r="L11" i="34"/>
  <c r="K11" i="34"/>
  <c r="H11" i="34"/>
  <c r="G11" i="34"/>
  <c r="F11" i="34"/>
  <c r="E11" i="34"/>
  <c r="D11" i="34"/>
  <c r="B11" i="34"/>
  <c r="Q10" i="34"/>
  <c r="H64" i="34" s="1"/>
  <c r="P10" i="34"/>
  <c r="O10" i="34"/>
  <c r="N10" i="34"/>
  <c r="E64" i="34" s="1"/>
  <c r="M10" i="34"/>
  <c r="L10" i="34"/>
  <c r="C64" i="34" s="1"/>
  <c r="K10" i="34"/>
  <c r="G10" i="34"/>
  <c r="F10" i="34"/>
  <c r="E10" i="34"/>
  <c r="D10" i="34"/>
  <c r="B10" i="34"/>
  <c r="Q9" i="34"/>
  <c r="P9" i="34"/>
  <c r="O9" i="34"/>
  <c r="N9" i="34"/>
  <c r="M9" i="34"/>
  <c r="L9" i="34"/>
  <c r="K9" i="34"/>
  <c r="F9" i="34"/>
  <c r="E9" i="34"/>
  <c r="D9" i="34"/>
  <c r="B9" i="34"/>
  <c r="Q8" i="34"/>
  <c r="H62" i="34" s="1"/>
  <c r="P8" i="34"/>
  <c r="O8" i="34"/>
  <c r="N8" i="34"/>
  <c r="M8" i="34"/>
  <c r="D62" i="34" s="1"/>
  <c r="L8" i="34"/>
  <c r="C62" i="34" s="1"/>
  <c r="K8" i="34"/>
  <c r="H8" i="34"/>
  <c r="G8" i="34"/>
  <c r="F8" i="34"/>
  <c r="E8" i="34"/>
  <c r="D8" i="34"/>
  <c r="B8" i="34"/>
  <c r="Q7" i="34"/>
  <c r="P7" i="34"/>
  <c r="O7" i="34"/>
  <c r="N7" i="34"/>
  <c r="M7" i="34"/>
  <c r="D61" i="34" s="1"/>
  <c r="L7" i="34"/>
  <c r="C61" i="34" s="1"/>
  <c r="K7" i="34"/>
  <c r="H7" i="34"/>
  <c r="G7" i="34"/>
  <c r="F7" i="34"/>
  <c r="E7" i="34"/>
  <c r="D7" i="34"/>
  <c r="B7" i="34"/>
  <c r="K6" i="34"/>
  <c r="H6" i="34"/>
  <c r="G6" i="34"/>
  <c r="F6" i="34"/>
  <c r="E6" i="34"/>
  <c r="D6" i="34"/>
  <c r="B6" i="34"/>
  <c r="Q5" i="34"/>
  <c r="H59" i="34" s="1"/>
  <c r="P5" i="34"/>
  <c r="O5" i="34"/>
  <c r="N5" i="34"/>
  <c r="E59" i="34" s="1"/>
  <c r="M5" i="34"/>
  <c r="L5" i="34"/>
  <c r="K5" i="34"/>
  <c r="H5" i="34"/>
  <c r="G5" i="34"/>
  <c r="F5" i="34"/>
  <c r="E5" i="34"/>
  <c r="D5" i="34"/>
  <c r="D16" i="34" s="1"/>
  <c r="B5" i="34"/>
  <c r="Q4" i="34"/>
  <c r="H58" i="34" s="1"/>
  <c r="P4" i="34"/>
  <c r="G58" i="34" s="1"/>
  <c r="O4" i="34"/>
  <c r="F58" i="34" s="1"/>
  <c r="N4" i="34"/>
  <c r="E58" i="34" s="1"/>
  <c r="M4" i="34"/>
  <c r="L4" i="34"/>
  <c r="K4" i="34"/>
  <c r="B58" i="34" s="1"/>
  <c r="Q3" i="34"/>
  <c r="H57" i="34" s="1"/>
  <c r="P3" i="34"/>
  <c r="O3" i="34"/>
  <c r="N3" i="34"/>
  <c r="E57" i="34" s="1"/>
  <c r="M3" i="34"/>
  <c r="L3" i="34"/>
  <c r="K3" i="34"/>
  <c r="F16" i="34" l="1"/>
  <c r="H61" i="34"/>
  <c r="H63" i="34"/>
  <c r="D64" i="34"/>
  <c r="G65" i="34"/>
  <c r="B66" i="34"/>
  <c r="G62" i="34"/>
  <c r="D63" i="34"/>
  <c r="C65" i="34"/>
  <c r="C58" i="34"/>
  <c r="G60" i="34"/>
  <c r="G66" i="34"/>
  <c r="E61" i="34"/>
  <c r="D58" i="34"/>
  <c r="H60" i="34"/>
  <c r="H70" i="34" s="1"/>
  <c r="H66" i="34"/>
  <c r="H16" i="34"/>
  <c r="F61" i="34"/>
  <c r="K34" i="34"/>
  <c r="B57" i="34"/>
  <c r="B59" i="34"/>
  <c r="B62" i="34"/>
  <c r="E16" i="34"/>
  <c r="F59" i="34"/>
  <c r="E62" i="34"/>
  <c r="B63" i="34"/>
  <c r="F63" i="34"/>
  <c r="B64" i="34"/>
  <c r="F64" i="34"/>
  <c r="E65" i="34"/>
  <c r="C57" i="34"/>
  <c r="C59" i="34"/>
  <c r="E60" i="34"/>
  <c r="E66" i="34"/>
  <c r="E63" i="34"/>
  <c r="E70" i="34" s="1"/>
  <c r="B60" i="34"/>
  <c r="O16" i="34"/>
  <c r="F57" i="34"/>
  <c r="P16" i="34"/>
  <c r="G57" i="34"/>
  <c r="G59" i="34"/>
  <c r="G61" i="34"/>
  <c r="F62" i="34"/>
  <c r="C63" i="34"/>
  <c r="G63" i="34"/>
  <c r="G64" i="34"/>
  <c r="B65" i="34"/>
  <c r="F65" i="34"/>
  <c r="D57" i="34"/>
  <c r="D59" i="34"/>
  <c r="B61" i="34"/>
  <c r="F52" i="34"/>
  <c r="F60" i="34"/>
  <c r="F66" i="34"/>
  <c r="C52" i="34"/>
  <c r="G52" i="34"/>
  <c r="L16" i="34"/>
  <c r="Q16" i="34"/>
  <c r="B34" i="34"/>
  <c r="D52" i="34"/>
  <c r="M16" i="34"/>
  <c r="B16" i="34"/>
  <c r="N34" i="34"/>
  <c r="L34" i="34"/>
  <c r="P34" i="34"/>
  <c r="D34" i="34"/>
  <c r="H34" i="34"/>
  <c r="E52" i="34"/>
  <c r="G16" i="34"/>
  <c r="Q34" i="34"/>
  <c r="G34" i="34"/>
  <c r="H52" i="34"/>
  <c r="N16" i="34"/>
  <c r="K16" i="34"/>
  <c r="C16" i="34"/>
  <c r="O34" i="34"/>
  <c r="M34" i="34"/>
  <c r="E34" i="34"/>
  <c r="B52" i="34"/>
  <c r="H15" i="33"/>
  <c r="F173" i="33"/>
  <c r="C173" i="49" s="1"/>
  <c r="F110" i="33"/>
  <c r="C110" i="49" s="1"/>
  <c r="B104" i="36"/>
  <c r="B103" i="36"/>
  <c r="AD14" i="33"/>
  <c r="AV223" i="33"/>
  <c r="AU223" i="33"/>
  <c r="AT223" i="33"/>
  <c r="AS223" i="33"/>
  <c r="AR223" i="33"/>
  <c r="AV218" i="33"/>
  <c r="AV217" i="33"/>
  <c r="AV216" i="33"/>
  <c r="AV215" i="33"/>
  <c r="AV214" i="33"/>
  <c r="AV213" i="33"/>
  <c r="AV212" i="33"/>
  <c r="AV211" i="33"/>
  <c r="AV210" i="33"/>
  <c r="AV209" i="33"/>
  <c r="AU205" i="33"/>
  <c r="AT205" i="33"/>
  <c r="AS205" i="33"/>
  <c r="AR205" i="33"/>
  <c r="AV204" i="33"/>
  <c r="AV203" i="33"/>
  <c r="AV202" i="33"/>
  <c r="AV201" i="33"/>
  <c r="AV200" i="33"/>
  <c r="AV199" i="33"/>
  <c r="AV198" i="33"/>
  <c r="AV197" i="33"/>
  <c r="AV196" i="33"/>
  <c r="AV195" i="33"/>
  <c r="AV194" i="33"/>
  <c r="AT192" i="33"/>
  <c r="AS192" i="33"/>
  <c r="AV191" i="33"/>
  <c r="AV190" i="33"/>
  <c r="AV189" i="33"/>
  <c r="AV188" i="33"/>
  <c r="AV187" i="33"/>
  <c r="AR186" i="33"/>
  <c r="AV185" i="33"/>
  <c r="AV184" i="33"/>
  <c r="AR183" i="33"/>
  <c r="AV182" i="33"/>
  <c r="AV193" i="33" s="1"/>
  <c r="AU182" i="33"/>
  <c r="AU193" i="33" s="1"/>
  <c r="AT182" i="33"/>
  <c r="AT193" i="33" s="1"/>
  <c r="AS182" i="33"/>
  <c r="AS193" i="33" s="1"/>
  <c r="AR182" i="33"/>
  <c r="AR193" i="33" s="1"/>
  <c r="AU181" i="33"/>
  <c r="AT181" i="33"/>
  <c r="AS181" i="33"/>
  <c r="AR180" i="33"/>
  <c r="AR179" i="33"/>
  <c r="AV179" i="33" s="1"/>
  <c r="AV178" i="33"/>
  <c r="AU176" i="33"/>
  <c r="AT176" i="33"/>
  <c r="AS176" i="33"/>
  <c r="AR176" i="33"/>
  <c r="AV175" i="33"/>
  <c r="AV174" i="33"/>
  <c r="AV173" i="33"/>
  <c r="AV172" i="33"/>
  <c r="AV171" i="33"/>
  <c r="AV170" i="33"/>
  <c r="AV169" i="33"/>
  <c r="AV162" i="33"/>
  <c r="AV160" i="33"/>
  <c r="AV159" i="33"/>
  <c r="AS153" i="33"/>
  <c r="AV152" i="33"/>
  <c r="AV168" i="33" s="1"/>
  <c r="AU152" i="33"/>
  <c r="AU168" i="33" s="1"/>
  <c r="AT152" i="33"/>
  <c r="AT168" i="33" s="1"/>
  <c r="AS152" i="33"/>
  <c r="AS168" i="33" s="1"/>
  <c r="AR152" i="33"/>
  <c r="AR168" i="33" s="1"/>
  <c r="AU151" i="33"/>
  <c r="AV150" i="33"/>
  <c r="AT149" i="33"/>
  <c r="AT151" i="33" s="1"/>
  <c r="AS149" i="33"/>
  <c r="AY149" i="33" s="1"/>
  <c r="AR149" i="33"/>
  <c r="AX149" i="33" s="1"/>
  <c r="AS148" i="33"/>
  <c r="AS147" i="33"/>
  <c r="AY147" i="33" s="1"/>
  <c r="AS145" i="33"/>
  <c r="AY145" i="33" s="1"/>
  <c r="AR144" i="33"/>
  <c r="AX144" i="33" s="1"/>
  <c r="AV143" i="33"/>
  <c r="AR142" i="33"/>
  <c r="AV140" i="33"/>
  <c r="AU140" i="33"/>
  <c r="AT140" i="33"/>
  <c r="AS140" i="33"/>
  <c r="AR140" i="33"/>
  <c r="AV136" i="33"/>
  <c r="AU128" i="33"/>
  <c r="AT128" i="33"/>
  <c r="AS128" i="33"/>
  <c r="AR128" i="33"/>
  <c r="AV125" i="33"/>
  <c r="AV124" i="33"/>
  <c r="AV123" i="33"/>
  <c r="AV122" i="33"/>
  <c r="AV121" i="33"/>
  <c r="AV120" i="33"/>
  <c r="AV119" i="33"/>
  <c r="AV118" i="33"/>
  <c r="AV117" i="33"/>
  <c r="AU117" i="33"/>
  <c r="AT117" i="33"/>
  <c r="AS117" i="33"/>
  <c r="AR117" i="33"/>
  <c r="AS115" i="33"/>
  <c r="AR115" i="33"/>
  <c r="AX115" i="33" s="1"/>
  <c r="AR114" i="33"/>
  <c r="AU113" i="33"/>
  <c r="AT113" i="33"/>
  <c r="AZ113" i="33" s="1"/>
  <c r="AS113" i="33"/>
  <c r="AY113" i="33" s="1"/>
  <c r="AR113" i="33"/>
  <c r="AV112" i="33"/>
  <c r="AR111" i="33"/>
  <c r="AV111" i="33" s="1"/>
  <c r="AT110" i="33"/>
  <c r="AZ110" i="33" s="1"/>
  <c r="AV109" i="33"/>
  <c r="AR107" i="33"/>
  <c r="AV106" i="33"/>
  <c r="AR105" i="33"/>
  <c r="AV105" i="33" s="1"/>
  <c r="AV104" i="33"/>
  <c r="AV103" i="33"/>
  <c r="AV101" i="33"/>
  <c r="AU101" i="33"/>
  <c r="AT101" i="33"/>
  <c r="AS101" i="33"/>
  <c r="AR101" i="33"/>
  <c r="AU97" i="33"/>
  <c r="AT97" i="33"/>
  <c r="AS97" i="33"/>
  <c r="AR97" i="33"/>
  <c r="AU96" i="33"/>
  <c r="AT96" i="33"/>
  <c r="AS96" i="33"/>
  <c r="AR96" i="33"/>
  <c r="AU95" i="33"/>
  <c r="AT95" i="33"/>
  <c r="AS95" i="33"/>
  <c r="AR95" i="33"/>
  <c r="AU94" i="33"/>
  <c r="AT94" i="33"/>
  <c r="AU93" i="33"/>
  <c r="AT93" i="33"/>
  <c r="AS93" i="33"/>
  <c r="AU92" i="33"/>
  <c r="AT92" i="33"/>
  <c r="AS92" i="33"/>
  <c r="AU91" i="33"/>
  <c r="AU90" i="33"/>
  <c r="AT89" i="33"/>
  <c r="AU88" i="33"/>
  <c r="AT88" i="33"/>
  <c r="AS88" i="33"/>
  <c r="AU87" i="33"/>
  <c r="AT87" i="33"/>
  <c r="AS87" i="33"/>
  <c r="AV84" i="33"/>
  <c r="AV97" i="33" s="1"/>
  <c r="AV83" i="33"/>
  <c r="AV96" i="33" s="1"/>
  <c r="AV82" i="33"/>
  <c r="AV95" i="33" s="1"/>
  <c r="AS94" i="33"/>
  <c r="AR81" i="33"/>
  <c r="AR94" i="33" s="1"/>
  <c r="AR80" i="33"/>
  <c r="AV80" i="33" s="1"/>
  <c r="AV93" i="33" s="1"/>
  <c r="AR79" i="33"/>
  <c r="AR92" i="33" s="1"/>
  <c r="AT78" i="33"/>
  <c r="AT91" i="33" s="1"/>
  <c r="AS78" i="33"/>
  <c r="AS91" i="33" s="1"/>
  <c r="AR78" i="33"/>
  <c r="AR91" i="33" s="1"/>
  <c r="AT77" i="33"/>
  <c r="AT90" i="33" s="1"/>
  <c r="AS77" i="33"/>
  <c r="AS90" i="33" s="1"/>
  <c r="AR77" i="33"/>
  <c r="AS76" i="33"/>
  <c r="AS89" i="33" s="1"/>
  <c r="AR76" i="33"/>
  <c r="AR89" i="33" s="1"/>
  <c r="AV73" i="33"/>
  <c r="AU73" i="33"/>
  <c r="AS73" i="33"/>
  <c r="AR73" i="33"/>
  <c r="AU62" i="33"/>
  <c r="AU65" i="33" s="1"/>
  <c r="AT62" i="33"/>
  <c r="AT65" i="33" s="1"/>
  <c r="AS62" i="33"/>
  <c r="AS65" i="33" s="1"/>
  <c r="AR62" i="33"/>
  <c r="AR65" i="33" s="1"/>
  <c r="AV41" i="33"/>
  <c r="AU41" i="33"/>
  <c r="AT41" i="33"/>
  <c r="AS41" i="33"/>
  <c r="AR41" i="33"/>
  <c r="AU39" i="33"/>
  <c r="AU64" i="33" s="1"/>
  <c r="AT39" i="33"/>
  <c r="AT64" i="33" s="1"/>
  <c r="AS39" i="33"/>
  <c r="AS64" i="33" s="1"/>
  <c r="AR39" i="33"/>
  <c r="AR64" i="33" s="1"/>
  <c r="AV38" i="33"/>
  <c r="AV37" i="33"/>
  <c r="AV36" i="33"/>
  <c r="AV35" i="33"/>
  <c r="AV34" i="33"/>
  <c r="AV33" i="33"/>
  <c r="AV32" i="33"/>
  <c r="AV31" i="33"/>
  <c r="AV30" i="33"/>
  <c r="AV29" i="33"/>
  <c r="AV27" i="33"/>
  <c r="AV26" i="33"/>
  <c r="AV25" i="33"/>
  <c r="AV24" i="33"/>
  <c r="AV23" i="33"/>
  <c r="AV22" i="33"/>
  <c r="AR19" i="33"/>
  <c r="AV18" i="33"/>
  <c r="AV17" i="33"/>
  <c r="AV16" i="33"/>
  <c r="AV15" i="33"/>
  <c r="AV14" i="33"/>
  <c r="AV13" i="33"/>
  <c r="AV12" i="33"/>
  <c r="AV11" i="33"/>
  <c r="AV10" i="33"/>
  <c r="AV9" i="33"/>
  <c r="AV8" i="33"/>
  <c r="AV7" i="33"/>
  <c r="AV6" i="33"/>
  <c r="AR5" i="33"/>
  <c r="AV3" i="33"/>
  <c r="AV2" i="33"/>
  <c r="BB223" i="33"/>
  <c r="BA223" i="33"/>
  <c r="AZ223" i="33"/>
  <c r="AY223" i="33"/>
  <c r="AX223" i="33"/>
  <c r="AP223" i="33"/>
  <c r="AO223" i="33"/>
  <c r="AN223" i="33"/>
  <c r="AM223" i="33"/>
  <c r="AL223" i="33"/>
  <c r="AD223" i="33"/>
  <c r="AC223" i="33"/>
  <c r="AB223" i="33"/>
  <c r="AA223" i="33"/>
  <c r="Z223" i="33"/>
  <c r="X223" i="33"/>
  <c r="W223" i="33"/>
  <c r="V223" i="33"/>
  <c r="U223" i="33"/>
  <c r="T223" i="33"/>
  <c r="R223" i="33"/>
  <c r="Q223" i="33"/>
  <c r="P223" i="33"/>
  <c r="O223" i="33"/>
  <c r="N223" i="33"/>
  <c r="L223" i="33"/>
  <c r="K223" i="33"/>
  <c r="J223" i="33"/>
  <c r="I223" i="33"/>
  <c r="H223" i="33"/>
  <c r="F223" i="33"/>
  <c r="E223" i="33"/>
  <c r="D223" i="33"/>
  <c r="C223" i="33"/>
  <c r="B223" i="33"/>
  <c r="A223" i="33"/>
  <c r="BA219" i="33"/>
  <c r="AZ219" i="33"/>
  <c r="AY219" i="33"/>
  <c r="AX219" i="33"/>
  <c r="BA218" i="33"/>
  <c r="AZ218" i="33"/>
  <c r="AY218" i="33"/>
  <c r="AX218" i="33"/>
  <c r="AP218" i="33"/>
  <c r="AD218" i="33"/>
  <c r="X218" i="33"/>
  <c r="C218" i="52" s="1"/>
  <c r="R218" i="33"/>
  <c r="C218" i="53" s="1"/>
  <c r="L218" i="33"/>
  <c r="F218" i="33"/>
  <c r="AP217" i="33"/>
  <c r="AD217" i="33"/>
  <c r="C217" i="51" s="1"/>
  <c r="C234" i="51" s="1"/>
  <c r="X217" i="33"/>
  <c r="C217" i="52" s="1"/>
  <c r="C234" i="52" s="1"/>
  <c r="R217" i="33"/>
  <c r="C217" i="53" s="1"/>
  <c r="C234" i="53" s="1"/>
  <c r="L217" i="33"/>
  <c r="C217" i="50" s="1"/>
  <c r="C234" i="50" s="1"/>
  <c r="F217" i="33"/>
  <c r="C217" i="49" s="1"/>
  <c r="C234" i="49" s="1"/>
  <c r="AP216" i="33"/>
  <c r="AD216" i="33"/>
  <c r="C216" i="51" s="1"/>
  <c r="C233" i="51" s="1"/>
  <c r="X216" i="33"/>
  <c r="C216" i="52" s="1"/>
  <c r="C233" i="52" s="1"/>
  <c r="R216" i="33"/>
  <c r="C216" i="53" s="1"/>
  <c r="C233" i="53" s="1"/>
  <c r="L216" i="33"/>
  <c r="C216" i="50" s="1"/>
  <c r="C233" i="50" s="1"/>
  <c r="F216" i="33"/>
  <c r="C216" i="49" s="1"/>
  <c r="C233" i="49" s="1"/>
  <c r="AP215" i="33"/>
  <c r="AD215" i="33"/>
  <c r="C215" i="51" s="1"/>
  <c r="X215" i="33"/>
  <c r="C215" i="52" s="1"/>
  <c r="R215" i="33"/>
  <c r="C215" i="53" s="1"/>
  <c r="L215" i="33"/>
  <c r="C215" i="50" s="1"/>
  <c r="F215" i="33"/>
  <c r="C215" i="49" s="1"/>
  <c r="AP214" i="33"/>
  <c r="AD214" i="33"/>
  <c r="C214" i="51" s="1"/>
  <c r="X214" i="33"/>
  <c r="C214" i="52" s="1"/>
  <c r="R214" i="33"/>
  <c r="C214" i="53" s="1"/>
  <c r="L214" i="33"/>
  <c r="C214" i="50" s="1"/>
  <c r="F214" i="33"/>
  <c r="C214" i="49" s="1"/>
  <c r="AP213" i="33"/>
  <c r="AD213" i="33"/>
  <c r="C213" i="51" s="1"/>
  <c r="X213" i="33"/>
  <c r="C213" i="52" s="1"/>
  <c r="R213" i="33"/>
  <c r="C213" i="53" s="1"/>
  <c r="L213" i="33"/>
  <c r="C213" i="50" s="1"/>
  <c r="F213" i="33"/>
  <c r="C213" i="49" s="1"/>
  <c r="AP212" i="33"/>
  <c r="AD212" i="33"/>
  <c r="C212" i="51" s="1"/>
  <c r="X212" i="33"/>
  <c r="C212" i="52" s="1"/>
  <c r="R212" i="33"/>
  <c r="C212" i="53" s="1"/>
  <c r="L212" i="33"/>
  <c r="C212" i="50" s="1"/>
  <c r="F212" i="33"/>
  <c r="C212" i="49" s="1"/>
  <c r="AP211" i="33"/>
  <c r="AD211" i="33"/>
  <c r="C211" i="51" s="1"/>
  <c r="C232" i="51" s="1"/>
  <c r="X211" i="33"/>
  <c r="C211" i="52" s="1"/>
  <c r="C232" i="52" s="1"/>
  <c r="R211" i="33"/>
  <c r="C211" i="53" s="1"/>
  <c r="C232" i="53" s="1"/>
  <c r="L211" i="33"/>
  <c r="C211" i="50" s="1"/>
  <c r="C232" i="50" s="1"/>
  <c r="F211" i="33"/>
  <c r="C211" i="49" s="1"/>
  <c r="C232" i="49" s="1"/>
  <c r="AP210" i="33"/>
  <c r="AD210" i="33"/>
  <c r="C210" i="51" s="1"/>
  <c r="C231" i="51" s="1"/>
  <c r="R210" i="33"/>
  <c r="C210" i="53" s="1"/>
  <c r="C231" i="53" s="1"/>
  <c r="L210" i="33"/>
  <c r="C210" i="50" s="1"/>
  <c r="C231" i="50" s="1"/>
  <c r="F210" i="33"/>
  <c r="C210" i="49" s="1"/>
  <c r="C231" i="49" s="1"/>
  <c r="AP209" i="33"/>
  <c r="AD209" i="33"/>
  <c r="C209" i="51" s="1"/>
  <c r="C230" i="51" s="1"/>
  <c r="X209" i="33"/>
  <c r="C209" i="52" s="1"/>
  <c r="C230" i="52" s="1"/>
  <c r="R209" i="33"/>
  <c r="C209" i="53" s="1"/>
  <c r="C230" i="53" s="1"/>
  <c r="L209" i="33"/>
  <c r="C209" i="50" s="1"/>
  <c r="C230" i="50" s="1"/>
  <c r="F209" i="33"/>
  <c r="C209" i="49" s="1"/>
  <c r="C230" i="49" s="1"/>
  <c r="AO205" i="33"/>
  <c r="AN205" i="33"/>
  <c r="AM205" i="33"/>
  <c r="AL205" i="33"/>
  <c r="AC205" i="33"/>
  <c r="AB205" i="33"/>
  <c r="AA205" i="33"/>
  <c r="W205" i="33"/>
  <c r="V205" i="33"/>
  <c r="U205" i="33"/>
  <c r="Q205" i="33"/>
  <c r="P205" i="33"/>
  <c r="O205" i="33"/>
  <c r="K205" i="33"/>
  <c r="J205" i="33"/>
  <c r="I205" i="33"/>
  <c r="E205" i="33"/>
  <c r="D205" i="33"/>
  <c r="C205" i="33"/>
  <c r="AP204" i="33"/>
  <c r="AP203" i="33"/>
  <c r="AD203" i="33"/>
  <c r="C203" i="51" s="1"/>
  <c r="X203" i="33"/>
  <c r="C203" i="52" s="1"/>
  <c r="R203" i="33"/>
  <c r="C203" i="53" s="1"/>
  <c r="L203" i="33"/>
  <c r="C203" i="50" s="1"/>
  <c r="F203" i="33"/>
  <c r="C203" i="49" s="1"/>
  <c r="AP202" i="33"/>
  <c r="AP201" i="33"/>
  <c r="AD201" i="33"/>
  <c r="C201" i="51" s="1"/>
  <c r="X201" i="33"/>
  <c r="C201" i="52" s="1"/>
  <c r="R201" i="33"/>
  <c r="C201" i="53" s="1"/>
  <c r="L201" i="33"/>
  <c r="C201" i="50" s="1"/>
  <c r="AP200" i="33"/>
  <c r="AP199" i="33"/>
  <c r="AP198" i="33"/>
  <c r="AP197" i="33"/>
  <c r="AP196" i="33"/>
  <c r="AP195" i="33"/>
  <c r="AD195" i="33"/>
  <c r="C195" i="51" s="1"/>
  <c r="X195" i="33"/>
  <c r="C195" i="52" s="1"/>
  <c r="R195" i="33"/>
  <c r="C195" i="53" s="1"/>
  <c r="L195" i="33"/>
  <c r="C195" i="50" s="1"/>
  <c r="AP194" i="33"/>
  <c r="AO192" i="33"/>
  <c r="AN192" i="33"/>
  <c r="AM192" i="33"/>
  <c r="AL192" i="33"/>
  <c r="AB192" i="33"/>
  <c r="AA192" i="33"/>
  <c r="V192" i="33"/>
  <c r="U192" i="33"/>
  <c r="P192" i="33"/>
  <c r="O192" i="33"/>
  <c r="J192" i="33"/>
  <c r="I192" i="33"/>
  <c r="D192" i="33"/>
  <c r="C192" i="33"/>
  <c r="AP191" i="33"/>
  <c r="AD191" i="33"/>
  <c r="C191" i="51" s="1"/>
  <c r="X191" i="33"/>
  <c r="C191" i="52" s="1"/>
  <c r="R191" i="33"/>
  <c r="C191" i="53" s="1"/>
  <c r="L191" i="33"/>
  <c r="C191" i="50" s="1"/>
  <c r="F191" i="33"/>
  <c r="C191" i="49" s="1"/>
  <c r="AP190" i="33"/>
  <c r="AD190" i="33"/>
  <c r="C190" i="51" s="1"/>
  <c r="X190" i="33"/>
  <c r="C190" i="52" s="1"/>
  <c r="R190" i="33"/>
  <c r="C190" i="53" s="1"/>
  <c r="L190" i="33"/>
  <c r="C190" i="50" s="1"/>
  <c r="F190" i="33"/>
  <c r="C190" i="49" s="1"/>
  <c r="AP189" i="33"/>
  <c r="AD189" i="33"/>
  <c r="C189" i="51" s="1"/>
  <c r="X189" i="33"/>
  <c r="C189" i="52" s="1"/>
  <c r="R189" i="33"/>
  <c r="C189" i="53" s="1"/>
  <c r="L189" i="33"/>
  <c r="C189" i="50" s="1"/>
  <c r="F189" i="33"/>
  <c r="C189" i="49" s="1"/>
  <c r="AP188" i="33"/>
  <c r="AD188" i="33"/>
  <c r="C188" i="51" s="1"/>
  <c r="X188" i="33"/>
  <c r="C188" i="52" s="1"/>
  <c r="R188" i="33"/>
  <c r="C188" i="53" s="1"/>
  <c r="L188" i="33"/>
  <c r="C188" i="50" s="1"/>
  <c r="F188" i="33"/>
  <c r="C188" i="49" s="1"/>
  <c r="AP187" i="33"/>
  <c r="AD187" i="33"/>
  <c r="C187" i="51" s="1"/>
  <c r="X187" i="33"/>
  <c r="C187" i="52" s="1"/>
  <c r="R187" i="33"/>
  <c r="C187" i="53" s="1"/>
  <c r="L187" i="33"/>
  <c r="C187" i="50" s="1"/>
  <c r="F187" i="33"/>
  <c r="C187" i="49" s="1"/>
  <c r="AP186" i="33"/>
  <c r="AD186" i="33"/>
  <c r="C186" i="51" s="1"/>
  <c r="X186" i="33"/>
  <c r="C186" i="52" s="1"/>
  <c r="R186" i="33"/>
  <c r="C186" i="53" s="1"/>
  <c r="L186" i="33"/>
  <c r="C186" i="50" s="1"/>
  <c r="F186" i="33"/>
  <c r="C186" i="49" s="1"/>
  <c r="AP185" i="33"/>
  <c r="AD185" i="33"/>
  <c r="C185" i="51" s="1"/>
  <c r="X185" i="33"/>
  <c r="C185" i="52" s="1"/>
  <c r="R185" i="33"/>
  <c r="C185" i="53" s="1"/>
  <c r="L185" i="33"/>
  <c r="C185" i="50" s="1"/>
  <c r="F185" i="33"/>
  <c r="C185" i="49" s="1"/>
  <c r="AP184" i="33"/>
  <c r="AD184" i="33"/>
  <c r="C184" i="51" s="1"/>
  <c r="X184" i="33"/>
  <c r="C184" i="52" s="1"/>
  <c r="R184" i="33"/>
  <c r="C184" i="53" s="1"/>
  <c r="L184" i="33"/>
  <c r="C184" i="50" s="1"/>
  <c r="F184" i="33"/>
  <c r="C184" i="49" s="1"/>
  <c r="AP183" i="33"/>
  <c r="Z183" i="33"/>
  <c r="Z192" i="33" s="1"/>
  <c r="T183" i="33"/>
  <c r="N183" i="33"/>
  <c r="H183" i="33"/>
  <c r="H192" i="33" s="1"/>
  <c r="B183" i="33"/>
  <c r="BB182" i="33"/>
  <c r="BB193" i="33" s="1"/>
  <c r="BA182" i="33"/>
  <c r="BA193" i="33" s="1"/>
  <c r="AZ182" i="33"/>
  <c r="AZ193" i="33" s="1"/>
  <c r="AY182" i="33"/>
  <c r="AY193" i="33" s="1"/>
  <c r="AX182" i="33"/>
  <c r="AX193" i="33" s="1"/>
  <c r="AP182" i="33"/>
  <c r="AP193" i="33" s="1"/>
  <c r="AO182" i="33"/>
  <c r="AO193" i="33" s="1"/>
  <c r="AN182" i="33"/>
  <c r="AN193" i="33" s="1"/>
  <c r="AM182" i="33"/>
  <c r="AM193" i="33" s="1"/>
  <c r="AL182" i="33"/>
  <c r="AL193" i="33" s="1"/>
  <c r="AD182" i="33"/>
  <c r="AD193" i="33" s="1"/>
  <c r="AC182" i="33"/>
  <c r="AC193" i="33" s="1"/>
  <c r="AB182" i="33"/>
  <c r="AB193" i="33" s="1"/>
  <c r="AA182" i="33"/>
  <c r="AA193" i="33" s="1"/>
  <c r="Z182" i="33"/>
  <c r="Z193" i="33" s="1"/>
  <c r="X182" i="33"/>
  <c r="X193" i="33" s="1"/>
  <c r="W182" i="33"/>
  <c r="W193" i="33" s="1"/>
  <c r="V182" i="33"/>
  <c r="V193" i="33" s="1"/>
  <c r="U182" i="33"/>
  <c r="U193" i="33" s="1"/>
  <c r="T182" i="33"/>
  <c r="T193" i="33" s="1"/>
  <c r="R182" i="33"/>
  <c r="R193" i="33" s="1"/>
  <c r="Q182" i="33"/>
  <c r="Q193" i="33" s="1"/>
  <c r="P182" i="33"/>
  <c r="P193" i="33" s="1"/>
  <c r="O182" i="33"/>
  <c r="O193" i="33" s="1"/>
  <c r="N182" i="33"/>
  <c r="N193" i="33" s="1"/>
  <c r="L182" i="33"/>
  <c r="L193" i="33" s="1"/>
  <c r="K182" i="33"/>
  <c r="K193" i="33" s="1"/>
  <c r="J182" i="33"/>
  <c r="J193" i="33" s="1"/>
  <c r="I182" i="33"/>
  <c r="I193" i="33" s="1"/>
  <c r="H182" i="33"/>
  <c r="H193" i="33" s="1"/>
  <c r="F182" i="33"/>
  <c r="F193" i="33" s="1"/>
  <c r="E182" i="33"/>
  <c r="E193" i="33" s="1"/>
  <c r="D182" i="33"/>
  <c r="D193" i="33" s="1"/>
  <c r="C182" i="33"/>
  <c r="C193" i="33" s="1"/>
  <c r="B182" i="33"/>
  <c r="B193" i="33" s="1"/>
  <c r="AO181" i="33"/>
  <c r="AN181" i="33"/>
  <c r="AM181" i="33"/>
  <c r="AL181" i="33"/>
  <c r="AC181" i="33"/>
  <c r="AB181" i="33"/>
  <c r="AA181" i="33"/>
  <c r="W181" i="33"/>
  <c r="V181" i="33"/>
  <c r="U181" i="33"/>
  <c r="Q181" i="33"/>
  <c r="P181" i="33"/>
  <c r="O181" i="33"/>
  <c r="K181" i="33"/>
  <c r="J181" i="33"/>
  <c r="I181" i="33"/>
  <c r="E181" i="33"/>
  <c r="D181" i="33"/>
  <c r="C181" i="33"/>
  <c r="AP180" i="33"/>
  <c r="AP179" i="33"/>
  <c r="BA181" i="33"/>
  <c r="AP178" i="33"/>
  <c r="AO176" i="33"/>
  <c r="AN176" i="33"/>
  <c r="AM176" i="33"/>
  <c r="AL176" i="33"/>
  <c r="AC176" i="33"/>
  <c r="AB176" i="33"/>
  <c r="AA176" i="33"/>
  <c r="W176" i="33"/>
  <c r="V176" i="33"/>
  <c r="U176" i="33"/>
  <c r="Q176" i="33"/>
  <c r="P176" i="33"/>
  <c r="O176" i="33"/>
  <c r="K176" i="33"/>
  <c r="J176" i="33"/>
  <c r="I176" i="33"/>
  <c r="E176" i="33"/>
  <c r="D176" i="33"/>
  <c r="C176" i="33"/>
  <c r="AP175" i="33"/>
  <c r="AP174" i="33"/>
  <c r="AP173" i="33"/>
  <c r="AD173" i="33"/>
  <c r="C173" i="51" s="1"/>
  <c r="X173" i="33"/>
  <c r="C173" i="52" s="1"/>
  <c r="R173" i="33"/>
  <c r="C173" i="53" s="1"/>
  <c r="L173" i="33"/>
  <c r="C173" i="50" s="1"/>
  <c r="AP172" i="33"/>
  <c r="AD172" i="33"/>
  <c r="C172" i="51" s="1"/>
  <c r="X172" i="33"/>
  <c r="C172" i="52" s="1"/>
  <c r="R172" i="33"/>
  <c r="C172" i="53" s="1"/>
  <c r="L172" i="33"/>
  <c r="C172" i="50" s="1"/>
  <c r="F172" i="33"/>
  <c r="C172" i="49" s="1"/>
  <c r="AP171" i="33"/>
  <c r="AD171" i="33"/>
  <c r="C171" i="51" s="1"/>
  <c r="X171" i="33"/>
  <c r="C171" i="52" s="1"/>
  <c r="R171" i="33"/>
  <c r="C171" i="53" s="1"/>
  <c r="L171" i="33"/>
  <c r="C171" i="50" s="1"/>
  <c r="F171" i="33"/>
  <c r="C171" i="49" s="1"/>
  <c r="AP170" i="33"/>
  <c r="AP169" i="33"/>
  <c r="AP162" i="33"/>
  <c r="AD162" i="33"/>
  <c r="C162" i="51" s="1"/>
  <c r="X162" i="33"/>
  <c r="C162" i="52" s="1"/>
  <c r="R162" i="33"/>
  <c r="C162" i="53" s="1"/>
  <c r="L162" i="33"/>
  <c r="C162" i="50" s="1"/>
  <c r="F162" i="33"/>
  <c r="C162" i="49" s="1"/>
  <c r="AP160" i="33"/>
  <c r="AD160" i="33"/>
  <c r="C160" i="51" s="1"/>
  <c r="X160" i="33"/>
  <c r="C160" i="52" s="1"/>
  <c r="R160" i="33"/>
  <c r="C160" i="53" s="1"/>
  <c r="L160" i="33"/>
  <c r="C160" i="50" s="1"/>
  <c r="F160" i="33"/>
  <c r="C160" i="49" s="1"/>
  <c r="AP159" i="33"/>
  <c r="AD159" i="33"/>
  <c r="C159" i="51" s="1"/>
  <c r="X159" i="33"/>
  <c r="C159" i="52" s="1"/>
  <c r="R159" i="33"/>
  <c r="C159" i="53" s="1"/>
  <c r="L159" i="33"/>
  <c r="C159" i="50" s="1"/>
  <c r="F159" i="33"/>
  <c r="C159" i="49" s="1"/>
  <c r="AP156" i="33"/>
  <c r="AD156" i="33"/>
  <c r="C156" i="51" s="1"/>
  <c r="X156" i="33"/>
  <c r="C156" i="52" s="1"/>
  <c r="R156" i="33"/>
  <c r="C156" i="53" s="1"/>
  <c r="L156" i="33"/>
  <c r="C156" i="50" s="1"/>
  <c r="F156" i="33"/>
  <c r="C156" i="49" s="1"/>
  <c r="AP155" i="33"/>
  <c r="AD155" i="33"/>
  <c r="C155" i="51" s="1"/>
  <c r="X155" i="33"/>
  <c r="C155" i="52" s="1"/>
  <c r="R155" i="33"/>
  <c r="C155" i="53" s="1"/>
  <c r="L155" i="33"/>
  <c r="C155" i="50" s="1"/>
  <c r="F155" i="33"/>
  <c r="C155" i="49" s="1"/>
  <c r="AP153" i="33"/>
  <c r="AD153" i="33"/>
  <c r="C153" i="51" s="1"/>
  <c r="X153" i="33"/>
  <c r="C153" i="52" s="1"/>
  <c r="R153" i="33"/>
  <c r="C153" i="53" s="1"/>
  <c r="L153" i="33"/>
  <c r="C153" i="50" s="1"/>
  <c r="F153" i="33"/>
  <c r="C153" i="49" s="1"/>
  <c r="BB152" i="33"/>
  <c r="BB168" i="33" s="1"/>
  <c r="BA152" i="33"/>
  <c r="BA168" i="33" s="1"/>
  <c r="AZ152" i="33"/>
  <c r="AZ168" i="33" s="1"/>
  <c r="AY152" i="33"/>
  <c r="AY168" i="33" s="1"/>
  <c r="AX152" i="33"/>
  <c r="AX168" i="33" s="1"/>
  <c r="AP152" i="33"/>
  <c r="AP168" i="33" s="1"/>
  <c r="AO152" i="33"/>
  <c r="AO168" i="33" s="1"/>
  <c r="AN152" i="33"/>
  <c r="AN168" i="33" s="1"/>
  <c r="AM152" i="33"/>
  <c r="AM168" i="33" s="1"/>
  <c r="AL152" i="33"/>
  <c r="AL168" i="33" s="1"/>
  <c r="AD152" i="33"/>
  <c r="AD168" i="33" s="1"/>
  <c r="AC152" i="33"/>
  <c r="AC168" i="33" s="1"/>
  <c r="AB152" i="33"/>
  <c r="AB168" i="33" s="1"/>
  <c r="AA152" i="33"/>
  <c r="AA168" i="33" s="1"/>
  <c r="Z152" i="33"/>
  <c r="Z168" i="33" s="1"/>
  <c r="X152" i="33"/>
  <c r="X168" i="33" s="1"/>
  <c r="W152" i="33"/>
  <c r="W168" i="33" s="1"/>
  <c r="V152" i="33"/>
  <c r="V168" i="33" s="1"/>
  <c r="U152" i="33"/>
  <c r="U168" i="33" s="1"/>
  <c r="T152" i="33"/>
  <c r="T168" i="33" s="1"/>
  <c r="R152" i="33"/>
  <c r="R168" i="33" s="1"/>
  <c r="Q152" i="33"/>
  <c r="Q168" i="33" s="1"/>
  <c r="P152" i="33"/>
  <c r="P168" i="33" s="1"/>
  <c r="O152" i="33"/>
  <c r="O168" i="33" s="1"/>
  <c r="N152" i="33"/>
  <c r="N168" i="33" s="1"/>
  <c r="L152" i="33"/>
  <c r="L168" i="33" s="1"/>
  <c r="K152" i="33"/>
  <c r="K168" i="33" s="1"/>
  <c r="J152" i="33"/>
  <c r="J168" i="33" s="1"/>
  <c r="I152" i="33"/>
  <c r="I168" i="33" s="1"/>
  <c r="H152" i="33"/>
  <c r="H168" i="33" s="1"/>
  <c r="F152" i="33"/>
  <c r="F168" i="33" s="1"/>
  <c r="E152" i="33"/>
  <c r="E168" i="33" s="1"/>
  <c r="D152" i="33"/>
  <c r="D168" i="33" s="1"/>
  <c r="C152" i="33"/>
  <c r="C168" i="33" s="1"/>
  <c r="B152" i="33"/>
  <c r="B168" i="33" s="1"/>
  <c r="AO151" i="33"/>
  <c r="AC151" i="33"/>
  <c r="W151" i="33"/>
  <c r="Q151" i="33"/>
  <c r="K151" i="33"/>
  <c r="E151" i="33"/>
  <c r="AP150" i="33"/>
  <c r="AD150" i="33"/>
  <c r="C150" i="51" s="1"/>
  <c r="X150" i="33"/>
  <c r="C150" i="52" s="1"/>
  <c r="R150" i="33"/>
  <c r="C150" i="53" s="1"/>
  <c r="L150" i="33"/>
  <c r="C150" i="50" s="1"/>
  <c r="F150" i="33"/>
  <c r="C150" i="49" s="1"/>
  <c r="AN151" i="33"/>
  <c r="AP145" i="33"/>
  <c r="AP144" i="33"/>
  <c r="AD144" i="33"/>
  <c r="C144" i="51" s="1"/>
  <c r="X144" i="33"/>
  <c r="C144" i="52" s="1"/>
  <c r="R144" i="33"/>
  <c r="C144" i="53" s="1"/>
  <c r="L144" i="33"/>
  <c r="C144" i="50" s="1"/>
  <c r="F144" i="33"/>
  <c r="C144" i="49" s="1"/>
  <c r="AP143" i="33"/>
  <c r="AD143" i="33"/>
  <c r="C143" i="51" s="1"/>
  <c r="X143" i="33"/>
  <c r="C143" i="52" s="1"/>
  <c r="R143" i="33"/>
  <c r="C143" i="53" s="1"/>
  <c r="L143" i="33"/>
  <c r="C143" i="50" s="1"/>
  <c r="F143" i="33"/>
  <c r="C143" i="49" s="1"/>
  <c r="AP142" i="33"/>
  <c r="AD142" i="33"/>
  <c r="C142" i="51" s="1"/>
  <c r="X142" i="33"/>
  <c r="C142" i="52" s="1"/>
  <c r="R142" i="33"/>
  <c r="C142" i="53" s="1"/>
  <c r="L142" i="33"/>
  <c r="C142" i="50" s="1"/>
  <c r="F142" i="33"/>
  <c r="C142" i="49" s="1"/>
  <c r="BB140" i="33"/>
  <c r="BA140" i="33"/>
  <c r="AZ140" i="33"/>
  <c r="AY140" i="33"/>
  <c r="AX140" i="33"/>
  <c r="AP140" i="33"/>
  <c r="AO140" i="33"/>
  <c r="AN140" i="33"/>
  <c r="AM140" i="33"/>
  <c r="AL140" i="33"/>
  <c r="AD140" i="33"/>
  <c r="AC140" i="33"/>
  <c r="AB140" i="33"/>
  <c r="AA140" i="33"/>
  <c r="Z140" i="33"/>
  <c r="X140" i="33"/>
  <c r="W140" i="33"/>
  <c r="V140" i="33"/>
  <c r="U140" i="33"/>
  <c r="T140" i="33"/>
  <c r="R140" i="33"/>
  <c r="Q140" i="33"/>
  <c r="P140" i="33"/>
  <c r="O140" i="33"/>
  <c r="N140" i="33"/>
  <c r="L140" i="33"/>
  <c r="K140" i="33"/>
  <c r="J140" i="33"/>
  <c r="I140" i="33"/>
  <c r="H140" i="33"/>
  <c r="F140" i="33"/>
  <c r="E140" i="33"/>
  <c r="D140" i="33"/>
  <c r="C140" i="33"/>
  <c r="B140" i="33"/>
  <c r="AD136" i="33"/>
  <c r="C136" i="51" s="1"/>
  <c r="X136" i="33"/>
  <c r="C136" i="52" s="1"/>
  <c r="R136" i="33"/>
  <c r="C136" i="53" s="1"/>
  <c r="L136" i="33"/>
  <c r="C136" i="50" s="1"/>
  <c r="F136" i="33"/>
  <c r="C136" i="49" s="1"/>
  <c r="AN128" i="33"/>
  <c r="AL128" i="33"/>
  <c r="Z128" i="33"/>
  <c r="T128" i="33"/>
  <c r="N128" i="33"/>
  <c r="K128" i="33"/>
  <c r="H128" i="33"/>
  <c r="AC128" i="33"/>
  <c r="E128" i="33"/>
  <c r="AP125" i="33"/>
  <c r="AD125" i="33"/>
  <c r="C125" i="51" s="1"/>
  <c r="X125" i="33"/>
  <c r="C125" i="52" s="1"/>
  <c r="R125" i="33"/>
  <c r="C125" i="53" s="1"/>
  <c r="L125" i="33"/>
  <c r="C125" i="50" s="1"/>
  <c r="F125" i="33"/>
  <c r="C125" i="49" s="1"/>
  <c r="AP123" i="33"/>
  <c r="R123" i="33"/>
  <c r="C123" i="53" s="1"/>
  <c r="F123" i="33"/>
  <c r="C123" i="49" s="1"/>
  <c r="AP122" i="33"/>
  <c r="R122" i="33"/>
  <c r="C122" i="53" s="1"/>
  <c r="L122" i="33"/>
  <c r="C122" i="50" s="1"/>
  <c r="F122" i="33"/>
  <c r="C122" i="49" s="1"/>
  <c r="AP121" i="33"/>
  <c r="L121" i="33"/>
  <c r="C121" i="50" s="1"/>
  <c r="F121" i="33"/>
  <c r="C121" i="49" s="1"/>
  <c r="AP120" i="33"/>
  <c r="R120" i="33"/>
  <c r="C120" i="53" s="1"/>
  <c r="F120" i="33"/>
  <c r="C120" i="49" s="1"/>
  <c r="AP119" i="33"/>
  <c r="R119" i="33"/>
  <c r="C119" i="53" s="1"/>
  <c r="AP118" i="33"/>
  <c r="AD118" i="33"/>
  <c r="C118" i="51" s="1"/>
  <c r="X118" i="33"/>
  <c r="C118" i="52" s="1"/>
  <c r="R118" i="33"/>
  <c r="C118" i="53" s="1"/>
  <c r="L118" i="33"/>
  <c r="C118" i="50" s="1"/>
  <c r="F118" i="33"/>
  <c r="C118" i="49" s="1"/>
  <c r="BB117" i="33"/>
  <c r="BA117" i="33"/>
  <c r="AZ117" i="33"/>
  <c r="AY117" i="33"/>
  <c r="AX117" i="33"/>
  <c r="AP117" i="33"/>
  <c r="AO117" i="33"/>
  <c r="AN117" i="33"/>
  <c r="AM117" i="33"/>
  <c r="AL117" i="33"/>
  <c r="AD117" i="33"/>
  <c r="AC117" i="33"/>
  <c r="AB117" i="33"/>
  <c r="AA117" i="33"/>
  <c r="Z117" i="33"/>
  <c r="X117" i="33"/>
  <c r="W117" i="33"/>
  <c r="V117" i="33"/>
  <c r="U117" i="33"/>
  <c r="T117" i="33"/>
  <c r="R117" i="33"/>
  <c r="Q117" i="33"/>
  <c r="P117" i="33"/>
  <c r="O117" i="33"/>
  <c r="N117" i="33"/>
  <c r="L117" i="33"/>
  <c r="K117" i="33"/>
  <c r="J117" i="33"/>
  <c r="I117" i="33"/>
  <c r="H117" i="33"/>
  <c r="F117" i="33"/>
  <c r="E117" i="33"/>
  <c r="D117" i="33"/>
  <c r="C117" i="33"/>
  <c r="B117" i="33"/>
  <c r="AO116" i="33"/>
  <c r="AN116" i="33"/>
  <c r="AM116" i="33"/>
  <c r="AP115" i="33"/>
  <c r="AA115" i="33"/>
  <c r="AD115" i="33" s="1"/>
  <c r="C115" i="51" s="1"/>
  <c r="U115" i="33"/>
  <c r="X115" i="33" s="1"/>
  <c r="C115" i="52" s="1"/>
  <c r="O115" i="33"/>
  <c r="R115" i="33" s="1"/>
  <c r="C115" i="53" s="1"/>
  <c r="I115" i="33"/>
  <c r="L115" i="33" s="1"/>
  <c r="C115" i="50" s="1"/>
  <c r="C115" i="33"/>
  <c r="AP114" i="33"/>
  <c r="AB114" i="33"/>
  <c r="V114" i="33"/>
  <c r="X114" i="33" s="1"/>
  <c r="C114" i="52" s="1"/>
  <c r="P114" i="33"/>
  <c r="J114" i="33"/>
  <c r="L114" i="33" s="1"/>
  <c r="C114" i="50" s="1"/>
  <c r="D114" i="33"/>
  <c r="AP113" i="33"/>
  <c r="Z113" i="33"/>
  <c r="N113" i="33"/>
  <c r="H113" i="33"/>
  <c r="B113" i="33"/>
  <c r="AP112" i="33"/>
  <c r="Z112" i="33"/>
  <c r="AD112" i="33" s="1"/>
  <c r="C112" i="51" s="1"/>
  <c r="T112" i="33"/>
  <c r="X112" i="33" s="1"/>
  <c r="C112" i="52" s="1"/>
  <c r="N112" i="33"/>
  <c r="R112" i="33" s="1"/>
  <c r="C112" i="53" s="1"/>
  <c r="H112" i="33"/>
  <c r="F112" i="33"/>
  <c r="C112" i="49" s="1"/>
  <c r="AP110" i="33"/>
  <c r="AD110" i="33"/>
  <c r="C110" i="51" s="1"/>
  <c r="R110" i="33"/>
  <c r="C110" i="53" s="1"/>
  <c r="L110" i="33"/>
  <c r="C110" i="50" s="1"/>
  <c r="AP109" i="33"/>
  <c r="AD109" i="33"/>
  <c r="C109" i="51" s="1"/>
  <c r="X109" i="33"/>
  <c r="C109" i="52" s="1"/>
  <c r="R109" i="33"/>
  <c r="C109" i="53" s="1"/>
  <c r="L109" i="33"/>
  <c r="C109" i="50" s="1"/>
  <c r="F109" i="33"/>
  <c r="C109" i="49" s="1"/>
  <c r="AP108" i="33"/>
  <c r="AP107" i="33"/>
  <c r="AP106" i="33"/>
  <c r="AD106" i="33"/>
  <c r="C106" i="51" s="1"/>
  <c r="X106" i="33"/>
  <c r="C106" i="52" s="1"/>
  <c r="L106" i="33"/>
  <c r="C106" i="50" s="1"/>
  <c r="F106" i="33"/>
  <c r="C106" i="49" s="1"/>
  <c r="R105" i="33"/>
  <c r="C105" i="53" s="1"/>
  <c r="B105" i="36"/>
  <c r="AP104" i="33"/>
  <c r="H104" i="36"/>
  <c r="F104" i="33"/>
  <c r="C104" i="49" s="1"/>
  <c r="AP103" i="33"/>
  <c r="T103" i="36"/>
  <c r="R103" i="33"/>
  <c r="C103" i="53" s="1"/>
  <c r="H103" i="36"/>
  <c r="BB101" i="33"/>
  <c r="BA101" i="33"/>
  <c r="AZ101" i="33"/>
  <c r="AY101" i="33"/>
  <c r="AX101" i="33"/>
  <c r="AP101" i="33"/>
  <c r="AO101" i="33"/>
  <c r="AN101" i="33"/>
  <c r="AM101" i="33"/>
  <c r="AL101" i="33"/>
  <c r="AD101" i="33"/>
  <c r="AC101" i="33"/>
  <c r="AB101" i="33"/>
  <c r="AA101" i="33"/>
  <c r="Z101" i="33"/>
  <c r="X101" i="33"/>
  <c r="W101" i="33"/>
  <c r="V101" i="33"/>
  <c r="U101" i="33"/>
  <c r="T101" i="33"/>
  <c r="R101" i="33"/>
  <c r="Q101" i="33"/>
  <c r="P101" i="33"/>
  <c r="O101" i="33"/>
  <c r="N101" i="33"/>
  <c r="L101" i="33"/>
  <c r="K101" i="33"/>
  <c r="J101" i="33"/>
  <c r="I101" i="33"/>
  <c r="H101" i="33"/>
  <c r="F101" i="33"/>
  <c r="E101" i="33"/>
  <c r="D101" i="33"/>
  <c r="C101" i="33"/>
  <c r="B101" i="33"/>
  <c r="W98" i="33"/>
  <c r="AO97" i="33"/>
  <c r="AN97" i="33"/>
  <c r="AM97" i="33"/>
  <c r="AL97" i="33"/>
  <c r="AC97" i="33"/>
  <c r="AB97" i="33"/>
  <c r="AA97" i="33"/>
  <c r="Z97" i="33"/>
  <c r="W97" i="33"/>
  <c r="V97" i="33"/>
  <c r="U97" i="33"/>
  <c r="T97" i="33"/>
  <c r="Q97" i="33"/>
  <c r="P97" i="33"/>
  <c r="O97" i="33"/>
  <c r="N97" i="33"/>
  <c r="K97" i="33"/>
  <c r="J97" i="33"/>
  <c r="I97" i="33"/>
  <c r="H97" i="33"/>
  <c r="E97" i="33"/>
  <c r="BA97" i="33" s="1"/>
  <c r="D97" i="33"/>
  <c r="C97" i="33"/>
  <c r="B97" i="33"/>
  <c r="AX97" i="33" s="1"/>
  <c r="AO96" i="33"/>
  <c r="AN96" i="33"/>
  <c r="AM96" i="33"/>
  <c r="AL96" i="33"/>
  <c r="AC96" i="33"/>
  <c r="AB96" i="33"/>
  <c r="AA96" i="33"/>
  <c r="Z96" i="33"/>
  <c r="W96" i="33"/>
  <c r="V96" i="33"/>
  <c r="U96" i="33"/>
  <c r="T96" i="33"/>
  <c r="Q96" i="33"/>
  <c r="P96" i="33"/>
  <c r="O96" i="33"/>
  <c r="N96" i="33"/>
  <c r="K96" i="33"/>
  <c r="J96" i="33"/>
  <c r="I96" i="33"/>
  <c r="H96" i="33"/>
  <c r="E96" i="33"/>
  <c r="BA96" i="33" s="1"/>
  <c r="D96" i="33"/>
  <c r="C96" i="33"/>
  <c r="B96" i="33"/>
  <c r="AX96" i="33" s="1"/>
  <c r="AO95" i="33"/>
  <c r="AN95" i="33"/>
  <c r="AM95" i="33"/>
  <c r="AC95" i="33"/>
  <c r="AB95" i="33"/>
  <c r="AA95" i="33"/>
  <c r="W95" i="33"/>
  <c r="V95" i="33"/>
  <c r="U95" i="33"/>
  <c r="T95" i="33"/>
  <c r="Q95" i="33"/>
  <c r="P95" i="33"/>
  <c r="O95" i="33"/>
  <c r="N95" i="33"/>
  <c r="K95" i="33"/>
  <c r="J95" i="33"/>
  <c r="I95" i="33"/>
  <c r="E95" i="33"/>
  <c r="D95" i="33"/>
  <c r="C95" i="33"/>
  <c r="B95" i="33"/>
  <c r="AO94" i="33"/>
  <c r="AN94" i="33"/>
  <c r="AC94" i="33"/>
  <c r="AB94" i="33"/>
  <c r="W94" i="33"/>
  <c r="V94" i="33"/>
  <c r="Q94" i="33"/>
  <c r="P94" i="33"/>
  <c r="K94" i="33"/>
  <c r="J94" i="33"/>
  <c r="E94" i="33"/>
  <c r="BA94" i="33" s="1"/>
  <c r="D94" i="33"/>
  <c r="AO93" i="33"/>
  <c r="AN93" i="33"/>
  <c r="AC93" i="33"/>
  <c r="AB93" i="33"/>
  <c r="W93" i="33"/>
  <c r="V93" i="33"/>
  <c r="Q93" i="33"/>
  <c r="P93" i="33"/>
  <c r="K93" i="33"/>
  <c r="J93" i="33"/>
  <c r="E93" i="33"/>
  <c r="D93" i="33"/>
  <c r="AZ93" i="33" s="1"/>
  <c r="AO92" i="33"/>
  <c r="AN92" i="33"/>
  <c r="AC92" i="33"/>
  <c r="AB92" i="33"/>
  <c r="W92" i="33"/>
  <c r="V92" i="33"/>
  <c r="Q92" i="33"/>
  <c r="P92" i="33"/>
  <c r="K92" i="33"/>
  <c r="J92" i="33"/>
  <c r="E92" i="33"/>
  <c r="D92" i="33"/>
  <c r="AO91" i="33"/>
  <c r="AC91" i="33"/>
  <c r="W91" i="33"/>
  <c r="Q91" i="33"/>
  <c r="K91" i="33"/>
  <c r="E91" i="33"/>
  <c r="AO90" i="33"/>
  <c r="AC90" i="33"/>
  <c r="W90" i="33"/>
  <c r="Q90" i="33"/>
  <c r="K90" i="33"/>
  <c r="E90" i="33"/>
  <c r="BA90" i="33" s="1"/>
  <c r="AN89" i="33"/>
  <c r="AB89" i="33"/>
  <c r="V89" i="33"/>
  <c r="P89" i="33"/>
  <c r="J89" i="33"/>
  <c r="D89" i="33"/>
  <c r="AO88" i="33"/>
  <c r="AN88" i="33"/>
  <c r="AM88" i="33"/>
  <c r="AC88" i="33"/>
  <c r="AB88" i="33"/>
  <c r="AA88" i="33"/>
  <c r="W88" i="33"/>
  <c r="V88" i="33"/>
  <c r="U88" i="33"/>
  <c r="Q88" i="33"/>
  <c r="P88" i="33"/>
  <c r="O88" i="33"/>
  <c r="K88" i="33"/>
  <c r="J88" i="33"/>
  <c r="I88" i="33"/>
  <c r="E88" i="33"/>
  <c r="D88" i="33"/>
  <c r="C88" i="33"/>
  <c r="AY88" i="33" s="1"/>
  <c r="AO87" i="33"/>
  <c r="AN87" i="33"/>
  <c r="AM87" i="33"/>
  <c r="AC87" i="33"/>
  <c r="AB87" i="33"/>
  <c r="AA87" i="33"/>
  <c r="W87" i="33"/>
  <c r="V87" i="33"/>
  <c r="U87" i="33"/>
  <c r="Q87" i="33"/>
  <c r="P87" i="33"/>
  <c r="O87" i="33"/>
  <c r="K87" i="33"/>
  <c r="J87" i="33"/>
  <c r="I87" i="33"/>
  <c r="E87" i="33"/>
  <c r="BA87" i="33" s="1"/>
  <c r="D87" i="33"/>
  <c r="C87" i="33"/>
  <c r="AP84" i="33"/>
  <c r="AP97" i="33" s="1"/>
  <c r="AD84" i="33"/>
  <c r="X84" i="33"/>
  <c r="R84" i="33"/>
  <c r="L84" i="33"/>
  <c r="F84" i="33"/>
  <c r="AP83" i="33"/>
  <c r="AP96" i="33" s="1"/>
  <c r="AD83" i="33"/>
  <c r="X83" i="33"/>
  <c r="R83" i="33"/>
  <c r="L83" i="33"/>
  <c r="F83" i="33"/>
  <c r="AL95" i="33"/>
  <c r="Z95" i="33"/>
  <c r="X82" i="33"/>
  <c r="R82" i="33"/>
  <c r="F82" i="33"/>
  <c r="AM81" i="33"/>
  <c r="AM94" i="33" s="1"/>
  <c r="AL81" i="33"/>
  <c r="AL94" i="33" s="1"/>
  <c r="Z81" i="33"/>
  <c r="Z94" i="33" s="1"/>
  <c r="T81" i="33"/>
  <c r="T94" i="33" s="1"/>
  <c r="N81" i="33"/>
  <c r="N94" i="33" s="1"/>
  <c r="H81" i="33"/>
  <c r="H94" i="33" s="1"/>
  <c r="B81" i="33"/>
  <c r="AM80" i="33"/>
  <c r="AM93" i="33" s="1"/>
  <c r="AL80" i="33"/>
  <c r="AL93" i="33" s="1"/>
  <c r="Z80" i="33"/>
  <c r="Z93" i="33" s="1"/>
  <c r="T80" i="33"/>
  <c r="T93" i="33" s="1"/>
  <c r="N80" i="33"/>
  <c r="N93" i="33" s="1"/>
  <c r="H80" i="33"/>
  <c r="H93" i="33" s="1"/>
  <c r="B80" i="33"/>
  <c r="AM79" i="33"/>
  <c r="AM92" i="33" s="1"/>
  <c r="AL79" i="33"/>
  <c r="AL92" i="33" s="1"/>
  <c r="Z79" i="33"/>
  <c r="Z92" i="33" s="1"/>
  <c r="T79" i="33"/>
  <c r="T92" i="33" s="1"/>
  <c r="N79" i="33"/>
  <c r="N92" i="33" s="1"/>
  <c r="H79" i="33"/>
  <c r="H92" i="33" s="1"/>
  <c r="B79" i="33"/>
  <c r="AN78" i="33"/>
  <c r="AN91" i="33" s="1"/>
  <c r="AM78" i="33"/>
  <c r="AM91" i="33" s="1"/>
  <c r="AL78" i="33"/>
  <c r="AL91" i="33" s="1"/>
  <c r="AA78" i="33"/>
  <c r="AA91" i="33" s="1"/>
  <c r="Z78" i="33"/>
  <c r="Z91" i="33" s="1"/>
  <c r="U78" i="33"/>
  <c r="U91" i="33" s="1"/>
  <c r="T78" i="33"/>
  <c r="T91" i="33" s="1"/>
  <c r="O78" i="33"/>
  <c r="O91" i="33" s="1"/>
  <c r="N78" i="33"/>
  <c r="N91" i="33" s="1"/>
  <c r="I78" i="33"/>
  <c r="I91" i="33" s="1"/>
  <c r="H78" i="33"/>
  <c r="H91" i="33" s="1"/>
  <c r="C78" i="33"/>
  <c r="B78" i="33"/>
  <c r="AN77" i="33"/>
  <c r="AN90" i="33" s="1"/>
  <c r="AM77" i="33"/>
  <c r="AM90" i="33" s="1"/>
  <c r="AL77" i="33"/>
  <c r="AL90" i="33" s="1"/>
  <c r="AA77" i="33"/>
  <c r="AA90" i="33" s="1"/>
  <c r="Z77" i="33"/>
  <c r="Z90" i="33" s="1"/>
  <c r="U77" i="33"/>
  <c r="U90" i="33" s="1"/>
  <c r="T77" i="33"/>
  <c r="T90" i="33" s="1"/>
  <c r="O77" i="33"/>
  <c r="O90" i="33" s="1"/>
  <c r="N77" i="33"/>
  <c r="N90" i="33" s="1"/>
  <c r="I77" i="33"/>
  <c r="H77" i="33"/>
  <c r="H90" i="33" s="1"/>
  <c r="C77" i="33"/>
  <c r="B77" i="33"/>
  <c r="AM76" i="33"/>
  <c r="AL76" i="33"/>
  <c r="AL89" i="33" s="1"/>
  <c r="AA76" i="33"/>
  <c r="Z76" i="33"/>
  <c r="Z89" i="33" s="1"/>
  <c r="U76" i="33"/>
  <c r="T76" i="33"/>
  <c r="T89" i="33" s="1"/>
  <c r="O76" i="33"/>
  <c r="O89" i="33" s="1"/>
  <c r="N76" i="33"/>
  <c r="N89" i="33" s="1"/>
  <c r="I76" i="33"/>
  <c r="I89" i="33" s="1"/>
  <c r="H76" i="33"/>
  <c r="H89" i="33" s="1"/>
  <c r="C76" i="33"/>
  <c r="B76" i="33"/>
  <c r="BB73" i="33"/>
  <c r="BA73" i="33"/>
  <c r="AY73" i="33"/>
  <c r="AX73" i="33"/>
  <c r="AP73" i="33"/>
  <c r="AO73" i="33"/>
  <c r="AM73" i="33"/>
  <c r="AL73" i="33"/>
  <c r="AD73" i="33"/>
  <c r="AC73" i="33"/>
  <c r="AA73" i="33"/>
  <c r="Z73" i="33"/>
  <c r="X73" i="33"/>
  <c r="W73" i="33"/>
  <c r="U73" i="33"/>
  <c r="T73" i="33"/>
  <c r="R73" i="33"/>
  <c r="Q73" i="33"/>
  <c r="O73" i="33"/>
  <c r="N73" i="33"/>
  <c r="L73" i="33"/>
  <c r="K73" i="33"/>
  <c r="I73" i="33"/>
  <c r="H73" i="33"/>
  <c r="F73" i="33"/>
  <c r="E73" i="33"/>
  <c r="C73" i="33"/>
  <c r="B73" i="33"/>
  <c r="AO62" i="33"/>
  <c r="AO65" i="33" s="1"/>
  <c r="AN62" i="33"/>
  <c r="AN65" i="33" s="1"/>
  <c r="AM62" i="33"/>
  <c r="AM65" i="33" s="1"/>
  <c r="AL62" i="33"/>
  <c r="AL65" i="33" s="1"/>
  <c r="AC62" i="33"/>
  <c r="AC65" i="33" s="1"/>
  <c r="AB62" i="33"/>
  <c r="AB65" i="33" s="1"/>
  <c r="AA62" i="33"/>
  <c r="AA65" i="33" s="1"/>
  <c r="Z62" i="33"/>
  <c r="Z65" i="33" s="1"/>
  <c r="W62" i="33"/>
  <c r="W65" i="33" s="1"/>
  <c r="V62" i="33"/>
  <c r="V65" i="33" s="1"/>
  <c r="U62" i="33"/>
  <c r="U65" i="33" s="1"/>
  <c r="T62" i="33"/>
  <c r="T65" i="33" s="1"/>
  <c r="Q62" i="33"/>
  <c r="Q65" i="33" s="1"/>
  <c r="P62" i="33"/>
  <c r="P65" i="33" s="1"/>
  <c r="O62" i="33"/>
  <c r="O65" i="33" s="1"/>
  <c r="N62" i="33"/>
  <c r="N65" i="33" s="1"/>
  <c r="K62" i="33"/>
  <c r="K65" i="33" s="1"/>
  <c r="J62" i="33"/>
  <c r="J65" i="33" s="1"/>
  <c r="I62" i="33"/>
  <c r="I65" i="33" s="1"/>
  <c r="H62" i="33"/>
  <c r="H65" i="33" s="1"/>
  <c r="E62" i="33"/>
  <c r="E65" i="33" s="1"/>
  <c r="D62" i="33"/>
  <c r="D65" i="33" s="1"/>
  <c r="C62" i="33"/>
  <c r="C65" i="33" s="1"/>
  <c r="B62" i="33"/>
  <c r="B65" i="33" s="1"/>
  <c r="AP62" i="33"/>
  <c r="AP65" i="33" s="1"/>
  <c r="L62" i="33"/>
  <c r="L65" i="33" s="1"/>
  <c r="BB41" i="33"/>
  <c r="BA41" i="33"/>
  <c r="AZ41" i="33"/>
  <c r="AY41" i="33"/>
  <c r="AX41" i="33"/>
  <c r="AP41" i="33"/>
  <c r="AO41" i="33"/>
  <c r="AN41" i="33"/>
  <c r="AM41" i="33"/>
  <c r="AL41" i="33"/>
  <c r="AD41" i="33"/>
  <c r="AC41" i="33"/>
  <c r="AB41" i="33"/>
  <c r="AA41" i="33"/>
  <c r="Z41" i="33"/>
  <c r="X41" i="33"/>
  <c r="W41" i="33"/>
  <c r="V41" i="33"/>
  <c r="U41" i="33"/>
  <c r="T41" i="33"/>
  <c r="R41" i="33"/>
  <c r="Q41" i="33"/>
  <c r="P41" i="33"/>
  <c r="O41" i="33"/>
  <c r="N41" i="33"/>
  <c r="L41" i="33"/>
  <c r="K41" i="33"/>
  <c r="J41" i="33"/>
  <c r="I41" i="33"/>
  <c r="H41" i="33"/>
  <c r="F41" i="33"/>
  <c r="E41" i="33"/>
  <c r="D41" i="33"/>
  <c r="C41" i="33"/>
  <c r="B41" i="33"/>
  <c r="AO39" i="33"/>
  <c r="AO137" i="33" s="1"/>
  <c r="AN39" i="33"/>
  <c r="AN137" i="33" s="1"/>
  <c r="AM39" i="33"/>
  <c r="AM64" i="33" s="1"/>
  <c r="AL39" i="33"/>
  <c r="AL137" i="33" s="1"/>
  <c r="AC39" i="33"/>
  <c r="AB39" i="33"/>
  <c r="AA39" i="33"/>
  <c r="Z39" i="33"/>
  <c r="W39" i="33"/>
  <c r="V39" i="33"/>
  <c r="U39" i="33"/>
  <c r="T39" i="33"/>
  <c r="Q39" i="33"/>
  <c r="P39" i="33"/>
  <c r="O39" i="33"/>
  <c r="N39" i="33"/>
  <c r="K39" i="33"/>
  <c r="J39" i="33"/>
  <c r="I39" i="33"/>
  <c r="H39" i="33"/>
  <c r="E39" i="33"/>
  <c r="D39" i="33"/>
  <c r="C39" i="33"/>
  <c r="B39" i="33"/>
  <c r="AP38" i="33"/>
  <c r="AD38" i="33"/>
  <c r="C38" i="51" s="1"/>
  <c r="X38" i="33"/>
  <c r="C38" i="52" s="1"/>
  <c r="R38" i="33"/>
  <c r="C38" i="53" s="1"/>
  <c r="L38" i="33"/>
  <c r="C38" i="50" s="1"/>
  <c r="F38" i="33"/>
  <c r="C38" i="49" s="1"/>
  <c r="AP37" i="33"/>
  <c r="AD37" i="33"/>
  <c r="C37" i="51" s="1"/>
  <c r="X37" i="33"/>
  <c r="C37" i="52" s="1"/>
  <c r="R37" i="33"/>
  <c r="C37" i="53" s="1"/>
  <c r="L37" i="33"/>
  <c r="C37" i="50" s="1"/>
  <c r="F37" i="33"/>
  <c r="C37" i="49" s="1"/>
  <c r="AP36" i="33"/>
  <c r="AD36" i="33"/>
  <c r="C36" i="51" s="1"/>
  <c r="X36" i="33"/>
  <c r="C36" i="52" s="1"/>
  <c r="R36" i="33"/>
  <c r="C36" i="53" s="1"/>
  <c r="L36" i="33"/>
  <c r="C36" i="50" s="1"/>
  <c r="F36" i="33"/>
  <c r="C36" i="49" s="1"/>
  <c r="AP35" i="33"/>
  <c r="AD35" i="33"/>
  <c r="C35" i="51" s="1"/>
  <c r="X35" i="33"/>
  <c r="C35" i="52" s="1"/>
  <c r="R35" i="33"/>
  <c r="C35" i="53" s="1"/>
  <c r="L35" i="33"/>
  <c r="C35" i="50" s="1"/>
  <c r="F35" i="33"/>
  <c r="C35" i="49" s="1"/>
  <c r="AP34" i="33"/>
  <c r="AD34" i="33"/>
  <c r="C34" i="51" s="1"/>
  <c r="X34" i="33"/>
  <c r="C34" i="52" s="1"/>
  <c r="R34" i="33"/>
  <c r="C34" i="53" s="1"/>
  <c r="L34" i="33"/>
  <c r="C34" i="50" s="1"/>
  <c r="F34" i="33"/>
  <c r="C34" i="49" s="1"/>
  <c r="AP33" i="33"/>
  <c r="AD33" i="33"/>
  <c r="C33" i="51" s="1"/>
  <c r="X33" i="33"/>
  <c r="C33" i="52" s="1"/>
  <c r="R33" i="33"/>
  <c r="C33" i="53" s="1"/>
  <c r="L33" i="33"/>
  <c r="C33" i="50" s="1"/>
  <c r="F33" i="33"/>
  <c r="C33" i="49" s="1"/>
  <c r="AP32" i="33"/>
  <c r="AD32" i="33"/>
  <c r="C32" i="51" s="1"/>
  <c r="X32" i="33"/>
  <c r="C32" i="52" s="1"/>
  <c r="R32" i="33"/>
  <c r="C32" i="53" s="1"/>
  <c r="L32" i="33"/>
  <c r="C32" i="50" s="1"/>
  <c r="F32" i="33"/>
  <c r="C32" i="49" s="1"/>
  <c r="AP31" i="33"/>
  <c r="AD31" i="33"/>
  <c r="C31" i="51" s="1"/>
  <c r="X31" i="33"/>
  <c r="C31" i="52" s="1"/>
  <c r="R31" i="33"/>
  <c r="C31" i="53" s="1"/>
  <c r="L31" i="33"/>
  <c r="C31" i="50" s="1"/>
  <c r="F31" i="33"/>
  <c r="C31" i="49" s="1"/>
  <c r="AP30" i="33"/>
  <c r="AD30" i="33"/>
  <c r="C30" i="51" s="1"/>
  <c r="X30" i="33"/>
  <c r="C30" i="52" s="1"/>
  <c r="R30" i="33"/>
  <c r="C30" i="53" s="1"/>
  <c r="L30" i="33"/>
  <c r="C30" i="50" s="1"/>
  <c r="F30" i="33"/>
  <c r="C30" i="49" s="1"/>
  <c r="AP29" i="33"/>
  <c r="AD29" i="33"/>
  <c r="C29" i="51" s="1"/>
  <c r="X29" i="33"/>
  <c r="C29" i="52" s="1"/>
  <c r="C39" i="52" s="1"/>
  <c r="C64" i="52" s="1"/>
  <c r="C66" i="52" s="1"/>
  <c r="R29" i="33"/>
  <c r="C29" i="53" s="1"/>
  <c r="L29" i="33"/>
  <c r="C29" i="50" s="1"/>
  <c r="F29" i="33"/>
  <c r="C29" i="49" s="1"/>
  <c r="BB27" i="33"/>
  <c r="AP27" i="33"/>
  <c r="AD27" i="33"/>
  <c r="X27" i="33"/>
  <c r="R27" i="33"/>
  <c r="L27" i="33"/>
  <c r="F27" i="33"/>
  <c r="AP26" i="33"/>
  <c r="AP25" i="33"/>
  <c r="AD25" i="33"/>
  <c r="C25" i="51" s="1"/>
  <c r="X25" i="33"/>
  <c r="C25" i="52" s="1"/>
  <c r="R25" i="33"/>
  <c r="C25" i="53" s="1"/>
  <c r="L25" i="33"/>
  <c r="C25" i="50" s="1"/>
  <c r="F25" i="33"/>
  <c r="C25" i="49" s="1"/>
  <c r="AP24" i="33"/>
  <c r="AP23" i="33"/>
  <c r="AP22" i="33"/>
  <c r="BA19" i="33"/>
  <c r="AZ19" i="33"/>
  <c r="AY19" i="33"/>
  <c r="AL19" i="33"/>
  <c r="AD18" i="33"/>
  <c r="C18" i="51" s="1"/>
  <c r="X18" i="33"/>
  <c r="C18" i="52" s="1"/>
  <c r="R18" i="33"/>
  <c r="C18" i="53" s="1"/>
  <c r="L18" i="33"/>
  <c r="C18" i="50" s="1"/>
  <c r="F18" i="33"/>
  <c r="C18" i="49" s="1"/>
  <c r="AD17" i="33"/>
  <c r="C17" i="51" s="1"/>
  <c r="X17" i="33"/>
  <c r="C17" i="52" s="1"/>
  <c r="R17" i="33"/>
  <c r="C17" i="53" s="1"/>
  <c r="L17" i="33"/>
  <c r="C17" i="50" s="1"/>
  <c r="F17" i="33"/>
  <c r="C17" i="49" s="1"/>
  <c r="AD16" i="33"/>
  <c r="X16" i="33"/>
  <c r="C16" i="52" s="1"/>
  <c r="R16" i="33"/>
  <c r="C16" i="53" s="1"/>
  <c r="L16" i="33"/>
  <c r="C16" i="50" s="1"/>
  <c r="F16" i="33"/>
  <c r="C16" i="49" s="1"/>
  <c r="AP15" i="33"/>
  <c r="AD15" i="33"/>
  <c r="X15" i="33"/>
  <c r="C15" i="52" s="1"/>
  <c r="R15" i="33"/>
  <c r="C15" i="53" s="1"/>
  <c r="F15" i="33"/>
  <c r="C15" i="49" s="1"/>
  <c r="AP14" i="33"/>
  <c r="X14" i="33"/>
  <c r="C14" i="52" s="1"/>
  <c r="R14" i="33"/>
  <c r="H14" i="33"/>
  <c r="F14" i="33"/>
  <c r="C14" i="49" s="1"/>
  <c r="AP13" i="33"/>
  <c r="AD13" i="33"/>
  <c r="X13" i="33"/>
  <c r="C13" i="52" s="1"/>
  <c r="R13" i="33"/>
  <c r="H13" i="33"/>
  <c r="F13" i="33"/>
  <c r="C13" i="49" s="1"/>
  <c r="AP12" i="33"/>
  <c r="X12" i="33"/>
  <c r="C12" i="52" s="1"/>
  <c r="R12" i="33"/>
  <c r="L12" i="33"/>
  <c r="F12" i="33"/>
  <c r="C12" i="49" s="1"/>
  <c r="AP11" i="33"/>
  <c r="AD11" i="33"/>
  <c r="X11" i="33"/>
  <c r="R11" i="33"/>
  <c r="L11" i="33"/>
  <c r="AP10" i="33"/>
  <c r="AD10" i="33"/>
  <c r="N10" i="33"/>
  <c r="L10" i="33"/>
  <c r="AP9" i="33"/>
  <c r="AD9" i="33"/>
  <c r="X9" i="33"/>
  <c r="R9" i="33"/>
  <c r="L9" i="33"/>
  <c r="F9" i="33"/>
  <c r="AP8" i="33"/>
  <c r="AD8" i="33"/>
  <c r="X8" i="33"/>
  <c r="R8" i="33"/>
  <c r="L8" i="33"/>
  <c r="B8" i="33"/>
  <c r="AX8" i="33" s="1"/>
  <c r="AP7" i="33"/>
  <c r="AD7" i="33"/>
  <c r="X7" i="33"/>
  <c r="R7" i="33"/>
  <c r="L7" i="33"/>
  <c r="B7" i="33"/>
  <c r="AX7" i="33" s="1"/>
  <c r="AP6" i="33"/>
  <c r="X6" i="33"/>
  <c r="R6" i="33"/>
  <c r="H6" i="33"/>
  <c r="L6" i="33" s="1"/>
  <c r="B6" i="33"/>
  <c r="BA5" i="33"/>
  <c r="AZ5" i="33"/>
  <c r="AY5" i="33"/>
  <c r="AL5" i="33"/>
  <c r="BB3" i="33"/>
  <c r="AP3" i="33"/>
  <c r="AD3" i="33"/>
  <c r="X3" i="33"/>
  <c r="R3" i="33"/>
  <c r="L3" i="33"/>
  <c r="F3" i="33"/>
  <c r="AP2" i="33"/>
  <c r="AD2" i="33"/>
  <c r="C2" i="51" s="1"/>
  <c r="X2" i="33"/>
  <c r="C2" i="52" s="1"/>
  <c r="R2" i="33"/>
  <c r="C2" i="53" s="1"/>
  <c r="L2" i="33"/>
  <c r="C2" i="50" s="1"/>
  <c r="F2" i="33"/>
  <c r="C2" i="49" s="1"/>
  <c r="BC19" i="42" l="1"/>
  <c r="H72" i="34"/>
  <c r="BA93" i="33"/>
  <c r="AX6" i="33"/>
  <c r="AZ92" i="33"/>
  <c r="AZ94" i="33"/>
  <c r="AY96" i="33"/>
  <c r="AY97" i="33"/>
  <c r="C70" i="34"/>
  <c r="E72" i="34"/>
  <c r="BC19" i="36"/>
  <c r="K2" i="53"/>
  <c r="M8" i="33"/>
  <c r="J8" i="50" s="1"/>
  <c r="C8" i="50"/>
  <c r="Y9" i="33"/>
  <c r="J9" i="52" s="1"/>
  <c r="C9" i="52"/>
  <c r="S11" i="33"/>
  <c r="J11" i="53" s="1"/>
  <c r="C11" i="53"/>
  <c r="L14" i="33"/>
  <c r="AX14" i="33"/>
  <c r="BB14" i="33" s="1"/>
  <c r="C14" i="39" s="1"/>
  <c r="D46" i="43" s="1"/>
  <c r="D25" i="43" s="1"/>
  <c r="E137" i="33"/>
  <c r="E135" i="33"/>
  <c r="E132" i="33"/>
  <c r="Q137" i="33"/>
  <c r="Q135" i="33"/>
  <c r="Q132" i="33"/>
  <c r="W137" i="33"/>
  <c r="W135" i="33"/>
  <c r="W132" i="33"/>
  <c r="AC137" i="33"/>
  <c r="AC135" i="33"/>
  <c r="AC132" i="33"/>
  <c r="C91" i="33"/>
  <c r="AY91" i="33" s="1"/>
  <c r="AY78" i="33"/>
  <c r="B92" i="33"/>
  <c r="AX92" i="33" s="1"/>
  <c r="AX79" i="33"/>
  <c r="F97" i="33"/>
  <c r="C97" i="49" s="1"/>
  <c r="C84" i="49"/>
  <c r="AD97" i="33"/>
  <c r="C97" i="51" s="1"/>
  <c r="C84" i="51"/>
  <c r="AV107" i="33"/>
  <c r="AX107" i="33"/>
  <c r="AU116" i="33"/>
  <c r="BA113" i="33"/>
  <c r="AV148" i="33"/>
  <c r="AY148" i="33"/>
  <c r="AV186" i="33"/>
  <c r="AX186" i="33"/>
  <c r="BB186" i="33" s="1"/>
  <c r="C186" i="39" s="1"/>
  <c r="K2" i="52"/>
  <c r="M6" i="33"/>
  <c r="J6" i="50" s="1"/>
  <c r="C6" i="50"/>
  <c r="AE7" i="33"/>
  <c r="J7" i="51" s="1"/>
  <c r="C7" i="51"/>
  <c r="S8" i="33"/>
  <c r="J8" i="53" s="1"/>
  <c r="C8" i="53"/>
  <c r="AE9" i="33"/>
  <c r="J9" i="51" s="1"/>
  <c r="C9" i="51"/>
  <c r="Y11" i="33"/>
  <c r="J11" i="52" s="1"/>
  <c r="C11" i="52"/>
  <c r="S14" i="33"/>
  <c r="J14" i="53" s="1"/>
  <c r="C14" i="53"/>
  <c r="C39" i="49"/>
  <c r="C64" i="49" s="1"/>
  <c r="C66" i="49" s="1"/>
  <c r="B137" i="33"/>
  <c r="B108" i="33"/>
  <c r="B132" i="33"/>
  <c r="B135" i="33"/>
  <c r="H137" i="33"/>
  <c r="H108" i="33"/>
  <c r="H132" i="33"/>
  <c r="H135" i="33"/>
  <c r="T137" i="33"/>
  <c r="T108" i="33"/>
  <c r="T132" i="33"/>
  <c r="T135" i="33"/>
  <c r="Z137" i="33"/>
  <c r="Z108" i="33"/>
  <c r="Z132" i="33"/>
  <c r="Z135" i="33"/>
  <c r="X96" i="33"/>
  <c r="C96" i="52" s="1"/>
  <c r="C83" i="52"/>
  <c r="C235" i="51"/>
  <c r="F70" i="34"/>
  <c r="K2" i="49"/>
  <c r="M9" i="33"/>
  <c r="J9" i="50" s="1"/>
  <c r="C9" i="50"/>
  <c r="AE11" i="33"/>
  <c r="J11" i="51" s="1"/>
  <c r="C11" i="51"/>
  <c r="L13" i="33"/>
  <c r="AX13" i="33"/>
  <c r="C39" i="50"/>
  <c r="C64" i="50" s="1"/>
  <c r="C66" i="50" s="1"/>
  <c r="I137" i="33"/>
  <c r="I108" i="33"/>
  <c r="I132" i="33"/>
  <c r="I135" i="33"/>
  <c r="U137" i="33"/>
  <c r="U108" i="33"/>
  <c r="U132" i="33"/>
  <c r="U135" i="33"/>
  <c r="B90" i="33"/>
  <c r="AX77" i="33"/>
  <c r="B94" i="33"/>
  <c r="AX94" i="33" s="1"/>
  <c r="AX81" i="33"/>
  <c r="R95" i="33"/>
  <c r="C95" i="53" s="1"/>
  <c r="C82" i="53"/>
  <c r="F96" i="33"/>
  <c r="C96" i="49" s="1"/>
  <c r="C83" i="49"/>
  <c r="AD96" i="33"/>
  <c r="C96" i="51" s="1"/>
  <c r="C83" i="51"/>
  <c r="R97" i="33"/>
  <c r="C97" i="53" s="1"/>
  <c r="C84" i="53"/>
  <c r="AY87" i="33"/>
  <c r="BA88" i="33"/>
  <c r="AZ89" i="33"/>
  <c r="BA91" i="33"/>
  <c r="AZ95" i="33"/>
  <c r="AX113" i="33"/>
  <c r="AX183" i="33"/>
  <c r="C235" i="50"/>
  <c r="AE14" i="33"/>
  <c r="J14" i="51" s="1"/>
  <c r="C14" i="51"/>
  <c r="D70" i="34"/>
  <c r="Y7" i="33"/>
  <c r="J7" i="52" s="1"/>
  <c r="C7" i="52"/>
  <c r="R10" i="33"/>
  <c r="AX10" i="33"/>
  <c r="AL147" i="33"/>
  <c r="AP147" i="33" s="1"/>
  <c r="AL148" i="33"/>
  <c r="AL146" i="33"/>
  <c r="K137" i="33"/>
  <c r="K135" i="33"/>
  <c r="K132" i="33"/>
  <c r="R96" i="33"/>
  <c r="C96" i="53" s="1"/>
  <c r="C83" i="53"/>
  <c r="G9" i="33"/>
  <c r="C9" i="49"/>
  <c r="AE10" i="33"/>
  <c r="J10" i="51" s="1"/>
  <c r="C10" i="51"/>
  <c r="M12" i="33"/>
  <c r="C12" i="50"/>
  <c r="AE13" i="33"/>
  <c r="J13" i="51" s="1"/>
  <c r="C13" i="51"/>
  <c r="AE16" i="33"/>
  <c r="C16" i="51"/>
  <c r="C39" i="51"/>
  <c r="C64" i="51" s="1"/>
  <c r="C66" i="51" s="1"/>
  <c r="N137" i="33"/>
  <c r="N108" i="33"/>
  <c r="N132" i="33"/>
  <c r="N135" i="33"/>
  <c r="F95" i="33"/>
  <c r="C95" i="49" s="1"/>
  <c r="C82" i="49"/>
  <c r="L97" i="33"/>
  <c r="C97" i="50" s="1"/>
  <c r="C84" i="50"/>
  <c r="AZ88" i="33"/>
  <c r="BA92" i="33"/>
  <c r="AY95" i="33"/>
  <c r="AX112" i="33"/>
  <c r="F115" i="33"/>
  <c r="C115" i="49" s="1"/>
  <c r="AY115" i="33"/>
  <c r="C235" i="49"/>
  <c r="AV114" i="33"/>
  <c r="AX114" i="33"/>
  <c r="K2" i="51"/>
  <c r="C3" i="39"/>
  <c r="C3" i="53"/>
  <c r="C3" i="52"/>
  <c r="C3" i="50"/>
  <c r="C3" i="51"/>
  <c r="C3" i="49"/>
  <c r="C3" i="47"/>
  <c r="S6" i="33"/>
  <c r="J6" i="53" s="1"/>
  <c r="C6" i="53"/>
  <c r="M7" i="33"/>
  <c r="J7" i="50" s="1"/>
  <c r="C7" i="50"/>
  <c r="Y8" i="33"/>
  <c r="J8" i="52" s="1"/>
  <c r="C8" i="52"/>
  <c r="S12" i="33"/>
  <c r="J12" i="53" s="1"/>
  <c r="C12" i="53"/>
  <c r="C137" i="33"/>
  <c r="C132" i="33"/>
  <c r="C135" i="33"/>
  <c r="O137" i="33"/>
  <c r="O108" i="33"/>
  <c r="O135" i="33"/>
  <c r="O132" i="33"/>
  <c r="AA64" i="33"/>
  <c r="AA137" i="33"/>
  <c r="AA108" i="33"/>
  <c r="AA132" i="33"/>
  <c r="AA135" i="33"/>
  <c r="B89" i="33"/>
  <c r="AX89" i="33" s="1"/>
  <c r="AX76" i="33"/>
  <c r="K2" i="50"/>
  <c r="N5" i="33"/>
  <c r="N75" i="33" s="1"/>
  <c r="R75" i="33" s="1"/>
  <c r="C75" i="53" s="1"/>
  <c r="Y6" i="33"/>
  <c r="J6" i="52" s="1"/>
  <c r="C6" i="52"/>
  <c r="S7" i="33"/>
  <c r="J7" i="53" s="1"/>
  <c r="C7" i="53"/>
  <c r="AE8" i="33"/>
  <c r="J8" i="51" s="1"/>
  <c r="C8" i="51"/>
  <c r="S9" i="33"/>
  <c r="J9" i="53" s="1"/>
  <c r="C9" i="53"/>
  <c r="M10" i="33"/>
  <c r="J10" i="50" s="1"/>
  <c r="C10" i="50"/>
  <c r="M11" i="33"/>
  <c r="J11" i="50" s="1"/>
  <c r="C11" i="50"/>
  <c r="S13" i="33"/>
  <c r="J13" i="53" s="1"/>
  <c r="C13" i="53"/>
  <c r="AE15" i="33"/>
  <c r="J15" i="51" s="1"/>
  <c r="C15" i="51"/>
  <c r="C39" i="53"/>
  <c r="C64" i="53" s="1"/>
  <c r="C66" i="53" s="1"/>
  <c r="D137" i="33"/>
  <c r="D135" i="33"/>
  <c r="D132" i="33"/>
  <c r="J137" i="33"/>
  <c r="J135" i="33"/>
  <c r="J132" i="33"/>
  <c r="P137" i="33"/>
  <c r="P135" i="33"/>
  <c r="P132" i="33"/>
  <c r="V137" i="33"/>
  <c r="V135" i="33"/>
  <c r="V132" i="33"/>
  <c r="AB137" i="33"/>
  <c r="AB135" i="33"/>
  <c r="AB132" i="33"/>
  <c r="AY76" i="33"/>
  <c r="C90" i="33"/>
  <c r="AY77" i="33"/>
  <c r="B91" i="33"/>
  <c r="AX91" i="33" s="1"/>
  <c r="AX78" i="33"/>
  <c r="B93" i="33"/>
  <c r="AX80" i="33"/>
  <c r="X95" i="33"/>
  <c r="C95" i="52" s="1"/>
  <c r="C82" i="52"/>
  <c r="L96" i="33"/>
  <c r="C96" i="50" s="1"/>
  <c r="C83" i="50"/>
  <c r="X97" i="33"/>
  <c r="C97" i="52" s="1"/>
  <c r="C84" i="52"/>
  <c r="AZ87" i="33"/>
  <c r="BA95" i="33"/>
  <c r="AZ96" i="33"/>
  <c r="BB96" i="33" s="1"/>
  <c r="C96" i="39" s="1"/>
  <c r="AZ97" i="33"/>
  <c r="D116" i="33"/>
  <c r="AZ114" i="33"/>
  <c r="C235" i="53"/>
  <c r="C218" i="50"/>
  <c r="C218" i="51"/>
  <c r="AV142" i="33"/>
  <c r="AX142" i="33"/>
  <c r="AV153" i="33"/>
  <c r="AY153" i="33"/>
  <c r="L15" i="33"/>
  <c r="AX15" i="33"/>
  <c r="G70" i="34"/>
  <c r="B70" i="34"/>
  <c r="F7" i="33"/>
  <c r="AY39" i="33"/>
  <c r="AY64" i="33" s="1"/>
  <c r="F62" i="33"/>
  <c r="F65" i="33" s="1"/>
  <c r="AD62" i="33"/>
  <c r="AD65" i="33" s="1"/>
  <c r="R62" i="33"/>
  <c r="R65" i="33" s="1"/>
  <c r="BB8" i="33"/>
  <c r="C8" i="39" s="1"/>
  <c r="D40" i="43" s="1"/>
  <c r="D19" i="43" s="1"/>
  <c r="F39" i="33"/>
  <c r="F64" i="33" s="1"/>
  <c r="AD39" i="33"/>
  <c r="AD64" i="33" s="1"/>
  <c r="AT116" i="33"/>
  <c r="AT129" i="33" s="1"/>
  <c r="AT131" i="33" s="1"/>
  <c r="AS116" i="33"/>
  <c r="AS129" i="33" s="1"/>
  <c r="AV115" i="33"/>
  <c r="AQ30" i="33"/>
  <c r="AL141" i="33"/>
  <c r="B103" i="37"/>
  <c r="F103" i="36"/>
  <c r="D103" i="49" s="1"/>
  <c r="BB6" i="33"/>
  <c r="C6" i="39" s="1"/>
  <c r="BB7" i="33"/>
  <c r="C7" i="39" s="1"/>
  <c r="D39" i="43" s="1"/>
  <c r="D18" i="43" s="1"/>
  <c r="F8" i="33"/>
  <c r="C8" i="49" s="1"/>
  <c r="BB10" i="33"/>
  <c r="C10" i="39" s="1"/>
  <c r="D42" i="43" s="1"/>
  <c r="D21" i="43" s="1"/>
  <c r="AM66" i="33"/>
  <c r="AM158" i="33" s="1"/>
  <c r="L103" i="33"/>
  <c r="C103" i="50" s="1"/>
  <c r="AD104" i="33"/>
  <c r="C104" i="51" s="1"/>
  <c r="Z104" i="36"/>
  <c r="BB188" i="33"/>
  <c r="C188" i="39" s="1"/>
  <c r="BB190" i="33"/>
  <c r="C190" i="39" s="1"/>
  <c r="BB211" i="33"/>
  <c r="C211" i="39" s="1"/>
  <c r="AR87" i="33"/>
  <c r="AR74" i="33"/>
  <c r="AV113" i="33"/>
  <c r="B104" i="37"/>
  <c r="F104" i="36"/>
  <c r="D104" i="49" s="1"/>
  <c r="AD103" i="33"/>
  <c r="C103" i="51" s="1"/>
  <c r="Z103" i="36"/>
  <c r="X62" i="33"/>
  <c r="X65" i="33" s="1"/>
  <c r="H104" i="37"/>
  <c r="L104" i="36"/>
  <c r="D104" i="50" s="1"/>
  <c r="B105" i="37"/>
  <c r="F105" i="36"/>
  <c r="D105" i="49" s="1"/>
  <c r="AR181" i="33"/>
  <c r="F107" i="33"/>
  <c r="C107" i="49" s="1"/>
  <c r="C107" i="36"/>
  <c r="AY107" i="36" s="1"/>
  <c r="H103" i="37"/>
  <c r="L103" i="36"/>
  <c r="D103" i="50" s="1"/>
  <c r="X104" i="33"/>
  <c r="C104" i="52" s="1"/>
  <c r="T104" i="36"/>
  <c r="B5" i="33"/>
  <c r="B88" i="33" s="1"/>
  <c r="AP77" i="33"/>
  <c r="AP90" i="33" s="1"/>
  <c r="T103" i="37"/>
  <c r="X103" i="36"/>
  <c r="D103" i="52" s="1"/>
  <c r="R104" i="33"/>
  <c r="C104" i="53" s="1"/>
  <c r="N104" i="36"/>
  <c r="F105" i="33"/>
  <c r="C105" i="49" s="1"/>
  <c r="C151" i="33"/>
  <c r="BB173" i="33"/>
  <c r="C173" i="39" s="1"/>
  <c r="BB216" i="33"/>
  <c r="C216" i="39" s="1"/>
  <c r="C233" i="39" s="1"/>
  <c r="AR146" i="33"/>
  <c r="AV146" i="33" s="1"/>
  <c r="AT154" i="33"/>
  <c r="AR192" i="33"/>
  <c r="X210" i="33"/>
  <c r="C210" i="52" s="1"/>
  <c r="C231" i="52" s="1"/>
  <c r="C235" i="52" s="1"/>
  <c r="AV149" i="33"/>
  <c r="F10" i="33"/>
  <c r="R39" i="33"/>
  <c r="R64" i="33" s="1"/>
  <c r="R66" i="33" s="1"/>
  <c r="BB112" i="33"/>
  <c r="C112" i="39" s="1"/>
  <c r="R113" i="33"/>
  <c r="C113" i="53" s="1"/>
  <c r="R114" i="33"/>
  <c r="C114" i="53" s="1"/>
  <c r="P116" i="33"/>
  <c r="AZ176" i="33"/>
  <c r="AY192" i="33"/>
  <c r="AR66" i="33"/>
  <c r="AU76" i="33"/>
  <c r="AV79" i="33"/>
  <c r="AV92" i="33" s="1"/>
  <c r="AV81" i="33"/>
  <c r="AV94" i="33" s="1"/>
  <c r="AV128" i="33"/>
  <c r="AV144" i="33"/>
  <c r="AR155" i="33"/>
  <c r="AV205" i="33"/>
  <c r="T19" i="33"/>
  <c r="AP39" i="33"/>
  <c r="AP64" i="33" s="1"/>
  <c r="AP66" i="33" s="1"/>
  <c r="C48" i="39"/>
  <c r="AP80" i="33"/>
  <c r="AP93" i="33" s="1"/>
  <c r="BB115" i="33"/>
  <c r="C115" i="39" s="1"/>
  <c r="AA151" i="33"/>
  <c r="AP181" i="33"/>
  <c r="AZ205" i="33"/>
  <c r="BB214" i="33"/>
  <c r="C214" i="39" s="1"/>
  <c r="AV5" i="33"/>
  <c r="AV87" i="33" s="1"/>
  <c r="AV62" i="33"/>
  <c r="AV65" i="33" s="1"/>
  <c r="AV77" i="33"/>
  <c r="AV90" i="33" s="1"/>
  <c r="AV176" i="33"/>
  <c r="F114" i="33"/>
  <c r="C114" i="49" s="1"/>
  <c r="X39" i="33"/>
  <c r="X64" i="33" s="1"/>
  <c r="C44" i="39"/>
  <c r="L39" i="33"/>
  <c r="L64" i="33" s="1"/>
  <c r="L66" i="33" s="1"/>
  <c r="BB31" i="33"/>
  <c r="C31" i="39" s="1"/>
  <c r="BB33" i="33"/>
  <c r="C33" i="39" s="1"/>
  <c r="BB35" i="33"/>
  <c r="C35" i="39" s="1"/>
  <c r="BB37" i="33"/>
  <c r="C37" i="39" s="1"/>
  <c r="C54" i="39"/>
  <c r="C56" i="39"/>
  <c r="C58" i="39"/>
  <c r="C60" i="39"/>
  <c r="BB104" i="33"/>
  <c r="C104" i="39" s="1"/>
  <c r="BB110" i="33"/>
  <c r="C110" i="39" s="1"/>
  <c r="J116" i="33"/>
  <c r="X113" i="33"/>
  <c r="C113" i="52" s="1"/>
  <c r="AD113" i="33"/>
  <c r="C113" i="51" s="1"/>
  <c r="AN129" i="33"/>
  <c r="AP149" i="33"/>
  <c r="AP176" i="33"/>
  <c r="AY181" i="33"/>
  <c r="BB185" i="33"/>
  <c r="C185" i="39" s="1"/>
  <c r="AP192" i="33"/>
  <c r="AV39" i="33"/>
  <c r="AV64" i="33" s="1"/>
  <c r="AU129" i="33"/>
  <c r="AS151" i="33"/>
  <c r="BB153" i="33"/>
  <c r="C153" i="39" s="1"/>
  <c r="AP205" i="33"/>
  <c r="AY62" i="33"/>
  <c r="AY65" i="33" s="1"/>
  <c r="H19" i="33"/>
  <c r="Z19" i="33"/>
  <c r="B19" i="33"/>
  <c r="F6" i="33"/>
  <c r="AR158" i="33"/>
  <c r="AR132" i="33"/>
  <c r="AS66" i="33"/>
  <c r="AT66" i="33"/>
  <c r="AU66" i="33"/>
  <c r="AZ39" i="33"/>
  <c r="AZ64" i="33" s="1"/>
  <c r="BA39" i="33"/>
  <c r="BA64" i="33" s="1"/>
  <c r="AZ62" i="33"/>
  <c r="AZ65" i="33" s="1"/>
  <c r="C47" i="39"/>
  <c r="C55" i="39"/>
  <c r="BB136" i="33"/>
  <c r="C136" i="39" s="1"/>
  <c r="BB160" i="33"/>
  <c r="C160" i="39" s="1"/>
  <c r="BA176" i="33"/>
  <c r="BB210" i="33"/>
  <c r="C210" i="39" s="1"/>
  <c r="C231" i="39" s="1"/>
  <c r="AV78" i="33"/>
  <c r="AV91" i="33" s="1"/>
  <c r="AR108" i="33"/>
  <c r="AV108" i="33" s="1"/>
  <c r="AV180" i="33"/>
  <c r="AV181" i="33" s="1"/>
  <c r="BB17" i="33"/>
  <c r="C17" i="39" s="1"/>
  <c r="D49" i="43" s="1"/>
  <c r="D28" i="43" s="1"/>
  <c r="BB30" i="33"/>
  <c r="C30" i="39" s="1"/>
  <c r="BB38" i="33"/>
  <c r="C38" i="39" s="1"/>
  <c r="BB215" i="33"/>
  <c r="C215" i="39" s="1"/>
  <c r="AR88" i="33"/>
  <c r="AR165" i="33" s="1"/>
  <c r="AV165" i="33" s="1"/>
  <c r="AR137" i="33"/>
  <c r="AV147" i="33"/>
  <c r="AR156" i="33"/>
  <c r="BB29" i="33"/>
  <c r="C29" i="39" s="1"/>
  <c r="C52" i="39"/>
  <c r="BB109" i="33"/>
  <c r="C109" i="39" s="1"/>
  <c r="BB218" i="33"/>
  <c r="C218" i="39" s="1"/>
  <c r="AR93" i="33"/>
  <c r="AT137" i="33"/>
  <c r="BA62" i="33"/>
  <c r="BA65" i="33" s="1"/>
  <c r="BB143" i="33"/>
  <c r="C143" i="39" s="1"/>
  <c r="AR75" i="33"/>
  <c r="AV75" i="33" s="1"/>
  <c r="AR90" i="33"/>
  <c r="AU137" i="33"/>
  <c r="AR145" i="33"/>
  <c r="AV145" i="33" s="1"/>
  <c r="AR157" i="33"/>
  <c r="AV157" i="33" s="1"/>
  <c r="BB18" i="33"/>
  <c r="C18" i="39" s="1"/>
  <c r="D50" i="43" s="1"/>
  <c r="D29" i="43" s="1"/>
  <c r="C45" i="39"/>
  <c r="C53" i="39"/>
  <c r="D18" i="44" s="1"/>
  <c r="C61" i="39"/>
  <c r="AZ192" i="33"/>
  <c r="BA205" i="33"/>
  <c r="BB203" i="33"/>
  <c r="C203" i="39" s="1"/>
  <c r="BB209" i="33"/>
  <c r="C209" i="39" s="1"/>
  <c r="BB212" i="33"/>
  <c r="C212" i="39" s="1"/>
  <c r="BB213" i="33"/>
  <c r="C213" i="39" s="1"/>
  <c r="AV110" i="33"/>
  <c r="AR141" i="33"/>
  <c r="AU183" i="33"/>
  <c r="AU192" i="33" s="1"/>
  <c r="BB36" i="33"/>
  <c r="C36" i="39" s="1"/>
  <c r="BB162" i="33"/>
  <c r="C162" i="39" s="1"/>
  <c r="AR161" i="33"/>
  <c r="AV161" i="33" s="1"/>
  <c r="AX39" i="33"/>
  <c r="AX64" i="33" s="1"/>
  <c r="AX62" i="33"/>
  <c r="AX65" i="33" s="1"/>
  <c r="C46" i="39"/>
  <c r="C50" i="39"/>
  <c r="BB83" i="33"/>
  <c r="C83" i="39" s="1"/>
  <c r="BB172" i="33"/>
  <c r="C172" i="39" s="1"/>
  <c r="BB184" i="33"/>
  <c r="C184" i="39" s="1"/>
  <c r="BB217" i="33"/>
  <c r="C217" i="39" s="1"/>
  <c r="C234" i="39" s="1"/>
  <c r="AV19" i="33"/>
  <c r="T11" i="48" s="1"/>
  <c r="Z5" i="33"/>
  <c r="Z74" i="33" s="1"/>
  <c r="AD12" i="33"/>
  <c r="BB9" i="33"/>
  <c r="C9" i="39" s="1"/>
  <c r="D41" i="43" s="1"/>
  <c r="D20" i="43" s="1"/>
  <c r="BB34" i="33"/>
  <c r="C34" i="39" s="1"/>
  <c r="C43" i="39"/>
  <c r="C51" i="39"/>
  <c r="C59" i="39"/>
  <c r="T5" i="33"/>
  <c r="T74" i="33" s="1"/>
  <c r="X10" i="33"/>
  <c r="BB11" i="33"/>
  <c r="C11" i="39" s="1"/>
  <c r="D43" i="43" s="1"/>
  <c r="D22" i="43" s="1"/>
  <c r="BB32" i="33"/>
  <c r="C32" i="39" s="1"/>
  <c r="AA66" i="33"/>
  <c r="AA133" i="33" s="1"/>
  <c r="C49" i="39"/>
  <c r="C57" i="39"/>
  <c r="AB64" i="33"/>
  <c r="AB66" i="33" s="1"/>
  <c r="AB133" i="33" s="1"/>
  <c r="I64" i="33"/>
  <c r="I66" i="33" s="1"/>
  <c r="I133" i="33" s="1"/>
  <c r="H5" i="33"/>
  <c r="H74" i="33" s="1"/>
  <c r="AL88" i="33"/>
  <c r="AL87" i="33"/>
  <c r="AC108" i="33"/>
  <c r="AC116" i="33" s="1"/>
  <c r="AC129" i="33" s="1"/>
  <c r="AC131" i="33" s="1"/>
  <c r="J64" i="33"/>
  <c r="J66" i="33" s="1"/>
  <c r="J133" i="33" s="1"/>
  <c r="T64" i="33"/>
  <c r="T66" i="33" s="1"/>
  <c r="T133" i="33" s="1"/>
  <c r="AC64" i="33"/>
  <c r="AC66" i="33" s="1"/>
  <c r="AC133" i="33" s="1"/>
  <c r="C89" i="33"/>
  <c r="AA89" i="33"/>
  <c r="AP78" i="33"/>
  <c r="AP91" i="33" s="1"/>
  <c r="I90" i="33"/>
  <c r="AP5" i="33"/>
  <c r="AP88" i="33" s="1"/>
  <c r="AD6" i="33"/>
  <c r="BB13" i="33"/>
  <c r="C13" i="39" s="1"/>
  <c r="D45" i="43" s="1"/>
  <c r="D24" i="43" s="1"/>
  <c r="AQ29" i="33"/>
  <c r="K108" i="33"/>
  <c r="K116" i="33" s="1"/>
  <c r="K129" i="33" s="1"/>
  <c r="K131" i="33" s="1"/>
  <c r="B64" i="33"/>
  <c r="B66" i="33" s="1"/>
  <c r="B133" i="33" s="1"/>
  <c r="K64" i="33"/>
  <c r="K66" i="33" s="1"/>
  <c r="K133" i="33" s="1"/>
  <c r="U64" i="33"/>
  <c r="U66" i="33" s="1"/>
  <c r="U133" i="33" s="1"/>
  <c r="AB116" i="33"/>
  <c r="AP137" i="33"/>
  <c r="C64" i="33"/>
  <c r="C66" i="33" s="1"/>
  <c r="C133" i="33" s="1"/>
  <c r="V64" i="33"/>
  <c r="V66" i="33" s="1"/>
  <c r="V133" i="33" s="1"/>
  <c r="AL64" i="33"/>
  <c r="AL66" i="33" s="1"/>
  <c r="AP79" i="33"/>
  <c r="AP92" i="33" s="1"/>
  <c r="AD82" i="33"/>
  <c r="BB84" i="33"/>
  <c r="C84" i="39" s="1"/>
  <c r="F11" i="33"/>
  <c r="C11" i="49" s="1"/>
  <c r="BB12" i="33"/>
  <c r="C12" i="39" s="1"/>
  <c r="D44" i="43" s="1"/>
  <c r="D23" i="43" s="1"/>
  <c r="BB16" i="33"/>
  <c r="C16" i="39" s="1"/>
  <c r="D48" i="43" s="1"/>
  <c r="D27" i="43" s="1"/>
  <c r="AL157" i="33"/>
  <c r="AP146" i="33"/>
  <c r="AL161" i="33"/>
  <c r="AP161" i="33" s="1"/>
  <c r="AN154" i="33"/>
  <c r="AP148" i="33"/>
  <c r="W108" i="33"/>
  <c r="W116" i="33" s="1"/>
  <c r="D64" i="33"/>
  <c r="D66" i="33" s="1"/>
  <c r="D133" i="33" s="1"/>
  <c r="N64" i="33"/>
  <c r="N66" i="33" s="1"/>
  <c r="N133" i="33" s="1"/>
  <c r="W64" i="33"/>
  <c r="W66" i="33" s="1"/>
  <c r="W133" i="33" s="1"/>
  <c r="AL74" i="33"/>
  <c r="C108" i="33"/>
  <c r="AP19" i="33"/>
  <c r="E108" i="33"/>
  <c r="C42" i="39"/>
  <c r="E64" i="33"/>
  <c r="E66" i="33" s="1"/>
  <c r="E133" i="33" s="1"/>
  <c r="O64" i="33"/>
  <c r="O66" i="33" s="1"/>
  <c r="O133" i="33" s="1"/>
  <c r="AN64" i="33"/>
  <c r="AN66" i="33" s="1"/>
  <c r="U89" i="33"/>
  <c r="AM89" i="33"/>
  <c r="AP81" i="33"/>
  <c r="AP94" i="33" s="1"/>
  <c r="AP82" i="33"/>
  <c r="AP95" i="33" s="1"/>
  <c r="X103" i="33"/>
  <c r="C103" i="52" s="1"/>
  <c r="AD114" i="33"/>
  <c r="C114" i="51" s="1"/>
  <c r="BB15" i="33"/>
  <c r="C15" i="39" s="1"/>
  <c r="D47" i="43" s="1"/>
  <c r="D26" i="43" s="1"/>
  <c r="N19" i="33"/>
  <c r="P64" i="33"/>
  <c r="P66" i="33" s="1"/>
  <c r="P133" i="33" s="1"/>
  <c r="Z64" i="33"/>
  <c r="Z66" i="33" s="1"/>
  <c r="Z133" i="33" s="1"/>
  <c r="AO64" i="33"/>
  <c r="AO66" i="33" s="1"/>
  <c r="AO76" i="33"/>
  <c r="AP76" i="33" s="1"/>
  <c r="AP89" i="33" s="1"/>
  <c r="L113" i="33"/>
  <c r="C113" i="50" s="1"/>
  <c r="Q108" i="33"/>
  <c r="Q116" i="33" s="1"/>
  <c r="H64" i="33"/>
  <c r="H66" i="33" s="1"/>
  <c r="H133" i="33" s="1"/>
  <c r="Q64" i="33"/>
  <c r="Q66" i="33" s="1"/>
  <c r="Q133" i="33" s="1"/>
  <c r="AL75" i="33"/>
  <c r="AP75" i="33" s="1"/>
  <c r="BA151" i="33"/>
  <c r="F103" i="33"/>
  <c r="C103" i="49" s="1"/>
  <c r="BB125" i="33"/>
  <c r="C125" i="39" s="1"/>
  <c r="W128" i="33"/>
  <c r="I151" i="33"/>
  <c r="V116" i="33"/>
  <c r="L104" i="33"/>
  <c r="C104" i="50" s="1"/>
  <c r="X110" i="33"/>
  <c r="C110" i="52" s="1"/>
  <c r="L112" i="33"/>
  <c r="C112" i="50" s="1"/>
  <c r="BB144" i="33"/>
  <c r="C144" i="39" s="1"/>
  <c r="F113" i="33"/>
  <c r="C113" i="49" s="1"/>
  <c r="BB118" i="33"/>
  <c r="C118" i="39" s="1"/>
  <c r="C134" i="39"/>
  <c r="AZ181" i="33"/>
  <c r="O151" i="33"/>
  <c r="AM151" i="33"/>
  <c r="BB159" i="33"/>
  <c r="C159" i="39" s="1"/>
  <c r="BB171" i="33"/>
  <c r="C171" i="39" s="1"/>
  <c r="BB150" i="33"/>
  <c r="C150" i="39" s="1"/>
  <c r="AY176" i="33"/>
  <c r="AY205" i="33"/>
  <c r="AO128" i="33"/>
  <c r="AO129" i="33" s="1"/>
  <c r="AO131" i="33" s="1"/>
  <c r="BB191" i="33"/>
  <c r="C191" i="39" s="1"/>
  <c r="Q128" i="33"/>
  <c r="BB142" i="33"/>
  <c r="C142" i="39" s="1"/>
  <c r="U151" i="33"/>
  <c r="N192" i="33"/>
  <c r="BB189" i="33"/>
  <c r="C189" i="39" s="1"/>
  <c r="BB187" i="33"/>
  <c r="C187" i="39" s="1"/>
  <c r="T192" i="33"/>
  <c r="B192" i="33"/>
  <c r="BA137" i="33" l="1"/>
  <c r="AZ135" i="33"/>
  <c r="L132" i="33"/>
  <c r="C132" i="50" s="1"/>
  <c r="X132" i="33"/>
  <c r="C132" i="52" s="1"/>
  <c r="C230" i="39"/>
  <c r="AY89" i="33"/>
  <c r="AD132" i="33"/>
  <c r="C132" i="51" s="1"/>
  <c r="N200" i="33"/>
  <c r="R200" i="33" s="1"/>
  <c r="C200" i="53" s="1"/>
  <c r="N175" i="33"/>
  <c r="R175" i="33" s="1"/>
  <c r="C175" i="53" s="1"/>
  <c r="N146" i="33"/>
  <c r="N161" i="33"/>
  <c r="R161" i="33" s="1"/>
  <c r="C161" i="53" s="1"/>
  <c r="N148" i="33"/>
  <c r="N145" i="33"/>
  <c r="N147" i="33"/>
  <c r="R147" i="33" s="1"/>
  <c r="C147" i="53" s="1"/>
  <c r="BA108" i="33"/>
  <c r="BA116" i="33" s="1"/>
  <c r="AZ137" i="33"/>
  <c r="AX137" i="33"/>
  <c r="B200" i="33"/>
  <c r="B175" i="33"/>
  <c r="B146" i="33"/>
  <c r="B148" i="33"/>
  <c r="B145" i="33"/>
  <c r="F145" i="33" s="1"/>
  <c r="C145" i="49" s="1"/>
  <c r="B161" i="33"/>
  <c r="B147" i="33"/>
  <c r="F147" i="33" s="1"/>
  <c r="C147" i="49" s="1"/>
  <c r="AX19" i="33"/>
  <c r="BA25" i="33" s="1"/>
  <c r="T200" i="33"/>
  <c r="X200" i="33" s="1"/>
  <c r="C200" i="52" s="1"/>
  <c r="T175" i="33"/>
  <c r="X175" i="33" s="1"/>
  <c r="C175" i="52" s="1"/>
  <c r="T145" i="33"/>
  <c r="T147" i="33"/>
  <c r="T161" i="33"/>
  <c r="T146" i="33"/>
  <c r="T148" i="33"/>
  <c r="X148" i="33" s="1"/>
  <c r="C148" i="52" s="1"/>
  <c r="G10" i="33"/>
  <c r="C10" i="49"/>
  <c r="R135" i="33"/>
  <c r="C135" i="53" s="1"/>
  <c r="AX90" i="33"/>
  <c r="AX108" i="33"/>
  <c r="M14" i="33"/>
  <c r="C14" i="50"/>
  <c r="AD95" i="33"/>
  <c r="C95" i="51" s="1"/>
  <c r="C82" i="51"/>
  <c r="F132" i="33"/>
  <c r="C132" i="49" s="1"/>
  <c r="L133" i="33"/>
  <c r="C133" i="50" s="1"/>
  <c r="R133" i="33"/>
  <c r="C133" i="53" s="1"/>
  <c r="R5" i="33"/>
  <c r="R87" i="33" s="1"/>
  <c r="C87" i="53" s="1"/>
  <c r="N87" i="33"/>
  <c r="N164" i="33" s="1"/>
  <c r="R164" i="33" s="1"/>
  <c r="C164" i="53" s="1"/>
  <c r="BA133" i="33"/>
  <c r="Z200" i="33"/>
  <c r="AD200" i="33" s="1"/>
  <c r="C200" i="51" s="1"/>
  <c r="Z175" i="33"/>
  <c r="AD175" i="33" s="1"/>
  <c r="C175" i="51" s="1"/>
  <c r="Z146" i="33"/>
  <c r="Z148" i="33"/>
  <c r="Z145" i="33"/>
  <c r="Z161" i="33"/>
  <c r="AD161" i="33" s="1"/>
  <c r="C161" i="51" s="1"/>
  <c r="Z147" i="33"/>
  <c r="AD147" i="33" s="1"/>
  <c r="C147" i="51" s="1"/>
  <c r="N74" i="33"/>
  <c r="R74" i="33" s="1"/>
  <c r="C74" i="53" s="1"/>
  <c r="G72" i="34"/>
  <c r="BC19" i="38"/>
  <c r="AX93" i="33"/>
  <c r="AY90" i="33"/>
  <c r="AY135" i="33"/>
  <c r="R132" i="33"/>
  <c r="C132" i="53" s="1"/>
  <c r="S10" i="33"/>
  <c r="J10" i="53" s="1"/>
  <c r="C10" i="53"/>
  <c r="C19" i="53" s="1"/>
  <c r="G6" i="33"/>
  <c r="C6" i="49"/>
  <c r="M15" i="33"/>
  <c r="C15" i="50"/>
  <c r="AY137" i="33"/>
  <c r="M13" i="33"/>
  <c r="C13" i="50"/>
  <c r="C19" i="50" s="1"/>
  <c r="AD133" i="33"/>
  <c r="C133" i="51" s="1"/>
  <c r="C116" i="33"/>
  <c r="AY108" i="33"/>
  <c r="AZ133" i="33"/>
  <c r="N88" i="33"/>
  <c r="F133" i="33"/>
  <c r="C133" i="49" s="1"/>
  <c r="AX133" i="33"/>
  <c r="AE6" i="33"/>
  <c r="J6" i="51" s="1"/>
  <c r="C6" i="51"/>
  <c r="Y10" i="33"/>
  <c r="J10" i="52" s="1"/>
  <c r="J19" i="52" s="1"/>
  <c r="J29" i="52" s="1"/>
  <c r="C10" i="52"/>
  <c r="C5" i="52" s="1"/>
  <c r="AE12" i="33"/>
  <c r="J12" i="51" s="1"/>
  <c r="C12" i="51"/>
  <c r="AV156" i="33"/>
  <c r="AX156" i="33"/>
  <c r="H175" i="33"/>
  <c r="L175" i="33" s="1"/>
  <c r="C175" i="50" s="1"/>
  <c r="H200" i="33"/>
  <c r="H161" i="33"/>
  <c r="H145" i="33"/>
  <c r="H147" i="33"/>
  <c r="H146" i="33"/>
  <c r="H148" i="33"/>
  <c r="L148" i="33" s="1"/>
  <c r="C148" i="50" s="1"/>
  <c r="AV155" i="33"/>
  <c r="H82" i="33" s="1"/>
  <c r="AX82" i="33" s="1"/>
  <c r="AX155" i="33"/>
  <c r="G7" i="33"/>
  <c r="C7" i="49"/>
  <c r="C19" i="49" s="1"/>
  <c r="C19" i="52"/>
  <c r="J16" i="51"/>
  <c r="J16" i="39"/>
  <c r="J12" i="50"/>
  <c r="J12" i="39"/>
  <c r="J9" i="49"/>
  <c r="J9" i="39"/>
  <c r="F72" i="34"/>
  <c r="BC19" i="37"/>
  <c r="AD135" i="33"/>
  <c r="C135" i="51" s="1"/>
  <c r="X135" i="33"/>
  <c r="C135" i="52" s="1"/>
  <c r="L135" i="33"/>
  <c r="C135" i="50" s="1"/>
  <c r="F135" i="33"/>
  <c r="C135" i="49" s="1"/>
  <c r="AX135" i="33"/>
  <c r="J19" i="53"/>
  <c r="J29" i="53" s="1"/>
  <c r="BA135" i="33"/>
  <c r="AU130" i="33"/>
  <c r="AU131" i="33"/>
  <c r="AS130" i="33"/>
  <c r="AS131" i="33"/>
  <c r="AN130" i="33"/>
  <c r="AN131" i="33"/>
  <c r="X133" i="33"/>
  <c r="C133" i="52" s="1"/>
  <c r="AY133" i="33"/>
  <c r="BB133" i="33" s="1"/>
  <c r="C133" i="39" s="1"/>
  <c r="AX104" i="36"/>
  <c r="BB104" i="36" s="1"/>
  <c r="D104" i="39" s="1"/>
  <c r="AX103" i="36"/>
  <c r="AY66" i="33"/>
  <c r="G8" i="33"/>
  <c r="AV88" i="33"/>
  <c r="AD137" i="33"/>
  <c r="C137" i="51" s="1"/>
  <c r="G11" i="33"/>
  <c r="F66" i="33"/>
  <c r="AM132" i="33"/>
  <c r="AY132" i="33" s="1"/>
  <c r="B87" i="33"/>
  <c r="AT130" i="33"/>
  <c r="F5" i="33"/>
  <c r="F87" i="33" s="1"/>
  <c r="C87" i="49" s="1"/>
  <c r="X66" i="33"/>
  <c r="AD66" i="33"/>
  <c r="D7" i="44"/>
  <c r="D69" i="45"/>
  <c r="D111" i="45"/>
  <c r="D90" i="45"/>
  <c r="T104" i="37"/>
  <c r="X104" i="36"/>
  <c r="D104" i="52" s="1"/>
  <c r="AY151" i="33"/>
  <c r="D4" i="44"/>
  <c r="D88" i="45"/>
  <c r="D67" i="45"/>
  <c r="D109" i="45"/>
  <c r="C62" i="39"/>
  <c r="C65" i="39" s="1"/>
  <c r="D71" i="43"/>
  <c r="D5" i="44"/>
  <c r="D68" i="45"/>
  <c r="D110" i="45"/>
  <c r="D89" i="45"/>
  <c r="D8" i="44"/>
  <c r="D71" i="45"/>
  <c r="D92" i="45"/>
  <c r="D113" i="45"/>
  <c r="D73" i="43"/>
  <c r="D72" i="43"/>
  <c r="AV76" i="33"/>
  <c r="AV89" i="33" s="1"/>
  <c r="D14" i="44"/>
  <c r="D102" i="45"/>
  <c r="D123" i="45"/>
  <c r="D81" i="45"/>
  <c r="C107" i="37"/>
  <c r="AY107" i="37" s="1"/>
  <c r="C116" i="36"/>
  <c r="F107" i="36"/>
  <c r="D107" i="49" s="1"/>
  <c r="B105" i="38"/>
  <c r="B105" i="42" s="1"/>
  <c r="F105" i="37"/>
  <c r="E105" i="49" s="1"/>
  <c r="B104" i="38"/>
  <c r="B104" i="42" s="1"/>
  <c r="F104" i="37"/>
  <c r="E104" i="49" s="1"/>
  <c r="C232" i="39"/>
  <c r="C235" i="39" s="1"/>
  <c r="D69" i="43"/>
  <c r="Z157" i="33"/>
  <c r="Z141" i="33"/>
  <c r="Z103" i="37"/>
  <c r="AD103" i="36"/>
  <c r="D103" i="51" s="1"/>
  <c r="Z104" i="37"/>
  <c r="AD104" i="36"/>
  <c r="D104" i="51" s="1"/>
  <c r="L137" i="33"/>
  <c r="C137" i="50" s="1"/>
  <c r="N141" i="33"/>
  <c r="D67" i="43"/>
  <c r="D68" i="43"/>
  <c r="D63" i="43"/>
  <c r="AR116" i="33"/>
  <c r="AR129" i="33" s="1"/>
  <c r="AR131" i="33" s="1"/>
  <c r="D17" i="44"/>
  <c r="D126" i="45"/>
  <c r="D105" i="45"/>
  <c r="D84" i="45"/>
  <c r="AV137" i="33"/>
  <c r="D115" i="45"/>
  <c r="D94" i="45"/>
  <c r="D73" i="45"/>
  <c r="D12" i="44"/>
  <c r="AZ66" i="33"/>
  <c r="K183" i="33"/>
  <c r="L183" i="33" s="1"/>
  <c r="H141" i="33"/>
  <c r="L200" i="33"/>
  <c r="C200" i="50" s="1"/>
  <c r="D76" i="45"/>
  <c r="D97" i="45"/>
  <c r="D118" i="45"/>
  <c r="D10" i="44"/>
  <c r="T103" i="38"/>
  <c r="X103" i="37"/>
  <c r="E103" i="52" s="1"/>
  <c r="D66" i="43"/>
  <c r="D16" i="44"/>
  <c r="D104" i="45"/>
  <c r="D125" i="45"/>
  <c r="D83" i="45"/>
  <c r="D38" i="43"/>
  <c r="D17" i="43" s="1"/>
  <c r="C19" i="39"/>
  <c r="C5" i="39"/>
  <c r="T157" i="33"/>
  <c r="X157" i="33" s="1"/>
  <c r="C157" i="52" s="1"/>
  <c r="T141" i="33"/>
  <c r="X141" i="33" s="1"/>
  <c r="C141" i="52" s="1"/>
  <c r="BB97" i="33"/>
  <c r="C97" i="39" s="1"/>
  <c r="D70" i="43"/>
  <c r="D124" i="45"/>
  <c r="D82" i="45"/>
  <c r="D103" i="45"/>
  <c r="D15" i="44"/>
  <c r="D100" i="45"/>
  <c r="D79" i="45"/>
  <c r="D121" i="45"/>
  <c r="D64" i="43"/>
  <c r="D9" i="44"/>
  <c r="C39" i="39"/>
  <c r="C64" i="39" s="1"/>
  <c r="AU89" i="33"/>
  <c r="D11" i="44"/>
  <c r="D119" i="45"/>
  <c r="D98" i="45"/>
  <c r="D77" i="45"/>
  <c r="D13" i="44"/>
  <c r="D101" i="45"/>
  <c r="D122" i="45"/>
  <c r="D80" i="45"/>
  <c r="D65" i="43"/>
  <c r="D6" i="44"/>
  <c r="D99" i="45"/>
  <c r="D120" i="45"/>
  <c r="D78" i="45"/>
  <c r="N104" i="37"/>
  <c r="R104" i="36"/>
  <c r="D104" i="53" s="1"/>
  <c r="B75" i="33"/>
  <c r="B74" i="33"/>
  <c r="H103" i="38"/>
  <c r="L103" i="37"/>
  <c r="E103" i="50" s="1"/>
  <c r="H104" i="38"/>
  <c r="L104" i="37"/>
  <c r="E104" i="50" s="1"/>
  <c r="D62" i="43"/>
  <c r="F103" i="37"/>
  <c r="E103" i="49" s="1"/>
  <c r="B103" i="38"/>
  <c r="AZ116" i="33"/>
  <c r="X19" i="33"/>
  <c r="T5" i="48" s="1"/>
  <c r="X146" i="33"/>
  <c r="C146" i="52" s="1"/>
  <c r="V154" i="33"/>
  <c r="X154" i="33" s="1"/>
  <c r="C154" i="52" s="1"/>
  <c r="W76" i="33"/>
  <c r="X76" i="33" s="1"/>
  <c r="X161" i="33"/>
  <c r="C161" i="52" s="1"/>
  <c r="X145" i="33"/>
  <c r="C145" i="52" s="1"/>
  <c r="W183" i="33"/>
  <c r="X147" i="33"/>
  <c r="C147" i="52" s="1"/>
  <c r="BA66" i="33"/>
  <c r="BB113" i="33"/>
  <c r="C113" i="39" s="1"/>
  <c r="AV116" i="33"/>
  <c r="AV129" i="33" s="1"/>
  <c r="AV70" i="33" s="1"/>
  <c r="L108" i="33"/>
  <c r="C108" i="50" s="1"/>
  <c r="R88" i="33"/>
  <c r="C88" i="53" s="1"/>
  <c r="AX66" i="33"/>
  <c r="BB114" i="33"/>
  <c r="C114" i="39" s="1"/>
  <c r="AV66" i="33"/>
  <c r="L19" i="33"/>
  <c r="T6" i="48" s="1"/>
  <c r="L147" i="33"/>
  <c r="C147" i="50" s="1"/>
  <c r="K76" i="33"/>
  <c r="L76" i="33" s="1"/>
  <c r="L145" i="33"/>
  <c r="C145" i="50" s="1"/>
  <c r="L146" i="33"/>
  <c r="C146" i="50" s="1"/>
  <c r="J154" i="33"/>
  <c r="H157" i="33"/>
  <c r="L157" i="33" s="1"/>
  <c r="C157" i="50" s="1"/>
  <c r="AV154" i="33"/>
  <c r="E183" i="33"/>
  <c r="B141" i="33"/>
  <c r="L141" i="33"/>
  <c r="C141" i="50" s="1"/>
  <c r="L161" i="33"/>
  <c r="C161" i="50" s="1"/>
  <c r="AD145" i="33"/>
  <c r="C145" i="51" s="1"/>
  <c r="AD146" i="33"/>
  <c r="C146" i="51" s="1"/>
  <c r="AD148" i="33"/>
  <c r="C148" i="51" s="1"/>
  <c r="AD19" i="33"/>
  <c r="T7" i="48" s="1"/>
  <c r="AC76" i="33"/>
  <c r="AD76" i="33" s="1"/>
  <c r="AB154" i="33"/>
  <c r="AD154" i="33" s="1"/>
  <c r="C154" i="51" s="1"/>
  <c r="AC183" i="33"/>
  <c r="AC192" i="33" s="1"/>
  <c r="B157" i="33"/>
  <c r="E76" i="33"/>
  <c r="F19" i="33"/>
  <c r="T3" i="48" s="1"/>
  <c r="BB19" i="33"/>
  <c r="BC19" i="33" s="1"/>
  <c r="F146" i="33"/>
  <c r="C146" i="49" s="1"/>
  <c r="D154" i="33"/>
  <c r="F148" i="33"/>
  <c r="C148" i="49" s="1"/>
  <c r="AV183" i="33"/>
  <c r="AV192" i="33" s="1"/>
  <c r="AR163" i="33"/>
  <c r="AV163" i="33" s="1"/>
  <c r="AT132" i="33"/>
  <c r="AT158" i="33"/>
  <c r="AT85" i="33" s="1"/>
  <c r="AU132" i="33"/>
  <c r="AU158" i="33"/>
  <c r="AR164" i="33"/>
  <c r="AV164" i="33" s="1"/>
  <c r="AV74" i="33"/>
  <c r="AS158" i="33"/>
  <c r="AS85" i="33" s="1"/>
  <c r="AS132" i="33"/>
  <c r="BB62" i="33"/>
  <c r="BB65" i="33" s="1"/>
  <c r="AV141" i="33"/>
  <c r="AV151" i="33" s="1"/>
  <c r="AR151" i="33"/>
  <c r="AR85" i="33"/>
  <c r="BB39" i="33"/>
  <c r="BB64" i="33" s="1"/>
  <c r="AO130" i="33"/>
  <c r="D158" i="33"/>
  <c r="AL151" i="33"/>
  <c r="AP141" i="33"/>
  <c r="AP151" i="33" s="1"/>
  <c r="T158" i="33"/>
  <c r="H88" i="33"/>
  <c r="H87" i="33"/>
  <c r="H75" i="33"/>
  <c r="AX5" i="33"/>
  <c r="L5" i="33"/>
  <c r="I158" i="33"/>
  <c r="T88" i="33"/>
  <c r="T87" i="33"/>
  <c r="X5" i="33"/>
  <c r="T75" i="33"/>
  <c r="X75" i="33" s="1"/>
  <c r="C75" i="52" s="1"/>
  <c r="AO158" i="33"/>
  <c r="AO132" i="33"/>
  <c r="BA132" i="33" s="1"/>
  <c r="BB156" i="33"/>
  <c r="C156" i="39" s="1"/>
  <c r="W129" i="33"/>
  <c r="W131" i="33" s="1"/>
  <c r="F108" i="33"/>
  <c r="J158" i="33"/>
  <c r="J85" i="33" s="1"/>
  <c r="AD157" i="33"/>
  <c r="C157" i="51" s="1"/>
  <c r="BB103" i="33"/>
  <c r="C103" i="39" s="1"/>
  <c r="E116" i="33"/>
  <c r="E129" i="33" s="1"/>
  <c r="E131" i="33" s="1"/>
  <c r="Z88" i="33"/>
  <c r="Z75" i="33"/>
  <c r="AD75" i="33" s="1"/>
  <c r="C75" i="51" s="1"/>
  <c r="Z87" i="33"/>
  <c r="AD5" i="33"/>
  <c r="AX192" i="33"/>
  <c r="BA128" i="33"/>
  <c r="Q158" i="33"/>
  <c r="P154" i="33"/>
  <c r="Q183" i="33"/>
  <c r="N157" i="33"/>
  <c r="R148" i="33"/>
  <c r="C148" i="53" s="1"/>
  <c r="R145" i="33"/>
  <c r="C145" i="53" s="1"/>
  <c r="R146" i="33"/>
  <c r="C146" i="53" s="1"/>
  <c r="R19" i="33"/>
  <c r="T4" i="48" s="1"/>
  <c r="Q76" i="33"/>
  <c r="H158" i="33"/>
  <c r="P158" i="33"/>
  <c r="P85" i="33" s="1"/>
  <c r="R108" i="33"/>
  <c r="AP87" i="33"/>
  <c r="U158" i="33"/>
  <c r="Z158" i="33"/>
  <c r="AC130" i="33"/>
  <c r="Q129" i="33"/>
  <c r="Q131" i="33" s="1"/>
  <c r="AD108" i="33"/>
  <c r="AN158" i="33"/>
  <c r="AN85" i="33" s="1"/>
  <c r="AN132" i="33"/>
  <c r="AZ132" i="33" s="1"/>
  <c r="R137" i="33"/>
  <c r="C137" i="53" s="1"/>
  <c r="AP157" i="33"/>
  <c r="K158" i="33"/>
  <c r="X108" i="33"/>
  <c r="C108" i="52" s="1"/>
  <c r="AB158" i="33"/>
  <c r="AB85" i="33" s="1"/>
  <c r="O158" i="33"/>
  <c r="AP74" i="33"/>
  <c r="AL158" i="33"/>
  <c r="AL132" i="33"/>
  <c r="AX132" i="33" s="1"/>
  <c r="B158" i="33"/>
  <c r="X137" i="33"/>
  <c r="C137" i="52" s="1"/>
  <c r="AM167" i="33"/>
  <c r="AM85" i="33"/>
  <c r="E158" i="33"/>
  <c r="W158" i="33"/>
  <c r="W167" i="33" s="1"/>
  <c r="V158" i="33"/>
  <c r="V85" i="33" s="1"/>
  <c r="K130" i="33"/>
  <c r="AL165" i="33"/>
  <c r="AP165" i="33" s="1"/>
  <c r="AL164" i="33"/>
  <c r="AP164" i="33" s="1"/>
  <c r="AL163" i="33"/>
  <c r="AP163" i="33" s="1"/>
  <c r="AA158" i="33"/>
  <c r="AO89" i="33"/>
  <c r="N158" i="33"/>
  <c r="AP154" i="33"/>
  <c r="C158" i="33"/>
  <c r="AC158" i="33"/>
  <c r="N165" i="33" l="1"/>
  <c r="R165" i="33" s="1"/>
  <c r="C165" i="53" s="1"/>
  <c r="AX88" i="33"/>
  <c r="AU138" i="33"/>
  <c r="AU139" i="33" s="1"/>
  <c r="N163" i="33"/>
  <c r="R163" i="33" s="1"/>
  <c r="C163" i="53" s="1"/>
  <c r="AE29" i="33"/>
  <c r="S29" i="33"/>
  <c r="C5" i="53"/>
  <c r="AD89" i="33"/>
  <c r="C89" i="51" s="1"/>
  <c r="C76" i="51"/>
  <c r="U19" i="48"/>
  <c r="AX161" i="33"/>
  <c r="F175" i="33"/>
  <c r="C175" i="49" s="1"/>
  <c r="AX175" i="33"/>
  <c r="F157" i="33"/>
  <c r="C157" i="49" s="1"/>
  <c r="AX157" i="33"/>
  <c r="U18" i="48"/>
  <c r="J11" i="49"/>
  <c r="J11" i="39"/>
  <c r="J8" i="49"/>
  <c r="J8" i="39"/>
  <c r="C19" i="51"/>
  <c r="J10" i="49"/>
  <c r="J10" i="39"/>
  <c r="AX145" i="33"/>
  <c r="BB145" i="33" s="1"/>
  <c r="C145" i="39" s="1"/>
  <c r="AX200" i="33"/>
  <c r="AU167" i="33"/>
  <c r="AU85" i="33"/>
  <c r="K167" i="33"/>
  <c r="K85" i="33"/>
  <c r="K98" i="33" s="1"/>
  <c r="S108" i="33"/>
  <c r="C108" i="53"/>
  <c r="U17" i="48"/>
  <c r="AO167" i="33"/>
  <c r="AO85" i="33"/>
  <c r="AR130" i="33"/>
  <c r="AR138" i="33" s="1"/>
  <c r="AR139" i="33" s="1"/>
  <c r="F161" i="33"/>
  <c r="C161" i="49" s="1"/>
  <c r="U20" i="48"/>
  <c r="F141" i="33"/>
  <c r="C141" i="49" s="1"/>
  <c r="AX141" i="33"/>
  <c r="BB141" i="33" s="1"/>
  <c r="C141" i="39" s="1"/>
  <c r="L89" i="33"/>
  <c r="C89" i="50" s="1"/>
  <c r="C76" i="50"/>
  <c r="X89" i="33"/>
  <c r="C89" i="52" s="1"/>
  <c r="C76" i="52"/>
  <c r="F74" i="33"/>
  <c r="C74" i="49" s="1"/>
  <c r="AX74" i="33"/>
  <c r="B165" i="33"/>
  <c r="AX87" i="33"/>
  <c r="BB87" i="33" s="1"/>
  <c r="BB135" i="33"/>
  <c r="C135" i="39" s="1"/>
  <c r="J19" i="51"/>
  <c r="J29" i="51" s="1"/>
  <c r="J15" i="50"/>
  <c r="J15" i="39"/>
  <c r="D117" i="45" s="1"/>
  <c r="C5" i="49"/>
  <c r="C5" i="50"/>
  <c r="C5" i="51"/>
  <c r="J14" i="50"/>
  <c r="J14" i="39"/>
  <c r="AX148" i="33"/>
  <c r="AY158" i="33"/>
  <c r="AY167" i="33" s="1"/>
  <c r="AZ158" i="33"/>
  <c r="E89" i="33"/>
  <c r="BA76" i="33"/>
  <c r="L192" i="33"/>
  <c r="C183" i="50"/>
  <c r="C192" i="50" s="1"/>
  <c r="AC167" i="33"/>
  <c r="AC85" i="33"/>
  <c r="AC98" i="33" s="1"/>
  <c r="BA158" i="33"/>
  <c r="E85" i="33"/>
  <c r="AX158" i="33"/>
  <c r="AE108" i="33"/>
  <c r="C108" i="51"/>
  <c r="Q167" i="33"/>
  <c r="Q85" i="33"/>
  <c r="Q98" i="33" s="1"/>
  <c r="G108" i="33"/>
  <c r="G109" i="33" s="1"/>
  <c r="C108" i="49"/>
  <c r="F154" i="33"/>
  <c r="C154" i="49" s="1"/>
  <c r="AZ154" i="33"/>
  <c r="BB154" i="33" s="1"/>
  <c r="C154" i="39" s="1"/>
  <c r="J154" i="39" s="1"/>
  <c r="T9" i="48"/>
  <c r="U16" i="48"/>
  <c r="U25" i="48" s="1"/>
  <c r="BA183" i="33"/>
  <c r="F75" i="33"/>
  <c r="C75" i="49" s="1"/>
  <c r="AX75" i="33"/>
  <c r="BB75" i="33" s="1"/>
  <c r="C75" i="39" s="1"/>
  <c r="G29" i="33"/>
  <c r="Y29" i="33"/>
  <c r="AV131" i="33"/>
  <c r="J7" i="49"/>
  <c r="J7" i="39"/>
  <c r="J19" i="39" s="1"/>
  <c r="J29" i="39" s="1"/>
  <c r="J13" i="50"/>
  <c r="J13" i="39"/>
  <c r="D96" i="45" s="1"/>
  <c r="D106" i="45" s="1"/>
  <c r="J6" i="49"/>
  <c r="J6" i="39"/>
  <c r="M29" i="33"/>
  <c r="AX147" i="33"/>
  <c r="BB147" i="33" s="1"/>
  <c r="C147" i="39" s="1"/>
  <c r="AX146" i="33"/>
  <c r="BA131" i="33"/>
  <c r="AX104" i="37"/>
  <c r="BB104" i="37" s="1"/>
  <c r="E104" i="39" s="1"/>
  <c r="AX103" i="37"/>
  <c r="BB103" i="36"/>
  <c r="B163" i="33"/>
  <c r="B164" i="33"/>
  <c r="AP132" i="33"/>
  <c r="AT138" i="33"/>
  <c r="AT139" i="33" s="1"/>
  <c r="D167" i="33"/>
  <c r="F88" i="33"/>
  <c r="C88" i="49" s="1"/>
  <c r="AN138" i="33"/>
  <c r="AN139" i="33" s="1"/>
  <c r="K192" i="33"/>
  <c r="BB88" i="33"/>
  <c r="C88" i="39" s="1"/>
  <c r="AV132" i="33"/>
  <c r="B103" i="42"/>
  <c r="F103" i="38"/>
  <c r="F103" i="49" s="1"/>
  <c r="H103" i="42"/>
  <c r="L103" i="42" s="1"/>
  <c r="G103" i="50" s="1"/>
  <c r="L103" i="38"/>
  <c r="F103" i="50" s="1"/>
  <c r="N104" i="38"/>
  <c r="R104" i="37"/>
  <c r="E104" i="53" s="1"/>
  <c r="C66" i="39"/>
  <c r="BB25" i="33"/>
  <c r="C25" i="39" s="1"/>
  <c r="D19" i="44"/>
  <c r="Z104" i="38"/>
  <c r="AD104" i="37"/>
  <c r="E104" i="51" s="1"/>
  <c r="D127" i="45"/>
  <c r="F105" i="42"/>
  <c r="G105" i="49" s="1"/>
  <c r="F105" i="38"/>
  <c r="F105" i="49" s="1"/>
  <c r="AV158" i="33"/>
  <c r="AV167" i="33" s="1"/>
  <c r="D72" i="34"/>
  <c r="D53" i="45"/>
  <c r="BB200" i="33"/>
  <c r="C200" i="39" s="1"/>
  <c r="F200" i="33"/>
  <c r="C200" i="49" s="1"/>
  <c r="F104" i="38"/>
  <c r="F104" i="49" s="1"/>
  <c r="T103" i="42"/>
  <c r="X103" i="42" s="1"/>
  <c r="G103" i="52" s="1"/>
  <c r="X103" i="38"/>
  <c r="F103" i="52" s="1"/>
  <c r="C107" i="38"/>
  <c r="F107" i="37"/>
  <c r="E107" i="49" s="1"/>
  <c r="C116" i="37"/>
  <c r="H104" i="42"/>
  <c r="L104" i="42" s="1"/>
  <c r="G104" i="50" s="1"/>
  <c r="L104" i="38"/>
  <c r="F104" i="50" s="1"/>
  <c r="D61" i="43"/>
  <c r="D74" i="43" s="1"/>
  <c r="D51" i="43"/>
  <c r="J51" i="43" s="1"/>
  <c r="D30" i="43"/>
  <c r="Z103" i="38"/>
  <c r="AD103" i="37"/>
  <c r="E103" i="51" s="1"/>
  <c r="T104" i="38"/>
  <c r="X104" i="37"/>
  <c r="E104" i="52" s="1"/>
  <c r="AV69" i="33"/>
  <c r="M108" i="33"/>
  <c r="Y108" i="33"/>
  <c r="W86" i="33"/>
  <c r="V167" i="33"/>
  <c r="W89" i="33"/>
  <c r="W99" i="33" s="1"/>
  <c r="T151" i="33"/>
  <c r="W192" i="33"/>
  <c r="X183" i="33"/>
  <c r="BB74" i="33"/>
  <c r="C74" i="39" s="1"/>
  <c r="BA129" i="33"/>
  <c r="AN167" i="33"/>
  <c r="J167" i="33"/>
  <c r="F76" i="33"/>
  <c r="BB66" i="33"/>
  <c r="L154" i="33"/>
  <c r="C154" i="50" s="1"/>
  <c r="K86" i="33"/>
  <c r="K89" i="33"/>
  <c r="K99" i="33" s="1"/>
  <c r="H151" i="33"/>
  <c r="BB157" i="33"/>
  <c r="C157" i="39" s="1"/>
  <c r="BB161" i="33"/>
  <c r="C161" i="39" s="1"/>
  <c r="AC89" i="33"/>
  <c r="AD141" i="33"/>
  <c r="C141" i="51" s="1"/>
  <c r="BB146" i="33"/>
  <c r="C146" i="39" s="1"/>
  <c r="Z151" i="33"/>
  <c r="AD183" i="33"/>
  <c r="BA192" i="33"/>
  <c r="E86" i="33"/>
  <c r="F183" i="33"/>
  <c r="E192" i="33"/>
  <c r="B151" i="33"/>
  <c r="AR98" i="33"/>
  <c r="AR99" i="33" s="1"/>
  <c r="AR167" i="33"/>
  <c r="AS138" i="33"/>
  <c r="AS139" i="33" s="1"/>
  <c r="AS167" i="33"/>
  <c r="AR86" i="33"/>
  <c r="AT167" i="33"/>
  <c r="AL167" i="33"/>
  <c r="R158" i="33"/>
  <c r="C158" i="53" s="1"/>
  <c r="N85" i="33"/>
  <c r="T163" i="33"/>
  <c r="T165" i="33"/>
  <c r="X165" i="33" s="1"/>
  <c r="C165" i="52" s="1"/>
  <c r="T164" i="33"/>
  <c r="X164" i="33" s="1"/>
  <c r="C164" i="52" s="1"/>
  <c r="BB5" i="33"/>
  <c r="AM98" i="33"/>
  <c r="AM99" i="33" s="1"/>
  <c r="AM86" i="33"/>
  <c r="F158" i="33"/>
  <c r="C158" i="49" s="1"/>
  <c r="B85" i="33"/>
  <c r="AC138" i="33"/>
  <c r="AC139" i="33" s="1"/>
  <c r="AD74" i="33"/>
  <c r="C74" i="51" s="1"/>
  <c r="E130" i="33"/>
  <c r="L75" i="33"/>
  <c r="C75" i="50" s="1"/>
  <c r="R154" i="33"/>
  <c r="C154" i="53" s="1"/>
  <c r="P167" i="33"/>
  <c r="Z163" i="33"/>
  <c r="AD163" i="33" s="1"/>
  <c r="C163" i="51" s="1"/>
  <c r="Z165" i="33"/>
  <c r="AD165" i="33" s="1"/>
  <c r="C165" i="51" s="1"/>
  <c r="Z164" i="33"/>
  <c r="AD164" i="33" s="1"/>
  <c r="C164" i="51" s="1"/>
  <c r="C167" i="33"/>
  <c r="C85" i="33"/>
  <c r="AA167" i="33"/>
  <c r="AA85" i="33"/>
  <c r="AN98" i="33"/>
  <c r="AN86" i="33"/>
  <c r="F163" i="33"/>
  <c r="C163" i="49" s="1"/>
  <c r="H165" i="33"/>
  <c r="L165" i="33" s="1"/>
  <c r="C165" i="50" s="1"/>
  <c r="H164" i="33"/>
  <c r="L164" i="33" s="1"/>
  <c r="C164" i="50" s="1"/>
  <c r="H163" i="33"/>
  <c r="E167" i="33"/>
  <c r="BA167" i="33"/>
  <c r="J98" i="33"/>
  <c r="BB155" i="33"/>
  <c r="C155" i="39" s="1"/>
  <c r="F164" i="33"/>
  <c r="C164" i="49" s="1"/>
  <c r="AB167" i="33"/>
  <c r="K138" i="33"/>
  <c r="K139" i="33" s="1"/>
  <c r="O167" i="33"/>
  <c r="O85" i="33"/>
  <c r="Q130" i="33"/>
  <c r="U167" i="33"/>
  <c r="U85" i="33"/>
  <c r="L158" i="33"/>
  <c r="C158" i="50" s="1"/>
  <c r="H85" i="33"/>
  <c r="N151" i="33"/>
  <c r="R141" i="33"/>
  <c r="C141" i="53" s="1"/>
  <c r="P98" i="33"/>
  <c r="BB148" i="33"/>
  <c r="C148" i="39" s="1"/>
  <c r="I167" i="33"/>
  <c r="I85" i="33"/>
  <c r="X158" i="33"/>
  <c r="C158" i="52" s="1"/>
  <c r="T85" i="33"/>
  <c r="T86" i="33" s="1"/>
  <c r="AO138" i="33"/>
  <c r="AO139" i="33" s="1"/>
  <c r="AO207" i="33" s="1"/>
  <c r="AP158" i="33"/>
  <c r="AP167" i="33" s="1"/>
  <c r="AL85" i="33"/>
  <c r="AB98" i="33"/>
  <c r="AD158" i="33"/>
  <c r="C158" i="51" s="1"/>
  <c r="Z85" i="33"/>
  <c r="Q89" i="33"/>
  <c r="R76" i="33"/>
  <c r="N167" i="33"/>
  <c r="R157" i="33"/>
  <c r="C157" i="53" s="1"/>
  <c r="BB108" i="33"/>
  <c r="X74" i="33"/>
  <c r="C74" i="52" s="1"/>
  <c r="L88" i="33"/>
  <c r="C88" i="50" s="1"/>
  <c r="L87" i="33"/>
  <c r="C87" i="50" s="1"/>
  <c r="D85" i="33"/>
  <c r="AZ85" i="33" s="1"/>
  <c r="V98" i="33"/>
  <c r="Q192" i="33"/>
  <c r="R183" i="33"/>
  <c r="AD88" i="33"/>
  <c r="C88" i="51" s="1"/>
  <c r="AD87" i="33"/>
  <c r="C87" i="51" s="1"/>
  <c r="W130" i="33"/>
  <c r="X87" i="33"/>
  <c r="C87" i="52" s="1"/>
  <c r="X88" i="33"/>
  <c r="C88" i="52" s="1"/>
  <c r="L74" i="33"/>
  <c r="C74" i="50" s="1"/>
  <c r="AR210" i="30"/>
  <c r="AS210" i="30"/>
  <c r="AT210" i="30"/>
  <c r="AU210" i="30"/>
  <c r="AR211" i="30"/>
  <c r="AS211" i="30"/>
  <c r="AT211" i="30"/>
  <c r="AU211" i="30"/>
  <c r="AR212" i="30"/>
  <c r="AS212" i="30"/>
  <c r="AT212" i="30"/>
  <c r="AU212" i="30"/>
  <c r="AR213" i="30"/>
  <c r="AS213" i="30"/>
  <c r="AT213" i="30"/>
  <c r="AU213" i="30"/>
  <c r="AR214" i="30"/>
  <c r="AS214" i="30"/>
  <c r="AT214" i="30"/>
  <c r="AU214" i="30"/>
  <c r="AR215" i="30"/>
  <c r="AS215" i="30"/>
  <c r="AT215" i="30"/>
  <c r="AU215" i="30"/>
  <c r="AR216" i="30"/>
  <c r="AS216" i="30"/>
  <c r="AT216" i="30"/>
  <c r="AU216" i="30"/>
  <c r="AR217" i="30"/>
  <c r="AS217" i="30"/>
  <c r="AT217" i="30"/>
  <c r="AU217" i="30"/>
  <c r="AR218" i="30"/>
  <c r="AS218" i="30"/>
  <c r="AT218" i="30"/>
  <c r="AU218" i="30"/>
  <c r="AR219" i="30"/>
  <c r="AS219" i="30"/>
  <c r="AT219" i="30"/>
  <c r="AU219" i="30"/>
  <c r="AS209" i="30"/>
  <c r="AT209" i="30"/>
  <c r="AU209" i="30"/>
  <c r="AR209" i="30"/>
  <c r="AS195" i="30"/>
  <c r="AT195" i="30"/>
  <c r="AU195" i="30"/>
  <c r="AS196" i="30"/>
  <c r="AT196" i="30"/>
  <c r="AU196" i="30"/>
  <c r="AS197" i="30"/>
  <c r="AT197" i="30"/>
  <c r="AU197" i="30"/>
  <c r="AS198" i="30"/>
  <c r="AT198" i="30"/>
  <c r="AU198" i="30"/>
  <c r="AS199" i="30"/>
  <c r="AT199" i="30"/>
  <c r="AU199" i="30"/>
  <c r="AS200" i="30"/>
  <c r="AT200" i="30"/>
  <c r="AU200" i="30"/>
  <c r="AS201" i="30"/>
  <c r="AT201" i="30"/>
  <c r="AU201" i="30"/>
  <c r="AS202" i="30"/>
  <c r="AT202" i="30"/>
  <c r="AU202" i="30"/>
  <c r="AR203" i="30"/>
  <c r="AS203" i="30"/>
  <c r="AT203" i="30"/>
  <c r="AU203" i="30"/>
  <c r="AS204" i="30"/>
  <c r="AT204" i="30"/>
  <c r="AU204" i="30"/>
  <c r="AS194" i="30"/>
  <c r="AT194" i="30"/>
  <c r="AU194" i="30"/>
  <c r="AR184" i="30"/>
  <c r="AS184" i="30"/>
  <c r="AT184" i="30"/>
  <c r="AU184" i="30"/>
  <c r="AR185" i="30"/>
  <c r="AS185" i="30"/>
  <c r="AT185" i="30"/>
  <c r="AU185" i="30"/>
  <c r="AS186" i="30"/>
  <c r="AT186" i="30"/>
  <c r="AU186" i="30"/>
  <c r="AR187" i="30"/>
  <c r="AS187" i="30"/>
  <c r="AT187" i="30"/>
  <c r="AU187" i="30"/>
  <c r="AR188" i="30"/>
  <c r="AS188" i="30"/>
  <c r="AT188" i="30"/>
  <c r="AU188" i="30"/>
  <c r="AR189" i="30"/>
  <c r="AS189" i="30"/>
  <c r="AT189" i="30"/>
  <c r="AU189" i="30"/>
  <c r="AR190" i="30"/>
  <c r="AS190" i="30"/>
  <c r="AT190" i="30"/>
  <c r="AU190" i="30"/>
  <c r="AR191" i="30"/>
  <c r="AS191" i="30"/>
  <c r="AT191" i="30"/>
  <c r="AU191" i="30"/>
  <c r="AS183" i="30"/>
  <c r="AT183" i="30"/>
  <c r="AS179" i="30"/>
  <c r="AT179" i="30"/>
  <c r="AU179" i="30"/>
  <c r="AS180" i="30"/>
  <c r="AT180" i="30"/>
  <c r="AU180" i="30"/>
  <c r="AS178" i="30"/>
  <c r="AT178" i="30"/>
  <c r="AU178" i="30"/>
  <c r="AS170" i="30"/>
  <c r="AT170" i="30"/>
  <c r="AU170" i="30"/>
  <c r="AR171" i="30"/>
  <c r="AS171" i="30"/>
  <c r="AT171" i="30"/>
  <c r="AU171" i="30"/>
  <c r="AR172" i="30"/>
  <c r="AS172" i="30"/>
  <c r="AT172" i="30"/>
  <c r="AU172" i="30"/>
  <c r="AR173" i="30"/>
  <c r="AS173" i="30"/>
  <c r="AT173" i="30"/>
  <c r="AU173" i="30"/>
  <c r="AS174" i="30"/>
  <c r="AT174" i="30"/>
  <c r="AU174" i="30"/>
  <c r="AS175" i="30"/>
  <c r="AT175" i="30"/>
  <c r="AU175" i="30"/>
  <c r="AS169" i="30"/>
  <c r="AT169" i="30"/>
  <c r="AU169" i="30"/>
  <c r="AR154" i="30"/>
  <c r="AS154" i="30"/>
  <c r="AU154" i="30"/>
  <c r="AS155" i="30"/>
  <c r="AT155" i="30"/>
  <c r="AU155" i="30"/>
  <c r="AS156" i="30"/>
  <c r="AT156" i="30"/>
  <c r="AU156" i="30"/>
  <c r="AS157" i="30"/>
  <c r="AT157" i="30"/>
  <c r="AU157" i="30"/>
  <c r="AR159" i="30"/>
  <c r="AS159" i="30"/>
  <c r="AT159" i="30"/>
  <c r="AU159" i="30"/>
  <c r="AR160" i="30"/>
  <c r="AS160" i="30"/>
  <c r="AT160" i="30"/>
  <c r="AU160" i="30"/>
  <c r="AS161" i="30"/>
  <c r="AT161" i="30"/>
  <c r="AU161" i="30"/>
  <c r="AR162" i="30"/>
  <c r="AS162" i="30"/>
  <c r="AT162" i="30"/>
  <c r="AU162" i="30"/>
  <c r="AS163" i="30"/>
  <c r="AT163" i="30"/>
  <c r="AU163" i="30"/>
  <c r="AS164" i="30"/>
  <c r="AT164" i="30"/>
  <c r="AU164" i="30"/>
  <c r="AS165" i="30"/>
  <c r="AT165" i="30"/>
  <c r="AU165" i="30"/>
  <c r="AR166" i="30"/>
  <c r="AS166" i="30"/>
  <c r="AT166" i="30"/>
  <c r="AU166" i="30"/>
  <c r="AS153" i="30"/>
  <c r="AT153" i="30"/>
  <c r="AU153" i="30"/>
  <c r="AR153" i="30"/>
  <c r="AS142" i="30"/>
  <c r="AT142" i="30"/>
  <c r="AU142" i="30"/>
  <c r="AR143" i="30"/>
  <c r="AS143" i="30"/>
  <c r="AT143" i="30"/>
  <c r="AU143" i="30"/>
  <c r="AS144" i="30"/>
  <c r="AT144" i="30"/>
  <c r="AU144" i="30"/>
  <c r="AT145" i="30"/>
  <c r="AU145" i="30"/>
  <c r="AS146" i="30"/>
  <c r="AT146" i="30"/>
  <c r="AU146" i="30"/>
  <c r="AT147" i="30"/>
  <c r="AU147" i="30"/>
  <c r="AT148" i="30"/>
  <c r="AU148" i="30"/>
  <c r="AU149" i="30"/>
  <c r="AR150" i="30"/>
  <c r="AS150" i="30"/>
  <c r="AT150" i="30"/>
  <c r="AU150" i="30"/>
  <c r="AS141" i="30"/>
  <c r="AT141" i="30"/>
  <c r="AU141" i="30"/>
  <c r="AR136" i="30"/>
  <c r="AS136" i="30"/>
  <c r="AT136" i="30"/>
  <c r="AU136" i="30"/>
  <c r="AR119" i="30"/>
  <c r="AS119" i="30"/>
  <c r="AU119" i="30"/>
  <c r="AR120" i="30"/>
  <c r="AS120" i="30"/>
  <c r="AU120" i="30"/>
  <c r="AR121" i="30"/>
  <c r="AS121" i="30"/>
  <c r="AU121" i="30"/>
  <c r="AR122" i="30"/>
  <c r="AS122" i="30"/>
  <c r="AU122" i="30"/>
  <c r="AR123" i="30"/>
  <c r="AS123" i="30"/>
  <c r="AU123" i="30"/>
  <c r="AR124" i="30"/>
  <c r="AT124" i="30"/>
  <c r="AU124" i="30"/>
  <c r="AR125" i="30"/>
  <c r="AS125" i="30"/>
  <c r="AT125" i="30"/>
  <c r="AU125" i="30"/>
  <c r="AR126" i="30"/>
  <c r="AS126" i="30"/>
  <c r="AT126" i="30"/>
  <c r="AR127" i="30"/>
  <c r="AS127" i="30"/>
  <c r="AT127" i="30"/>
  <c r="AU127" i="30"/>
  <c r="AS118" i="30"/>
  <c r="AT118" i="30"/>
  <c r="AU118" i="30"/>
  <c r="AR118" i="30"/>
  <c r="AS104" i="30"/>
  <c r="AT104" i="30"/>
  <c r="AU104" i="30"/>
  <c r="AT105" i="30"/>
  <c r="AU105" i="30"/>
  <c r="AR106" i="30"/>
  <c r="AT106" i="30"/>
  <c r="AU106" i="30"/>
  <c r="AT107" i="30"/>
  <c r="AU107" i="30"/>
  <c r="AT108" i="30"/>
  <c r="AR109" i="30"/>
  <c r="AS109" i="30"/>
  <c r="AT109" i="30"/>
  <c r="AU109" i="30"/>
  <c r="AR110" i="30"/>
  <c r="AS110" i="30"/>
  <c r="AU110" i="30"/>
  <c r="AS111" i="30"/>
  <c r="AT111" i="30"/>
  <c r="AU111" i="30"/>
  <c r="AS112" i="30"/>
  <c r="AT112" i="30"/>
  <c r="AU112" i="30"/>
  <c r="AS114" i="30"/>
  <c r="AU114" i="30"/>
  <c r="AR115" i="30"/>
  <c r="AT115" i="30"/>
  <c r="AU115" i="30"/>
  <c r="AS103" i="30"/>
  <c r="AT103" i="30"/>
  <c r="AU103" i="30"/>
  <c r="AS75" i="30"/>
  <c r="AT75" i="30"/>
  <c r="AU75" i="30"/>
  <c r="AT76" i="30"/>
  <c r="AU77" i="30"/>
  <c r="AU78" i="30"/>
  <c r="AT79" i="30"/>
  <c r="AU79" i="30"/>
  <c r="AT80" i="30"/>
  <c r="AU80" i="30"/>
  <c r="AT81" i="30"/>
  <c r="AU81" i="30"/>
  <c r="AS82" i="30"/>
  <c r="AT82" i="30"/>
  <c r="AU82" i="30"/>
  <c r="AR83" i="30"/>
  <c r="AS83" i="30"/>
  <c r="AT83" i="30"/>
  <c r="AU83" i="30"/>
  <c r="AR84" i="30"/>
  <c r="AS84" i="30"/>
  <c r="AT84" i="30"/>
  <c r="AU84" i="30"/>
  <c r="AS74" i="30"/>
  <c r="AT74" i="30"/>
  <c r="AU74" i="30"/>
  <c r="AR43" i="30"/>
  <c r="AS43" i="30"/>
  <c r="AT43" i="30"/>
  <c r="AU43" i="30"/>
  <c r="AR44" i="30"/>
  <c r="AS44" i="30"/>
  <c r="AT44" i="30"/>
  <c r="AU44" i="30"/>
  <c r="AR45" i="30"/>
  <c r="AS45" i="30"/>
  <c r="AT45" i="30"/>
  <c r="AU45" i="30"/>
  <c r="AR46" i="30"/>
  <c r="AS46" i="30"/>
  <c r="AT46" i="30"/>
  <c r="AU46" i="30"/>
  <c r="AR47" i="30"/>
  <c r="AS47" i="30"/>
  <c r="AT47" i="30"/>
  <c r="AU47" i="30"/>
  <c r="AR48" i="30"/>
  <c r="AS48" i="30"/>
  <c r="AT48" i="30"/>
  <c r="AU48" i="30"/>
  <c r="AR49" i="30"/>
  <c r="AS49" i="30"/>
  <c r="AT49" i="30"/>
  <c r="AU49" i="30"/>
  <c r="AR50" i="30"/>
  <c r="AS50" i="30"/>
  <c r="AT50" i="30"/>
  <c r="AU50" i="30"/>
  <c r="AR51" i="30"/>
  <c r="AS51" i="30"/>
  <c r="AT51" i="30"/>
  <c r="AU51" i="30"/>
  <c r="AR52" i="30"/>
  <c r="AS52" i="30"/>
  <c r="AT52" i="30"/>
  <c r="AU52" i="30"/>
  <c r="AR53" i="30"/>
  <c r="AS53" i="30"/>
  <c r="AT53" i="30"/>
  <c r="AU53" i="30"/>
  <c r="AR54" i="30"/>
  <c r="AS54" i="30"/>
  <c r="AT54" i="30"/>
  <c r="AU54" i="30"/>
  <c r="AR55" i="30"/>
  <c r="AS55" i="30"/>
  <c r="AT55" i="30"/>
  <c r="AU55" i="30"/>
  <c r="AR56" i="30"/>
  <c r="AS56" i="30"/>
  <c r="AT56" i="30"/>
  <c r="AU56" i="30"/>
  <c r="AR57" i="30"/>
  <c r="AS57" i="30"/>
  <c r="AT57" i="30"/>
  <c r="AU57" i="30"/>
  <c r="AR58" i="30"/>
  <c r="AS58" i="30"/>
  <c r="AT58" i="30"/>
  <c r="AU58" i="30"/>
  <c r="AR59" i="30"/>
  <c r="AS59" i="30"/>
  <c r="AT59" i="30"/>
  <c r="AU59" i="30"/>
  <c r="AR60" i="30"/>
  <c r="AS60" i="30"/>
  <c r="AT60" i="30"/>
  <c r="AU60" i="30"/>
  <c r="AR61" i="30"/>
  <c r="AS61" i="30"/>
  <c r="AT61" i="30"/>
  <c r="AU61" i="30"/>
  <c r="AS42" i="30"/>
  <c r="AT42" i="30"/>
  <c r="AU42" i="30"/>
  <c r="AR42" i="30"/>
  <c r="AR30" i="30"/>
  <c r="AS30" i="30"/>
  <c r="AT30" i="30"/>
  <c r="AU30" i="30"/>
  <c r="AR31" i="30"/>
  <c r="AS31" i="30"/>
  <c r="AT31" i="30"/>
  <c r="AU31" i="30"/>
  <c r="AR32" i="30"/>
  <c r="AS32" i="30"/>
  <c r="AT32" i="30"/>
  <c r="AU32" i="30"/>
  <c r="AR33" i="30"/>
  <c r="AS33" i="30"/>
  <c r="AT33" i="30"/>
  <c r="AU33" i="30"/>
  <c r="AR34" i="30"/>
  <c r="AS34" i="30"/>
  <c r="AT34" i="30"/>
  <c r="AU34" i="30"/>
  <c r="AR35" i="30"/>
  <c r="AS35" i="30"/>
  <c r="AT35" i="30"/>
  <c r="AU35" i="30"/>
  <c r="AR36" i="30"/>
  <c r="AS36" i="30"/>
  <c r="AT36" i="30"/>
  <c r="AU36" i="30"/>
  <c r="AR37" i="30"/>
  <c r="AS37" i="30"/>
  <c r="AT37" i="30"/>
  <c r="AU37" i="30"/>
  <c r="AR38" i="30"/>
  <c r="AS38" i="30"/>
  <c r="AT38" i="30"/>
  <c r="AU38" i="30"/>
  <c r="AS29" i="30"/>
  <c r="AT29" i="30"/>
  <c r="AU29" i="30"/>
  <c r="AR29" i="30"/>
  <c r="AR23" i="30"/>
  <c r="AS23" i="30"/>
  <c r="AT23" i="30"/>
  <c r="AU23" i="30"/>
  <c r="AR24" i="30"/>
  <c r="AS24" i="30"/>
  <c r="AT24" i="30"/>
  <c r="AU24" i="30"/>
  <c r="AR25" i="30"/>
  <c r="AS25" i="30"/>
  <c r="AT25" i="30"/>
  <c r="AR26" i="30"/>
  <c r="AS26" i="30"/>
  <c r="AT26" i="30"/>
  <c r="AU26" i="30"/>
  <c r="AS22" i="30"/>
  <c r="AT22" i="30"/>
  <c r="AU22" i="30"/>
  <c r="AR22" i="30"/>
  <c r="AS6" i="30"/>
  <c r="AT6" i="30"/>
  <c r="AU6" i="30"/>
  <c r="AS7" i="30"/>
  <c r="AT7" i="30"/>
  <c r="AU7" i="30"/>
  <c r="AS8" i="30"/>
  <c r="AT8" i="30"/>
  <c r="AU8" i="30"/>
  <c r="AS9" i="30"/>
  <c r="AT9" i="30"/>
  <c r="AU9" i="30"/>
  <c r="AS10" i="30"/>
  <c r="AT10" i="30"/>
  <c r="AU10" i="30"/>
  <c r="AS11" i="30"/>
  <c r="AT11" i="30"/>
  <c r="AU11" i="30"/>
  <c r="AS12" i="30"/>
  <c r="AT12" i="30"/>
  <c r="AU12" i="30"/>
  <c r="AS13" i="30"/>
  <c r="AT13" i="30"/>
  <c r="AU13" i="30"/>
  <c r="AS14" i="30"/>
  <c r="AT14" i="30"/>
  <c r="AU14" i="30"/>
  <c r="AS15" i="30"/>
  <c r="AT15" i="30"/>
  <c r="AU15" i="30"/>
  <c r="AR16" i="30"/>
  <c r="AS16" i="30"/>
  <c r="AT16" i="30"/>
  <c r="AU16" i="30"/>
  <c r="AR17" i="30"/>
  <c r="AS17" i="30"/>
  <c r="AT17" i="30"/>
  <c r="AU17" i="30"/>
  <c r="AR18" i="30"/>
  <c r="AS18" i="30"/>
  <c r="AT18" i="30"/>
  <c r="AU18" i="30"/>
  <c r="AS19" i="30"/>
  <c r="AT19" i="30"/>
  <c r="AU19" i="30"/>
  <c r="AS5" i="30"/>
  <c r="AT5" i="30"/>
  <c r="AU5" i="30"/>
  <c r="AV223" i="30"/>
  <c r="AU223" i="30"/>
  <c r="AT223" i="30"/>
  <c r="AS223" i="30"/>
  <c r="AR223" i="30"/>
  <c r="AV182" i="30"/>
  <c r="AV193" i="30" s="1"/>
  <c r="AU182" i="30"/>
  <c r="AU193" i="30" s="1"/>
  <c r="AT182" i="30"/>
  <c r="AT193" i="30" s="1"/>
  <c r="AS182" i="30"/>
  <c r="AS193" i="30" s="1"/>
  <c r="AR182" i="30"/>
  <c r="AR193" i="30" s="1"/>
  <c r="AV152" i="30"/>
  <c r="AV168" i="30" s="1"/>
  <c r="AU152" i="30"/>
  <c r="AU168" i="30" s="1"/>
  <c r="AT152" i="30"/>
  <c r="AT168" i="30" s="1"/>
  <c r="AS152" i="30"/>
  <c r="AS168" i="30" s="1"/>
  <c r="AR152" i="30"/>
  <c r="AR168" i="30" s="1"/>
  <c r="AV140" i="30"/>
  <c r="AU140" i="30"/>
  <c r="AT140" i="30"/>
  <c r="AS140" i="30"/>
  <c r="AR140" i="30"/>
  <c r="AV117" i="30"/>
  <c r="AU117" i="30"/>
  <c r="AT117" i="30"/>
  <c r="AS117" i="30"/>
  <c r="AR117" i="30"/>
  <c r="AV101" i="30"/>
  <c r="AU101" i="30"/>
  <c r="AT101" i="30"/>
  <c r="AS101" i="30"/>
  <c r="AR101" i="30"/>
  <c r="AV73" i="30"/>
  <c r="AU73" i="30"/>
  <c r="AS73" i="30"/>
  <c r="AR73" i="30"/>
  <c r="AV41" i="30"/>
  <c r="AU41" i="30"/>
  <c r="AT41" i="30"/>
  <c r="AS41" i="30"/>
  <c r="AR41" i="30"/>
  <c r="AV27" i="30"/>
  <c r="AV3" i="30"/>
  <c r="AP223" i="30"/>
  <c r="AO223" i="30"/>
  <c r="AN223" i="30"/>
  <c r="AM223" i="30"/>
  <c r="AL223" i="30"/>
  <c r="AP218" i="30"/>
  <c r="AP217" i="30"/>
  <c r="AP216" i="30"/>
  <c r="AP215" i="30"/>
  <c r="AP214" i="30"/>
  <c r="AP213" i="30"/>
  <c r="AP212" i="30"/>
  <c r="AP211" i="30"/>
  <c r="AP210" i="30"/>
  <c r="AP209" i="30"/>
  <c r="AO205" i="30"/>
  <c r="AN205" i="30"/>
  <c r="AM205" i="30"/>
  <c r="AL205" i="30"/>
  <c r="AP204" i="30"/>
  <c r="AP203" i="30"/>
  <c r="AP202" i="30"/>
  <c r="AP201" i="30"/>
  <c r="AP200" i="30"/>
  <c r="AP199" i="30"/>
  <c r="AP198" i="30"/>
  <c r="AP197" i="30"/>
  <c r="AP196" i="30"/>
  <c r="AP195" i="30"/>
  <c r="AP194" i="30"/>
  <c r="AN192" i="30"/>
  <c r="AM192" i="30"/>
  <c r="AP191" i="30"/>
  <c r="AP190" i="30"/>
  <c r="AP189" i="30"/>
  <c r="AP188" i="30"/>
  <c r="AP187" i="30"/>
  <c r="AR186" i="30"/>
  <c r="AP185" i="30"/>
  <c r="AP184" i="30"/>
  <c r="AL183" i="30"/>
  <c r="AP182" i="30"/>
  <c r="AP193" i="30" s="1"/>
  <c r="AO182" i="30"/>
  <c r="AO193" i="30" s="1"/>
  <c r="AN182" i="30"/>
  <c r="AN193" i="30" s="1"/>
  <c r="AM182" i="30"/>
  <c r="AM193" i="30" s="1"/>
  <c r="AL182" i="30"/>
  <c r="AL193" i="30" s="1"/>
  <c r="AO181" i="30"/>
  <c r="AN181" i="30"/>
  <c r="AM181" i="30"/>
  <c r="AL181" i="30"/>
  <c r="AP180" i="30"/>
  <c r="AP179" i="30"/>
  <c r="AP178" i="30"/>
  <c r="AO176" i="30"/>
  <c r="AN176" i="30"/>
  <c r="AM176" i="30"/>
  <c r="AP175" i="30"/>
  <c r="AP174" i="30"/>
  <c r="AP173" i="30"/>
  <c r="AP172" i="30"/>
  <c r="AP171" i="30"/>
  <c r="AP170" i="30"/>
  <c r="AP169" i="30"/>
  <c r="AP162" i="30"/>
  <c r="AP160" i="30"/>
  <c r="AP159" i="30"/>
  <c r="AP153" i="30"/>
  <c r="AP152" i="30"/>
  <c r="AP168" i="30" s="1"/>
  <c r="AO152" i="30"/>
  <c r="AO168" i="30" s="1"/>
  <c r="AN152" i="30"/>
  <c r="AN168" i="30" s="1"/>
  <c r="AM152" i="30"/>
  <c r="AM168" i="30" s="1"/>
  <c r="AL152" i="30"/>
  <c r="AL168" i="30" s="1"/>
  <c r="AO151" i="30"/>
  <c r="AP150" i="30"/>
  <c r="AN151" i="30"/>
  <c r="AP144" i="30"/>
  <c r="AP143" i="30"/>
  <c r="AP142" i="30"/>
  <c r="AP140" i="30"/>
  <c r="AO140" i="30"/>
  <c r="AN140" i="30"/>
  <c r="AM140" i="30"/>
  <c r="AL140" i="30"/>
  <c r="AO128" i="30"/>
  <c r="AN128" i="30"/>
  <c r="AM128" i="30"/>
  <c r="AL128" i="30"/>
  <c r="AP127" i="30"/>
  <c r="AP126" i="30"/>
  <c r="AP125" i="30"/>
  <c r="AP124" i="30"/>
  <c r="AP123" i="30"/>
  <c r="AP122" i="30"/>
  <c r="AP121" i="30"/>
  <c r="AP120" i="30"/>
  <c r="AP119" i="30"/>
  <c r="AP118" i="30"/>
  <c r="AP117" i="30"/>
  <c r="AO117" i="30"/>
  <c r="AN117" i="30"/>
  <c r="AM117" i="30"/>
  <c r="AL117" i="30"/>
  <c r="AM115" i="30"/>
  <c r="AP115" i="30" s="1"/>
  <c r="AL114" i="30"/>
  <c r="AP114" i="30" s="1"/>
  <c r="AO113" i="30"/>
  <c r="AO116" i="30" s="1"/>
  <c r="AM113" i="30"/>
  <c r="AL113" i="30"/>
  <c r="AP112" i="30"/>
  <c r="AL111" i="30"/>
  <c r="AP111" i="30" s="1"/>
  <c r="AN110" i="30"/>
  <c r="AN116" i="30" s="1"/>
  <c r="AP109" i="30"/>
  <c r="AL107" i="30"/>
  <c r="AP106" i="30"/>
  <c r="AL105" i="30"/>
  <c r="AP105" i="30" s="1"/>
  <c r="AP104" i="30"/>
  <c r="AP103" i="30"/>
  <c r="AP101" i="30"/>
  <c r="AO101" i="30"/>
  <c r="AN101" i="30"/>
  <c r="AM101" i="30"/>
  <c r="AL101" i="30"/>
  <c r="AO98" i="30"/>
  <c r="AO97" i="30"/>
  <c r="AN97" i="30"/>
  <c r="AM97" i="30"/>
  <c r="AL97" i="30"/>
  <c r="AO96" i="30"/>
  <c r="AN96" i="30"/>
  <c r="AM96" i="30"/>
  <c r="AL96" i="30"/>
  <c r="AO95" i="30"/>
  <c r="AN95" i="30"/>
  <c r="AM95" i="30"/>
  <c r="AL95" i="30"/>
  <c r="AO94" i="30"/>
  <c r="AN94" i="30"/>
  <c r="AM94" i="30"/>
  <c r="AO93" i="30"/>
  <c r="AN93" i="30"/>
  <c r="AM93" i="30"/>
  <c r="AO92" i="30"/>
  <c r="AN92" i="30"/>
  <c r="AM92" i="30"/>
  <c r="AO91" i="30"/>
  <c r="AN91" i="30"/>
  <c r="AO90" i="30"/>
  <c r="AN89" i="30"/>
  <c r="AO88" i="30"/>
  <c r="AN88" i="30"/>
  <c r="AM88" i="30"/>
  <c r="AO87" i="30"/>
  <c r="AN87" i="30"/>
  <c r="AM87" i="30"/>
  <c r="AP84" i="30"/>
  <c r="AP97" i="30" s="1"/>
  <c r="AP83" i="30"/>
  <c r="AP96" i="30" s="1"/>
  <c r="AP82" i="30"/>
  <c r="AP95" i="30" s="1"/>
  <c r="AL81" i="30"/>
  <c r="AL94" i="30" s="1"/>
  <c r="AL80" i="30"/>
  <c r="AP80" i="30" s="1"/>
  <c r="AP93" i="30" s="1"/>
  <c r="AL79" i="30"/>
  <c r="AP79" i="30" s="1"/>
  <c r="AP92" i="30" s="1"/>
  <c r="AM78" i="30"/>
  <c r="AM91" i="30" s="1"/>
  <c r="AL78" i="30"/>
  <c r="AL91" i="30" s="1"/>
  <c r="AN77" i="30"/>
  <c r="AN90" i="30" s="1"/>
  <c r="AM77" i="30"/>
  <c r="AM90" i="30" s="1"/>
  <c r="AL77" i="30"/>
  <c r="AL90" i="30" s="1"/>
  <c r="AM76" i="30"/>
  <c r="AM89" i="30" s="1"/>
  <c r="AL76" i="30"/>
  <c r="AP73" i="30"/>
  <c r="AO73" i="30"/>
  <c r="AM73" i="30"/>
  <c r="AL73" i="30"/>
  <c r="AO62" i="30"/>
  <c r="AO65" i="30" s="1"/>
  <c r="AN62" i="30"/>
  <c r="AN65" i="30" s="1"/>
  <c r="AM62" i="30"/>
  <c r="AM65" i="30" s="1"/>
  <c r="AL62" i="30"/>
  <c r="AL65" i="30" s="1"/>
  <c r="AP61" i="30"/>
  <c r="AP60" i="30"/>
  <c r="AP59" i="30"/>
  <c r="AP58" i="30"/>
  <c r="AP57" i="30"/>
  <c r="AP56" i="30"/>
  <c r="AP55" i="30"/>
  <c r="AP54" i="30"/>
  <c r="AP53" i="30"/>
  <c r="AP52" i="30"/>
  <c r="AP51" i="30"/>
  <c r="AP50" i="30"/>
  <c r="AP49" i="30"/>
  <c r="AP48" i="30"/>
  <c r="AP47" i="30"/>
  <c r="AP46" i="30"/>
  <c r="AP45" i="30"/>
  <c r="AP44" i="30"/>
  <c r="AP43" i="30"/>
  <c r="AP42" i="30"/>
  <c r="AP41" i="30"/>
  <c r="AO41" i="30"/>
  <c r="AN41" i="30"/>
  <c r="AM41" i="30"/>
  <c r="AL41" i="30"/>
  <c r="AO39" i="30"/>
  <c r="AN39" i="30"/>
  <c r="AM39" i="30"/>
  <c r="AL39" i="30"/>
  <c r="AP38" i="30"/>
  <c r="AP37" i="30"/>
  <c r="AP36" i="30"/>
  <c r="AP35" i="30"/>
  <c r="AP34" i="30"/>
  <c r="AP33" i="30"/>
  <c r="AP32" i="30"/>
  <c r="AP31" i="30"/>
  <c r="AP30" i="30"/>
  <c r="AP29" i="30"/>
  <c r="AP27" i="30"/>
  <c r="AP26" i="30"/>
  <c r="AP25" i="30"/>
  <c r="AP24" i="30"/>
  <c r="AP23" i="30"/>
  <c r="AP22" i="30"/>
  <c r="AL19" i="30"/>
  <c r="AP18" i="30"/>
  <c r="H88" i="34" s="1"/>
  <c r="AP17" i="30"/>
  <c r="H87" i="34" s="1"/>
  <c r="AP16" i="30"/>
  <c r="H86" i="34" s="1"/>
  <c r="AP15" i="30"/>
  <c r="H85" i="34" s="1"/>
  <c r="AP14" i="30"/>
  <c r="H84" i="34" s="1"/>
  <c r="AP13" i="30"/>
  <c r="H83" i="34" s="1"/>
  <c r="AP12" i="30"/>
  <c r="H82" i="34" s="1"/>
  <c r="AP11" i="30"/>
  <c r="H81" i="34" s="1"/>
  <c r="AP10" i="30"/>
  <c r="H80" i="34" s="1"/>
  <c r="AP9" i="30"/>
  <c r="H79" i="34" s="1"/>
  <c r="AP8" i="30"/>
  <c r="H78" i="34" s="1"/>
  <c r="AP7" i="30"/>
  <c r="H77" i="34" s="1"/>
  <c r="AP6" i="30"/>
  <c r="H76" i="34" s="1"/>
  <c r="H89" i="34" s="1"/>
  <c r="AL5" i="30"/>
  <c r="AL74" i="30" s="1"/>
  <c r="AP3" i="30"/>
  <c r="AM124" i="33"/>
  <c r="AL111" i="33"/>
  <c r="AJ223" i="30"/>
  <c r="AI223" i="30"/>
  <c r="AH223" i="30"/>
  <c r="AG223" i="30"/>
  <c r="AF223" i="30"/>
  <c r="AJ218" i="30"/>
  <c r="AJ217" i="30"/>
  <c r="AJ216" i="30"/>
  <c r="AJ215" i="30"/>
  <c r="AJ214" i="30"/>
  <c r="AJ213" i="30"/>
  <c r="AJ212" i="30"/>
  <c r="AJ211" i="30"/>
  <c r="AJ210" i="30"/>
  <c r="AJ209" i="30"/>
  <c r="AI205" i="30"/>
  <c r="AH205" i="30"/>
  <c r="AG205" i="30"/>
  <c r="AJ204" i="30"/>
  <c r="AJ203" i="30"/>
  <c r="AJ202" i="30"/>
  <c r="AJ201" i="30"/>
  <c r="AJ200" i="30"/>
  <c r="AJ199" i="30"/>
  <c r="AJ198" i="30"/>
  <c r="AJ197" i="30"/>
  <c r="AJ196" i="30"/>
  <c r="AJ195" i="30"/>
  <c r="AF205" i="30"/>
  <c r="AH192" i="30"/>
  <c r="AG192" i="30"/>
  <c r="AF192" i="30"/>
  <c r="AJ191" i="30"/>
  <c r="AJ190" i="30"/>
  <c r="AJ189" i="30"/>
  <c r="AJ188" i="30"/>
  <c r="AJ187" i="30"/>
  <c r="AJ186" i="30"/>
  <c r="AJ185" i="30"/>
  <c r="AJ184" i="30"/>
  <c r="AJ182" i="30"/>
  <c r="AJ193" i="30" s="1"/>
  <c r="AI182" i="30"/>
  <c r="AI193" i="30" s="1"/>
  <c r="AH182" i="30"/>
  <c r="AH193" i="30" s="1"/>
  <c r="AG182" i="30"/>
  <c r="AG193" i="30" s="1"/>
  <c r="AF182" i="30"/>
  <c r="AF193" i="30" s="1"/>
  <c r="AI181" i="30"/>
  <c r="AH181" i="30"/>
  <c r="AG181" i="30"/>
  <c r="AJ180" i="30"/>
  <c r="AJ179" i="30"/>
  <c r="AJ178" i="30"/>
  <c r="AI176" i="30"/>
  <c r="AH176" i="30"/>
  <c r="AG176" i="30"/>
  <c r="AJ175" i="30"/>
  <c r="AJ174" i="30"/>
  <c r="AJ173" i="30"/>
  <c r="AJ172" i="30"/>
  <c r="AJ171" i="30"/>
  <c r="AF176" i="30"/>
  <c r="AJ169" i="30"/>
  <c r="AJ162" i="30"/>
  <c r="AJ160" i="30"/>
  <c r="AJ159" i="30"/>
  <c r="AJ156" i="30"/>
  <c r="AJ155" i="30"/>
  <c r="AJ153" i="30"/>
  <c r="AJ152" i="30"/>
  <c r="AJ168" i="30" s="1"/>
  <c r="AI152" i="30"/>
  <c r="AI168" i="30" s="1"/>
  <c r="AH152" i="30"/>
  <c r="AH168" i="30" s="1"/>
  <c r="AG152" i="30"/>
  <c r="AG168" i="30" s="1"/>
  <c r="AF152" i="30"/>
  <c r="AF168" i="30" s="1"/>
  <c r="AI151" i="30"/>
  <c r="AJ150" i="30"/>
  <c r="AH149" i="30"/>
  <c r="AH151" i="30" s="1"/>
  <c r="AG149" i="30"/>
  <c r="AF149" i="30"/>
  <c r="AG148" i="30"/>
  <c r="AG147" i="30"/>
  <c r="AG145" i="30"/>
  <c r="AJ144" i="30"/>
  <c r="AJ143" i="30"/>
  <c r="AJ142" i="30"/>
  <c r="AJ140" i="30"/>
  <c r="AI140" i="30"/>
  <c r="AH140" i="30"/>
  <c r="AG140" i="30"/>
  <c r="AF140" i="30"/>
  <c r="AF128" i="30"/>
  <c r="AJ127" i="30"/>
  <c r="AI126" i="30"/>
  <c r="AJ126" i="30" s="1"/>
  <c r="AJ125" i="30"/>
  <c r="AJ124" i="30"/>
  <c r="AJ123" i="30"/>
  <c r="AJ122" i="30"/>
  <c r="AJ121" i="30"/>
  <c r="AJ120" i="30"/>
  <c r="AH128" i="30"/>
  <c r="AJ118" i="30"/>
  <c r="AJ117" i="30"/>
  <c r="AI117" i="30"/>
  <c r="AH117" i="30"/>
  <c r="AG117" i="30"/>
  <c r="AF117" i="30"/>
  <c r="AJ115" i="30"/>
  <c r="AJ114" i="30"/>
  <c r="AJ112" i="30"/>
  <c r="AJ110" i="30"/>
  <c r="AJ109" i="30"/>
  <c r="AJ107" i="30"/>
  <c r="AJ106" i="30"/>
  <c r="AJ104" i="30"/>
  <c r="AJ103" i="30"/>
  <c r="AJ101" i="30"/>
  <c r="AI101" i="30"/>
  <c r="AH101" i="30"/>
  <c r="AG101" i="30"/>
  <c r="AF101" i="30"/>
  <c r="AI97" i="30"/>
  <c r="AH97" i="30"/>
  <c r="AG97" i="30"/>
  <c r="AF97" i="30"/>
  <c r="AI96" i="30"/>
  <c r="AH96" i="30"/>
  <c r="AG96" i="30"/>
  <c r="AF96" i="30"/>
  <c r="AI95" i="30"/>
  <c r="AH95" i="30"/>
  <c r="AG95" i="30"/>
  <c r="AI94" i="30"/>
  <c r="AH94" i="30"/>
  <c r="AI93" i="30"/>
  <c r="AH93" i="30"/>
  <c r="AI92" i="30"/>
  <c r="AH92" i="30"/>
  <c r="AI91" i="30"/>
  <c r="AI90" i="30"/>
  <c r="AH89" i="30"/>
  <c r="AI88" i="30"/>
  <c r="AH88" i="30"/>
  <c r="AG88" i="30"/>
  <c r="AI87" i="30"/>
  <c r="AH87" i="30"/>
  <c r="AG87" i="30"/>
  <c r="AJ84" i="30"/>
  <c r="AJ97" i="30" s="1"/>
  <c r="AJ83" i="30"/>
  <c r="AJ96" i="30" s="1"/>
  <c r="AJ82" i="30"/>
  <c r="AJ95" i="30" s="1"/>
  <c r="AG81" i="30"/>
  <c r="AG94" i="30" s="1"/>
  <c r="AF81" i="30"/>
  <c r="AF94" i="30" s="1"/>
  <c r="AG80" i="30"/>
  <c r="AG93" i="30" s="1"/>
  <c r="AF80" i="30"/>
  <c r="AF93" i="30" s="1"/>
  <c r="AG79" i="30"/>
  <c r="AG92" i="30" s="1"/>
  <c r="AF79" i="30"/>
  <c r="AF92" i="30" s="1"/>
  <c r="AH78" i="30"/>
  <c r="AH91" i="30" s="1"/>
  <c r="AG78" i="30"/>
  <c r="AG91" i="30" s="1"/>
  <c r="AF78" i="30"/>
  <c r="AF91" i="30" s="1"/>
  <c r="AH77" i="30"/>
  <c r="AH90" i="30" s="1"/>
  <c r="AG77" i="30"/>
  <c r="AG90" i="30" s="1"/>
  <c r="AF77" i="30"/>
  <c r="AF90" i="30" s="1"/>
  <c r="AG76" i="30"/>
  <c r="AF76" i="30"/>
  <c r="AF89" i="30" s="1"/>
  <c r="AJ73" i="30"/>
  <c r="AI73" i="30"/>
  <c r="AG73" i="30"/>
  <c r="AF73" i="30"/>
  <c r="AI62" i="30"/>
  <c r="AI65" i="30" s="1"/>
  <c r="AH62" i="30"/>
  <c r="AH65" i="30" s="1"/>
  <c r="AG62" i="30"/>
  <c r="AG65" i="30" s="1"/>
  <c r="AF62" i="30"/>
  <c r="AF65" i="30" s="1"/>
  <c r="AJ61" i="30"/>
  <c r="AJ60" i="30"/>
  <c r="AJ59" i="30"/>
  <c r="AJ58" i="30"/>
  <c r="AJ57" i="30"/>
  <c r="AJ56" i="30"/>
  <c r="AJ55" i="30"/>
  <c r="AJ54" i="30"/>
  <c r="AJ53" i="30"/>
  <c r="AJ52" i="30"/>
  <c r="AJ51" i="30"/>
  <c r="AJ50" i="30"/>
  <c r="AJ49" i="30"/>
  <c r="AJ48" i="30"/>
  <c r="AJ47" i="30"/>
  <c r="AJ46" i="30"/>
  <c r="AJ45" i="30"/>
  <c r="AJ44" i="30"/>
  <c r="AJ43" i="30"/>
  <c r="AJ42" i="30"/>
  <c r="AJ41" i="30"/>
  <c r="AI41" i="30"/>
  <c r="AH41" i="30"/>
  <c r="AG41" i="30"/>
  <c r="AF41" i="30"/>
  <c r="AI39" i="30"/>
  <c r="AH39" i="30"/>
  <c r="AG39" i="30"/>
  <c r="AF39" i="30"/>
  <c r="AJ38" i="30"/>
  <c r="AJ37" i="30"/>
  <c r="AJ36" i="30"/>
  <c r="AJ35" i="30"/>
  <c r="AJ34" i="30"/>
  <c r="AJ33" i="30"/>
  <c r="AJ32" i="30"/>
  <c r="AJ31" i="30"/>
  <c r="AJ30" i="30"/>
  <c r="AJ29" i="30"/>
  <c r="AK29" i="30" s="1"/>
  <c r="AJ27" i="30"/>
  <c r="AJ26" i="30"/>
  <c r="AJ25" i="30"/>
  <c r="AJ24" i="30"/>
  <c r="AJ23" i="30"/>
  <c r="AJ22" i="30"/>
  <c r="AJ18" i="30"/>
  <c r="G88" i="34" s="1"/>
  <c r="AJ17" i="30"/>
  <c r="G87" i="34" s="1"/>
  <c r="AJ16" i="30"/>
  <c r="G86" i="34" s="1"/>
  <c r="AJ15" i="30"/>
  <c r="G85" i="34" s="1"/>
  <c r="AJ14" i="30"/>
  <c r="G84" i="34" s="1"/>
  <c r="AJ13" i="30"/>
  <c r="G83" i="34" s="1"/>
  <c r="AJ12" i="30"/>
  <c r="G82" i="34" s="1"/>
  <c r="AJ11" i="30"/>
  <c r="G81" i="34" s="1"/>
  <c r="AJ10" i="30"/>
  <c r="G80" i="34" s="1"/>
  <c r="AJ9" i="30"/>
  <c r="G79" i="34" s="1"/>
  <c r="AJ8" i="30"/>
  <c r="G78" i="34" s="1"/>
  <c r="AJ7" i="30"/>
  <c r="G77" i="34" s="1"/>
  <c r="AF19" i="30"/>
  <c r="AJ3" i="30"/>
  <c r="AJ2" i="30"/>
  <c r="C63" i="31"/>
  <c r="A60" i="31" s="1"/>
  <c r="A62" i="31"/>
  <c r="K57" i="31"/>
  <c r="G57" i="31"/>
  <c r="F57" i="31"/>
  <c r="C57" i="31"/>
  <c r="H52" i="31"/>
  <c r="H51" i="31"/>
  <c r="H50" i="31"/>
  <c r="H49" i="31"/>
  <c r="H48" i="31"/>
  <c r="H47" i="31"/>
  <c r="H46" i="31"/>
  <c r="H45" i="31"/>
  <c r="H44" i="31"/>
  <c r="H43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H22" i="31"/>
  <c r="H21" i="31"/>
  <c r="H20" i="31"/>
  <c r="H19" i="31"/>
  <c r="AV218" i="30" l="1"/>
  <c r="B218" i="39" s="1"/>
  <c r="AX165" i="33"/>
  <c r="AS181" i="30"/>
  <c r="C167" i="51"/>
  <c r="AC207" i="33"/>
  <c r="AV83" i="30"/>
  <c r="B83" i="39" s="1"/>
  <c r="AU205" i="30"/>
  <c r="AU207" i="33"/>
  <c r="AM116" i="30"/>
  <c r="AM129" i="30" s="1"/>
  <c r="AM130" i="30" s="1"/>
  <c r="AY85" i="33"/>
  <c r="AD192" i="33"/>
  <c r="C183" i="51"/>
  <c r="C192" i="51" s="1"/>
  <c r="AF64" i="30"/>
  <c r="AF137" i="30"/>
  <c r="AF135" i="30"/>
  <c r="AF132" i="30"/>
  <c r="AL156" i="30"/>
  <c r="AL147" i="30"/>
  <c r="AL141" i="30"/>
  <c r="AN154" i="30"/>
  <c r="AL148" i="30"/>
  <c r="AP148" i="30" s="1"/>
  <c r="AL145" i="30"/>
  <c r="AO183" i="30"/>
  <c r="AL155" i="30"/>
  <c r="AR155" i="30" s="1"/>
  <c r="AV155" i="30" s="1"/>
  <c r="B155" i="39" s="1"/>
  <c r="AL146" i="30"/>
  <c r="AL134" i="30"/>
  <c r="AL161" i="30"/>
  <c r="AP161" i="30" s="1"/>
  <c r="AL157" i="30"/>
  <c r="AO137" i="30"/>
  <c r="AO135" i="30"/>
  <c r="AO132" i="30"/>
  <c r="B3" i="39"/>
  <c r="B3" i="53"/>
  <c r="B3" i="52"/>
  <c r="B3" i="51"/>
  <c r="B3" i="50"/>
  <c r="B3" i="49"/>
  <c r="B3" i="47"/>
  <c r="R89" i="33"/>
  <c r="C89" i="53" s="1"/>
  <c r="C76" i="53"/>
  <c r="K207" i="33"/>
  <c r="AV130" i="33"/>
  <c r="AV138" i="33" s="1"/>
  <c r="AV139" i="33" s="1"/>
  <c r="F192" i="33"/>
  <c r="C183" i="49"/>
  <c r="C192" i="49" s="1"/>
  <c r="AC86" i="33"/>
  <c r="X192" i="33"/>
  <c r="C183" i="52"/>
  <c r="C192" i="52" s="1"/>
  <c r="J19" i="50"/>
  <c r="J29" i="50" s="1"/>
  <c r="I27" i="48"/>
  <c r="BA85" i="33"/>
  <c r="BA86" i="33" s="1"/>
  <c r="E98" i="33"/>
  <c r="U29" i="48"/>
  <c r="I107" i="48" s="1"/>
  <c r="AO98" i="33"/>
  <c r="AO99" i="33" s="1"/>
  <c r="AO86" i="33"/>
  <c r="AO220" i="33" s="1"/>
  <c r="AO221" i="33" s="1"/>
  <c r="AI137" i="30"/>
  <c r="AI135" i="30"/>
  <c r="AI132" i="30"/>
  <c r="AX85" i="33"/>
  <c r="H57" i="31"/>
  <c r="AG64" i="30"/>
  <c r="AG135" i="30"/>
  <c r="AG132" i="30"/>
  <c r="AL135" i="30"/>
  <c r="AL132" i="30"/>
  <c r="AL137" i="30"/>
  <c r="AP137" i="30" s="1"/>
  <c r="Q86" i="33"/>
  <c r="F165" i="33"/>
  <c r="C165" i="49" s="1"/>
  <c r="AC99" i="33"/>
  <c r="AX164" i="33"/>
  <c r="U22" i="48"/>
  <c r="BA89" i="33"/>
  <c r="BB89" i="33" s="1"/>
  <c r="C89" i="39" s="1"/>
  <c r="U27" i="48"/>
  <c r="I67" i="48" s="1"/>
  <c r="AN132" i="30"/>
  <c r="AN135" i="30"/>
  <c r="AN137" i="30"/>
  <c r="C167" i="53"/>
  <c r="U28" i="48"/>
  <c r="I87" i="48" s="1"/>
  <c r="AH64" i="30"/>
  <c r="AH66" i="30" s="1"/>
  <c r="AH132" i="30"/>
  <c r="AH137" i="30"/>
  <c r="AH135" i="30"/>
  <c r="AM64" i="30"/>
  <c r="AM135" i="30"/>
  <c r="AM132" i="30"/>
  <c r="AN129" i="30"/>
  <c r="AN130" i="30" s="1"/>
  <c r="R192" i="33"/>
  <c r="C183" i="53"/>
  <c r="Q99" i="33"/>
  <c r="B167" i="33"/>
  <c r="F89" i="33"/>
  <c r="C89" i="49" s="1"/>
  <c r="C76" i="49"/>
  <c r="AX163" i="33"/>
  <c r="J19" i="49"/>
  <c r="J29" i="49" s="1"/>
  <c r="C167" i="49"/>
  <c r="U26" i="48"/>
  <c r="AU98" i="33"/>
  <c r="AU99" i="33" s="1"/>
  <c r="AU86" i="33"/>
  <c r="BA130" i="33"/>
  <c r="C107" i="42"/>
  <c r="AY107" i="42" s="1"/>
  <c r="AY107" i="38"/>
  <c r="AX104" i="38"/>
  <c r="BB104" i="38" s="1"/>
  <c r="F104" i="39" s="1"/>
  <c r="D103" i="39"/>
  <c r="AX103" i="38"/>
  <c r="BB103" i="37"/>
  <c r="AT207" i="33"/>
  <c r="AN207" i="33"/>
  <c r="AR207" i="33"/>
  <c r="AR220" i="33" s="1"/>
  <c r="AR221" i="33" s="1"/>
  <c r="AV57" i="30"/>
  <c r="B57" i="39" s="1"/>
  <c r="AV44" i="30"/>
  <c r="B44" i="39" s="1"/>
  <c r="AV50" i="30"/>
  <c r="B50" i="39" s="1"/>
  <c r="AC220" i="33"/>
  <c r="AC221" i="33" s="1"/>
  <c r="AV26" i="30"/>
  <c r="B26" i="39" s="1"/>
  <c r="AV58" i="30"/>
  <c r="B58" i="39" s="1"/>
  <c r="AV55" i="30"/>
  <c r="B55" i="39" s="1"/>
  <c r="AV52" i="30"/>
  <c r="B52" i="39" s="1"/>
  <c r="C17" i="44" s="1"/>
  <c r="AV46" i="30"/>
  <c r="B46" i="39" s="1"/>
  <c r="C71" i="45" s="1"/>
  <c r="AU62" i="30"/>
  <c r="AU65" i="30" s="1"/>
  <c r="AV127" i="30"/>
  <c r="B127" i="39" s="1"/>
  <c r="AV159" i="30"/>
  <c r="B159" i="39" s="1"/>
  <c r="AV190" i="30"/>
  <c r="B190" i="39" s="1"/>
  <c r="AV185" i="30"/>
  <c r="B185" i="39" s="1"/>
  <c r="AV217" i="30"/>
  <c r="B217" i="39" s="1"/>
  <c r="B234" i="39" s="1"/>
  <c r="AV214" i="30"/>
  <c r="B214" i="39" s="1"/>
  <c r="AP62" i="30"/>
  <c r="AP65" i="30" s="1"/>
  <c r="AS62" i="30"/>
  <c r="AS65" i="30" s="1"/>
  <c r="AV60" i="30"/>
  <c r="B60" i="39" s="1"/>
  <c r="AV54" i="30"/>
  <c r="B54" i="39" s="1"/>
  <c r="AV49" i="30"/>
  <c r="B49" i="39" s="1"/>
  <c r="AV47" i="30"/>
  <c r="B47" i="39" s="1"/>
  <c r="C122" i="45" s="1"/>
  <c r="AU176" i="30"/>
  <c r="AV210" i="30"/>
  <c r="B210" i="39" s="1"/>
  <c r="B231" i="39" s="1"/>
  <c r="AJ111" i="30"/>
  <c r="AO129" i="30"/>
  <c r="AO130" i="30" s="1"/>
  <c r="F103" i="42"/>
  <c r="G103" i="49" s="1"/>
  <c r="T104" i="42"/>
  <c r="X104" i="42" s="1"/>
  <c r="G104" i="52" s="1"/>
  <c r="X104" i="38"/>
  <c r="F104" i="52" s="1"/>
  <c r="J30" i="43"/>
  <c r="C116" i="38"/>
  <c r="F107" i="38"/>
  <c r="F107" i="49" s="1"/>
  <c r="D75" i="45"/>
  <c r="D85" i="45" s="1"/>
  <c r="D129" i="45" s="1"/>
  <c r="D137" i="45" s="1"/>
  <c r="D138" i="45" s="1"/>
  <c r="F104" i="42"/>
  <c r="G104" i="49" s="1"/>
  <c r="Z104" i="42"/>
  <c r="AD104" i="38"/>
  <c r="F104" i="51" s="1"/>
  <c r="D22" i="44"/>
  <c r="Z103" i="42"/>
  <c r="AD103" i="38"/>
  <c r="F103" i="51" s="1"/>
  <c r="J74" i="43"/>
  <c r="N104" i="42"/>
  <c r="R104" i="42" s="1"/>
  <c r="G104" i="53" s="1"/>
  <c r="R104" i="38"/>
  <c r="F104" i="53" s="1"/>
  <c r="C13" i="44"/>
  <c r="AF95" i="30"/>
  <c r="AP128" i="30"/>
  <c r="AJ105" i="30"/>
  <c r="AL105" i="33"/>
  <c r="AX105" i="33" s="1"/>
  <c r="AL111" i="36"/>
  <c r="AP111" i="33"/>
  <c r="AM124" i="36"/>
  <c r="AP124" i="33"/>
  <c r="AP128" i="33" s="1"/>
  <c r="AM128" i="33"/>
  <c r="AM129" i="33" s="1"/>
  <c r="AM131" i="33" s="1"/>
  <c r="AM151" i="30"/>
  <c r="AL176" i="30"/>
  <c r="AP181" i="30"/>
  <c r="AL192" i="30"/>
  <c r="AP186" i="30"/>
  <c r="AP205" i="30"/>
  <c r="AV125" i="30"/>
  <c r="B125" i="39" s="1"/>
  <c r="AV153" i="30"/>
  <c r="B153" i="39" s="1"/>
  <c r="AV186" i="30"/>
  <c r="B186" i="39" s="1"/>
  <c r="AV24" i="30"/>
  <c r="AV38" i="30"/>
  <c r="B38" i="39" s="1"/>
  <c r="AV37" i="30"/>
  <c r="B37" i="39" s="1"/>
  <c r="AV36" i="30"/>
  <c r="B36" i="39" s="1"/>
  <c r="AV34" i="30"/>
  <c r="B34" i="39" s="1"/>
  <c r="AV32" i="30"/>
  <c r="B32" i="39" s="1"/>
  <c r="AV30" i="30"/>
  <c r="B30" i="39" s="1"/>
  <c r="C11" i="44" s="1"/>
  <c r="AT62" i="30"/>
  <c r="AT65" i="30" s="1"/>
  <c r="AV59" i="30"/>
  <c r="B59" i="39" s="1"/>
  <c r="AV109" i="30"/>
  <c r="B109" i="39" s="1"/>
  <c r="AV118" i="30"/>
  <c r="B118" i="39" s="1"/>
  <c r="AV160" i="30"/>
  <c r="B160" i="39" s="1"/>
  <c r="AT205" i="30"/>
  <c r="AV209" i="30"/>
  <c r="B209" i="39" s="1"/>
  <c r="AV216" i="30"/>
  <c r="B216" i="39" s="1"/>
  <c r="B233" i="39" s="1"/>
  <c r="AR39" i="30"/>
  <c r="AV23" i="30"/>
  <c r="B23" i="39" s="1"/>
  <c r="C108" i="39"/>
  <c r="A61" i="31"/>
  <c r="AJ79" i="30"/>
  <c r="AJ92" i="30" s="1"/>
  <c r="AP5" i="30"/>
  <c r="AP88" i="30" s="1"/>
  <c r="AM66" i="30"/>
  <c r="AN64" i="30"/>
  <c r="AN66" i="30" s="1"/>
  <c r="AV150" i="30"/>
  <c r="B150" i="39" s="1"/>
  <c r="AR144" i="30"/>
  <c r="AV144" i="30" s="1"/>
  <c r="B144" i="39" s="1"/>
  <c r="AV143" i="30"/>
  <c r="B143" i="39" s="1"/>
  <c r="AV172" i="30"/>
  <c r="B172" i="39" s="1"/>
  <c r="AP39" i="30"/>
  <c r="AP64" i="30" s="1"/>
  <c r="AO64" i="30"/>
  <c r="AO66" i="30" s="1"/>
  <c r="AP78" i="30"/>
  <c r="AP91" i="30" s="1"/>
  <c r="AL93" i="30"/>
  <c r="AP110" i="30"/>
  <c r="AV61" i="30"/>
  <c r="B61" i="39" s="1"/>
  <c r="C120" i="45" s="1"/>
  <c r="AV56" i="30"/>
  <c r="B56" i="39" s="1"/>
  <c r="AV53" i="30"/>
  <c r="B53" i="39" s="1"/>
  <c r="C18" i="44" s="1"/>
  <c r="AV48" i="30"/>
  <c r="B48" i="39" s="1"/>
  <c r="AV45" i="30"/>
  <c r="B45" i="39" s="1"/>
  <c r="AV43" i="30"/>
  <c r="B43" i="39" s="1"/>
  <c r="AU113" i="30"/>
  <c r="AU151" i="30"/>
  <c r="AV162" i="30"/>
  <c r="B162" i="39" s="1"/>
  <c r="AV171" i="30"/>
  <c r="B171" i="39" s="1"/>
  <c r="AU181" i="30"/>
  <c r="AV187" i="30"/>
  <c r="B187" i="39" s="1"/>
  <c r="AT192" i="30"/>
  <c r="AP154" i="30"/>
  <c r="AN220" i="33"/>
  <c r="AN221" i="33" s="1"/>
  <c r="AO76" i="30"/>
  <c r="AO89" i="30" s="1"/>
  <c r="AO99" i="30" s="1"/>
  <c r="AP77" i="30"/>
  <c r="AP90" i="30" s="1"/>
  <c r="AV18" i="30"/>
  <c r="B18" i="39" s="1"/>
  <c r="C50" i="43" s="1"/>
  <c r="C29" i="43" s="1"/>
  <c r="AV17" i="30"/>
  <c r="B17" i="39" s="1"/>
  <c r="C49" i="43" s="1"/>
  <c r="C28" i="43" s="1"/>
  <c r="AV16" i="30"/>
  <c r="B16" i="39" s="1"/>
  <c r="C48" i="43" s="1"/>
  <c r="C27" i="43" s="1"/>
  <c r="AT176" i="30"/>
  <c r="AT181" i="30"/>
  <c r="AV191" i="30"/>
  <c r="B191" i="39" s="1"/>
  <c r="AV188" i="30"/>
  <c r="B188" i="39" s="1"/>
  <c r="AV184" i="30"/>
  <c r="B184" i="39" s="1"/>
  <c r="AV203" i="30"/>
  <c r="B203" i="39" s="1"/>
  <c r="AJ77" i="30"/>
  <c r="AJ90" i="30" s="1"/>
  <c r="AG151" i="30"/>
  <c r="AL88" i="30"/>
  <c r="AL89" i="30"/>
  <c r="AV35" i="30"/>
  <c r="B35" i="39" s="1"/>
  <c r="AV33" i="30"/>
  <c r="B33" i="39" s="1"/>
  <c r="AV136" i="30"/>
  <c r="B136" i="39" s="1"/>
  <c r="AV173" i="30"/>
  <c r="B173" i="39" s="1"/>
  <c r="AV189" i="30"/>
  <c r="B189" i="39" s="1"/>
  <c r="AV215" i="30"/>
  <c r="B215" i="39" s="1"/>
  <c r="AV213" i="30"/>
  <c r="B213" i="39" s="1"/>
  <c r="B230" i="39" s="1"/>
  <c r="AV212" i="30"/>
  <c r="B212" i="39" s="1"/>
  <c r="AV211" i="30"/>
  <c r="B211" i="39" s="1"/>
  <c r="B232" i="39" s="1"/>
  <c r="Q138" i="33"/>
  <c r="Q139" i="33" s="1"/>
  <c r="Q207" i="33" s="1"/>
  <c r="Q220" i="33" s="1"/>
  <c r="Q221" i="33" s="1"/>
  <c r="K220" i="33"/>
  <c r="K221" i="33" s="1"/>
  <c r="AZ167" i="33"/>
  <c r="BB76" i="33"/>
  <c r="C76" i="39" s="1"/>
  <c r="BB183" i="33"/>
  <c r="BB165" i="33"/>
  <c r="C165" i="39" s="1"/>
  <c r="BB163" i="33"/>
  <c r="C163" i="39" s="1"/>
  <c r="AD167" i="33"/>
  <c r="F167" i="33"/>
  <c r="AX151" i="33"/>
  <c r="AS98" i="33"/>
  <c r="AS99" i="33" s="1"/>
  <c r="AS86" i="33"/>
  <c r="AS207" i="33"/>
  <c r="AT98" i="33"/>
  <c r="AT86" i="33"/>
  <c r="AV207" i="33"/>
  <c r="AV68" i="33" s="1"/>
  <c r="AV85" i="33"/>
  <c r="BB132" i="33"/>
  <c r="BB158" i="33"/>
  <c r="C158" i="39" s="1"/>
  <c r="U98" i="33"/>
  <c r="D98" i="33"/>
  <c r="E138" i="33"/>
  <c r="E139" i="33" s="1"/>
  <c r="E207" i="33" s="1"/>
  <c r="E220" i="33" s="1"/>
  <c r="E221" i="33" s="1"/>
  <c r="B98" i="33"/>
  <c r="F85" i="33"/>
  <c r="C85" i="49" s="1"/>
  <c r="B86" i="33"/>
  <c r="Z98" i="33"/>
  <c r="Z99" i="33" s="1"/>
  <c r="AD85" i="33"/>
  <c r="T98" i="33"/>
  <c r="T99" i="33" s="1"/>
  <c r="X85" i="33"/>
  <c r="BB164" i="33"/>
  <c r="C164" i="39" s="1"/>
  <c r="N98" i="33"/>
  <c r="N99" i="33" s="1"/>
  <c r="R85" i="33"/>
  <c r="N86" i="33"/>
  <c r="AA98" i="33"/>
  <c r="X163" i="33"/>
  <c r="T167" i="33"/>
  <c r="Z167" i="33"/>
  <c r="C98" i="33"/>
  <c r="R167" i="33"/>
  <c r="W138" i="33"/>
  <c r="W139" i="33" s="1"/>
  <c r="W207" i="33" s="1"/>
  <c r="W220" i="33" s="1"/>
  <c r="W221" i="33" s="1"/>
  <c r="AL98" i="33"/>
  <c r="AL99" i="33" s="1"/>
  <c r="AP85" i="33"/>
  <c r="AL86" i="33"/>
  <c r="I98" i="33"/>
  <c r="H98" i="33"/>
  <c r="L85" i="33"/>
  <c r="O98" i="33"/>
  <c r="L163" i="33"/>
  <c r="H167" i="33"/>
  <c r="Z86" i="33"/>
  <c r="AR62" i="30"/>
  <c r="AR65" i="30" s="1"/>
  <c r="AT39" i="30"/>
  <c r="AT64" i="30" s="1"/>
  <c r="AS205" i="30"/>
  <c r="AS192" i="30"/>
  <c r="AS176" i="30"/>
  <c r="AR128" i="30"/>
  <c r="AV84" i="30"/>
  <c r="B84" i="39" s="1"/>
  <c r="AV51" i="30"/>
  <c r="B51" i="39" s="1"/>
  <c r="AV42" i="30"/>
  <c r="B42" i="39" s="1"/>
  <c r="AV31" i="30"/>
  <c r="B31" i="39" s="1"/>
  <c r="AS39" i="30"/>
  <c r="AS64" i="30" s="1"/>
  <c r="AS66" i="30" s="1"/>
  <c r="AU39" i="30"/>
  <c r="AU64" i="30" s="1"/>
  <c r="AU66" i="30" s="1"/>
  <c r="AV29" i="30"/>
  <c r="AV22" i="30"/>
  <c r="B22" i="39" s="1"/>
  <c r="AR64" i="30"/>
  <c r="AP176" i="30"/>
  <c r="AO86" i="30"/>
  <c r="AL64" i="30"/>
  <c r="AL66" i="30" s="1"/>
  <c r="AP113" i="30"/>
  <c r="AP146" i="30"/>
  <c r="AL75" i="30"/>
  <c r="AP75" i="30" s="1"/>
  <c r="AL92" i="30"/>
  <c r="AP147" i="30"/>
  <c r="AP81" i="30"/>
  <c r="AP94" i="30" s="1"/>
  <c r="AP107" i="30"/>
  <c r="AP149" i="30"/>
  <c r="AP19" i="30"/>
  <c r="S11" i="48" s="1"/>
  <c r="AP108" i="30"/>
  <c r="AP145" i="30"/>
  <c r="AP157" i="30"/>
  <c r="AJ181" i="30"/>
  <c r="AJ113" i="30"/>
  <c r="AF66" i="30"/>
  <c r="AJ62" i="30"/>
  <c r="AJ65" i="30" s="1"/>
  <c r="AI64" i="30"/>
  <c r="AI66" i="30" s="1"/>
  <c r="AH116" i="30"/>
  <c r="AH129" i="30" s="1"/>
  <c r="AJ39" i="30"/>
  <c r="AJ64" i="30" s="1"/>
  <c r="AG116" i="30"/>
  <c r="AJ19" i="30"/>
  <c r="AF157" i="30"/>
  <c r="AI192" i="30"/>
  <c r="AH154" i="30"/>
  <c r="AF146" i="30"/>
  <c r="AJ146" i="30" s="1"/>
  <c r="AF141" i="30"/>
  <c r="AK30" i="30"/>
  <c r="AF161" i="30"/>
  <c r="AJ161" i="30" s="1"/>
  <c r="AF148" i="30"/>
  <c r="AJ148" i="30" s="1"/>
  <c r="AJ145" i="30"/>
  <c r="AI76" i="30"/>
  <c r="AJ76" i="30" s="1"/>
  <c r="AJ89" i="30" s="1"/>
  <c r="AF147" i="30"/>
  <c r="AJ147" i="30" s="1"/>
  <c r="AG66" i="30"/>
  <c r="AG133" i="30" s="1"/>
  <c r="AJ80" i="30"/>
  <c r="AJ93" i="30" s="1"/>
  <c r="AJ119" i="30"/>
  <c r="AJ128" i="30" s="1"/>
  <c r="AG128" i="30"/>
  <c r="AJ149" i="30"/>
  <c r="AJ170" i="30"/>
  <c r="AJ176" i="30" s="1"/>
  <c r="AF5" i="30"/>
  <c r="AJ78" i="30"/>
  <c r="AJ91" i="30" s="1"/>
  <c r="AI116" i="30"/>
  <c r="AI128" i="30"/>
  <c r="AF181" i="30"/>
  <c r="AJ194" i="30"/>
  <c r="AJ205" i="30" s="1"/>
  <c r="AJ81" i="30"/>
  <c r="AJ94" i="30" s="1"/>
  <c r="AG89" i="30"/>
  <c r="AJ6" i="30"/>
  <c r="G76" i="34" s="1"/>
  <c r="G89" i="34" s="1"/>
  <c r="AP66" i="30" l="1"/>
  <c r="C98" i="45"/>
  <c r="AU220" i="33"/>
  <c r="AU221" i="33" s="1"/>
  <c r="C101" i="45"/>
  <c r="U31" i="48"/>
  <c r="I80" i="48"/>
  <c r="I79" i="48"/>
  <c r="I68" i="48"/>
  <c r="I78" i="48"/>
  <c r="I81" i="48"/>
  <c r="I82" i="48"/>
  <c r="O82" i="48" s="1"/>
  <c r="I120" i="48"/>
  <c r="I118" i="48"/>
  <c r="I122" i="48"/>
  <c r="O122" i="48" s="1"/>
  <c r="I108" i="48"/>
  <c r="I119" i="48"/>
  <c r="I121" i="48"/>
  <c r="AD98" i="33"/>
  <c r="C98" i="51" s="1"/>
  <c r="C85" i="51"/>
  <c r="AN158" i="30"/>
  <c r="AN133" i="30"/>
  <c r="AN131" i="30"/>
  <c r="AN138" i="30" s="1"/>
  <c r="AN139" i="30" s="1"/>
  <c r="AM158" i="30"/>
  <c r="AM133" i="30"/>
  <c r="AM131" i="30"/>
  <c r="C77" i="45"/>
  <c r="I47" i="48"/>
  <c r="AP132" i="30"/>
  <c r="I102" i="48"/>
  <c r="O102" i="48" s="1"/>
  <c r="I99" i="48"/>
  <c r="I100" i="48"/>
  <c r="I98" i="48"/>
  <c r="I88" i="48"/>
  <c r="I101" i="48"/>
  <c r="AH131" i="30"/>
  <c r="AH130" i="30"/>
  <c r="AF158" i="30"/>
  <c r="AF133" i="30"/>
  <c r="L98" i="33"/>
  <c r="C98" i="50" s="1"/>
  <c r="C85" i="50"/>
  <c r="AI158" i="30"/>
  <c r="AI133" i="30"/>
  <c r="AI134" i="30"/>
  <c r="AL133" i="30"/>
  <c r="AL158" i="30"/>
  <c r="X98" i="33"/>
  <c r="C98" i="52" s="1"/>
  <c r="C85" i="52"/>
  <c r="AZ98" i="33"/>
  <c r="AO131" i="30"/>
  <c r="AO134" i="30"/>
  <c r="AO133" i="30"/>
  <c r="C119" i="45"/>
  <c r="B24" i="39"/>
  <c r="C92" i="45"/>
  <c r="AP135" i="30"/>
  <c r="I40" i="48"/>
  <c r="I39" i="48"/>
  <c r="I38" i="48"/>
  <c r="I41" i="48"/>
  <c r="I28" i="48"/>
  <c r="I42" i="48"/>
  <c r="O42" i="48" s="1"/>
  <c r="X167" i="33"/>
  <c r="C163" i="52"/>
  <c r="C167" i="52" s="1"/>
  <c r="AX98" i="33"/>
  <c r="C192" i="53"/>
  <c r="AJ137" i="30"/>
  <c r="AH133" i="30"/>
  <c r="AH134" i="30"/>
  <c r="L167" i="33"/>
  <c r="C163" i="50"/>
  <c r="C167" i="50" s="1"/>
  <c r="R98" i="33"/>
  <c r="C98" i="53" s="1"/>
  <c r="C85" i="53"/>
  <c r="AY98" i="33"/>
  <c r="BA98" i="33"/>
  <c r="BA99" i="33" s="1"/>
  <c r="E99" i="33"/>
  <c r="AP134" i="30"/>
  <c r="AR134" i="30"/>
  <c r="AJ135" i="30"/>
  <c r="AT220" i="33"/>
  <c r="AT221" i="33" s="1"/>
  <c r="BB103" i="38"/>
  <c r="AD103" i="42"/>
  <c r="G103" i="51" s="1"/>
  <c r="AX103" i="42"/>
  <c r="AD104" i="42"/>
  <c r="G104" i="51" s="1"/>
  <c r="AX104" i="42"/>
  <c r="BB104" i="42" s="1"/>
  <c r="G104" i="39" s="1"/>
  <c r="E103" i="39"/>
  <c r="C132" i="39"/>
  <c r="B235" i="39"/>
  <c r="C82" i="45"/>
  <c r="C124" i="45"/>
  <c r="AT66" i="30"/>
  <c r="C80" i="45"/>
  <c r="C15" i="44"/>
  <c r="C113" i="45"/>
  <c r="C73" i="45"/>
  <c r="C8" i="44"/>
  <c r="C103" i="45"/>
  <c r="C105" i="45"/>
  <c r="C12" i="44"/>
  <c r="BB192" i="33"/>
  <c r="C183" i="39"/>
  <c r="C192" i="39" s="1"/>
  <c r="C116" i="42"/>
  <c r="F107" i="42"/>
  <c r="G107" i="49" s="1"/>
  <c r="B99" i="33"/>
  <c r="AO158" i="30"/>
  <c r="AO167" i="30" s="1"/>
  <c r="C7" i="44"/>
  <c r="C90" i="45"/>
  <c r="C111" i="45"/>
  <c r="C69" i="45"/>
  <c r="C4" i="44"/>
  <c r="C88" i="45"/>
  <c r="C109" i="45"/>
  <c r="C67" i="45"/>
  <c r="B62" i="39"/>
  <c r="B65" i="39" s="1"/>
  <c r="C72" i="43"/>
  <c r="C14" i="44"/>
  <c r="C123" i="45"/>
  <c r="C102" i="45"/>
  <c r="C81" i="45"/>
  <c r="AM130" i="33"/>
  <c r="C99" i="45"/>
  <c r="C84" i="45"/>
  <c r="C115" i="45"/>
  <c r="C71" i="43"/>
  <c r="C6" i="44"/>
  <c r="C16" i="44"/>
  <c r="C104" i="45"/>
  <c r="C83" i="45"/>
  <c r="C125" i="45"/>
  <c r="C73" i="43"/>
  <c r="AL111" i="37"/>
  <c r="AP111" i="36"/>
  <c r="C78" i="45"/>
  <c r="C126" i="45"/>
  <c r="C94" i="45"/>
  <c r="AP116" i="30"/>
  <c r="AP129" i="30" s="1"/>
  <c r="C5" i="44"/>
  <c r="C89" i="45"/>
  <c r="C68" i="45"/>
  <c r="C110" i="45"/>
  <c r="C100" i="45"/>
  <c r="C121" i="45"/>
  <c r="C79" i="45"/>
  <c r="AM124" i="37"/>
  <c r="AP124" i="36"/>
  <c r="AP128" i="36" s="1"/>
  <c r="AM128" i="36"/>
  <c r="AM129" i="36" s="1"/>
  <c r="AL105" i="36"/>
  <c r="AL116" i="33"/>
  <c r="AL129" i="33" s="1"/>
  <c r="AL131" i="33" s="1"/>
  <c r="AP105" i="33"/>
  <c r="AP116" i="33" s="1"/>
  <c r="AP129" i="33" s="1"/>
  <c r="AP69" i="33" s="1"/>
  <c r="C97" i="45"/>
  <c r="C118" i="45"/>
  <c r="C76" i="45"/>
  <c r="C10" i="44"/>
  <c r="AV39" i="30"/>
  <c r="AV64" i="30" s="1"/>
  <c r="B29" i="39"/>
  <c r="C167" i="39"/>
  <c r="F192" i="39"/>
  <c r="AR66" i="30"/>
  <c r="AP76" i="30"/>
  <c r="AP89" i="30" s="1"/>
  <c r="AP156" i="30"/>
  <c r="H82" i="30" s="1"/>
  <c r="H142" i="30" s="1"/>
  <c r="AR156" i="30"/>
  <c r="AV156" i="30" s="1"/>
  <c r="B156" i="39" s="1"/>
  <c r="AL116" i="30"/>
  <c r="AL129" i="30" s="1"/>
  <c r="AL130" i="30" s="1"/>
  <c r="AP130" i="30" s="1"/>
  <c r="BB167" i="33"/>
  <c r="AS220" i="33"/>
  <c r="AS221" i="33" s="1"/>
  <c r="AV98" i="33"/>
  <c r="AV99" i="33" s="1"/>
  <c r="AV86" i="33"/>
  <c r="AX167" i="33"/>
  <c r="BA138" i="33"/>
  <c r="BA139" i="33" s="1"/>
  <c r="BA207" i="33" s="1"/>
  <c r="BA220" i="33" s="1"/>
  <c r="BA221" i="33" s="1"/>
  <c r="AP98" i="33"/>
  <c r="AP99" i="33" s="1"/>
  <c r="AP86" i="33"/>
  <c r="BB85" i="33"/>
  <c r="C85" i="39" s="1"/>
  <c r="F98" i="33"/>
  <c r="C98" i="49" s="1"/>
  <c r="AV62" i="30"/>
  <c r="AV65" i="30" s="1"/>
  <c r="AL151" i="30"/>
  <c r="AP141" i="30"/>
  <c r="AP151" i="30" s="1"/>
  <c r="AM167" i="30"/>
  <c r="AM85" i="30"/>
  <c r="AP69" i="30"/>
  <c r="AP70" i="30"/>
  <c r="AM138" i="30"/>
  <c r="AM139" i="30" s="1"/>
  <c r="AO138" i="30"/>
  <c r="AO139" i="30" s="1"/>
  <c r="AN167" i="30"/>
  <c r="AN85" i="30"/>
  <c r="AP183" i="30"/>
  <c r="AP192" i="30" s="1"/>
  <c r="AO192" i="30"/>
  <c r="AP155" i="30"/>
  <c r="AG129" i="30"/>
  <c r="AJ66" i="30"/>
  <c r="AH158" i="30"/>
  <c r="AH85" i="30" s="1"/>
  <c r="AH138" i="30"/>
  <c r="AH139" i="30" s="1"/>
  <c r="AJ108" i="30"/>
  <c r="AJ116" i="30" s="1"/>
  <c r="AJ129" i="30" s="1"/>
  <c r="AJ69" i="30" s="1"/>
  <c r="AF88" i="30"/>
  <c r="AJ5" i="30"/>
  <c r="AF75" i="30"/>
  <c r="AJ75" i="30" s="1"/>
  <c r="AF87" i="30"/>
  <c r="AF74" i="30"/>
  <c r="AJ157" i="30"/>
  <c r="AF116" i="30"/>
  <c r="AF129" i="30" s="1"/>
  <c r="AG158" i="30"/>
  <c r="AJ154" i="30"/>
  <c r="AF85" i="30"/>
  <c r="AI89" i="30"/>
  <c r="AI129" i="30"/>
  <c r="AJ183" i="30"/>
  <c r="AJ192" i="30" s="1"/>
  <c r="AJ141" i="30"/>
  <c r="AJ151" i="30" s="1"/>
  <c r="AF151" i="30"/>
  <c r="F2" i="31"/>
  <c r="D3" i="31" s="1"/>
  <c r="AR15" i="30"/>
  <c r="AV15" i="30" s="1"/>
  <c r="B15" i="39" s="1"/>
  <c r="C47" i="43" s="1"/>
  <c r="C26" i="43" s="1"/>
  <c r="E3" i="31" l="1"/>
  <c r="E6" i="31" s="1"/>
  <c r="D7" i="31"/>
  <c r="D9" i="31"/>
  <c r="AJ134" i="30"/>
  <c r="AT134" i="30"/>
  <c r="C3" i="31"/>
  <c r="AI131" i="30"/>
  <c r="AI130" i="30"/>
  <c r="AU134" i="30"/>
  <c r="E7" i="31"/>
  <c r="E9" i="31"/>
  <c r="AF131" i="30"/>
  <c r="AF130" i="30"/>
  <c r="E5" i="31"/>
  <c r="AP133" i="30"/>
  <c r="AG131" i="30"/>
  <c r="AG138" i="30" s="1"/>
  <c r="AG139" i="30" s="1"/>
  <c r="AG130" i="30"/>
  <c r="AJ133" i="30"/>
  <c r="I58" i="48"/>
  <c r="I60" i="48"/>
  <c r="I59" i="48"/>
  <c r="I61" i="48"/>
  <c r="I62" i="48"/>
  <c r="O62" i="48" s="1"/>
  <c r="Q22" i="48" s="1"/>
  <c r="AL131" i="30"/>
  <c r="AP131" i="30" s="1"/>
  <c r="AP138" i="30" s="1"/>
  <c r="AP139" i="30" s="1"/>
  <c r="AI167" i="30"/>
  <c r="AI85" i="30"/>
  <c r="AM131" i="36"/>
  <c r="AM130" i="36"/>
  <c r="BB103" i="42"/>
  <c r="F103" i="39"/>
  <c r="C138" i="47"/>
  <c r="C139" i="47" s="1"/>
  <c r="AM207" i="30"/>
  <c r="AM138" i="33"/>
  <c r="AM139" i="33" s="1"/>
  <c r="AM207" i="33" s="1"/>
  <c r="AM220" i="33" s="1"/>
  <c r="AM221" i="33" s="1"/>
  <c r="BB98" i="33"/>
  <c r="C98" i="39" s="1"/>
  <c r="C70" i="43"/>
  <c r="AL105" i="37"/>
  <c r="AL116" i="36"/>
  <c r="AL129" i="36" s="1"/>
  <c r="AP105" i="36"/>
  <c r="AP116" i="36" s="1"/>
  <c r="AP129" i="36" s="1"/>
  <c r="AP69" i="36" s="1"/>
  <c r="AP70" i="36"/>
  <c r="AP70" i="33"/>
  <c r="AP131" i="33"/>
  <c r="AL130" i="33"/>
  <c r="AM124" i="38"/>
  <c r="AP124" i="37"/>
  <c r="AP128" i="37" s="1"/>
  <c r="AM128" i="37"/>
  <c r="AM129" i="37" s="1"/>
  <c r="AV66" i="30"/>
  <c r="AL111" i="38"/>
  <c r="AP111" i="37"/>
  <c r="C9" i="44"/>
  <c r="C19" i="44" s="1"/>
  <c r="B39" i="39"/>
  <c r="B64" i="39" s="1"/>
  <c r="B66" i="39" s="1"/>
  <c r="D5" i="31"/>
  <c r="D6" i="31"/>
  <c r="C8" i="31"/>
  <c r="C4" i="31"/>
  <c r="C7" i="31"/>
  <c r="F7" i="31" s="1"/>
  <c r="G7" i="31" s="1"/>
  <c r="E8" i="31"/>
  <c r="F8" i="31" s="1"/>
  <c r="G8" i="31" s="1"/>
  <c r="E4" i="31"/>
  <c r="C5" i="31"/>
  <c r="D8" i="31"/>
  <c r="D4" i="31"/>
  <c r="AV220" i="33"/>
  <c r="AV71" i="33"/>
  <c r="AP71" i="33"/>
  <c r="AN86" i="30"/>
  <c r="AN98" i="30"/>
  <c r="AM98" i="30"/>
  <c r="AM99" i="30" s="1"/>
  <c r="AM86" i="30"/>
  <c r="AL85" i="30"/>
  <c r="AP158" i="30"/>
  <c r="AO207" i="30"/>
  <c r="AO220" i="30" s="1"/>
  <c r="AN207" i="30"/>
  <c r="AJ132" i="30"/>
  <c r="AH167" i="30"/>
  <c r="AH207" i="30" s="1"/>
  <c r="AH98" i="30"/>
  <c r="AH86" i="30"/>
  <c r="AJ70" i="30"/>
  <c r="AG85" i="30"/>
  <c r="AG167" i="30"/>
  <c r="AJ87" i="30"/>
  <c r="AJ88" i="30"/>
  <c r="AF86" i="30"/>
  <c r="AJ74" i="30"/>
  <c r="AF163" i="30"/>
  <c r="AF165" i="30"/>
  <c r="AJ165" i="30" s="1"/>
  <c r="AF164" i="30"/>
  <c r="AJ164" i="30" s="1"/>
  <c r="AJ158" i="30"/>
  <c r="AF98" i="30"/>
  <c r="AF99" i="30" s="1"/>
  <c r="AM220" i="30" l="1"/>
  <c r="AL138" i="30"/>
  <c r="AL139" i="30" s="1"/>
  <c r="AV134" i="30"/>
  <c r="B134" i="39" s="1"/>
  <c r="AI98" i="30"/>
  <c r="AI99" i="30" s="1"/>
  <c r="AI86" i="30"/>
  <c r="F5" i="31"/>
  <c r="G5" i="31" s="1"/>
  <c r="I144" i="48"/>
  <c r="C6" i="31"/>
  <c r="F6" i="31" s="1"/>
  <c r="G6" i="31" s="1"/>
  <c r="C9" i="31"/>
  <c r="F9" i="31" s="1"/>
  <c r="G9" i="31" s="1"/>
  <c r="AM131" i="37"/>
  <c r="AM130" i="37"/>
  <c r="AL131" i="36"/>
  <c r="AP131" i="36" s="1"/>
  <c r="AL130" i="36"/>
  <c r="AP130" i="36" s="1"/>
  <c r="G103" i="39"/>
  <c r="C207" i="47"/>
  <c r="AH220" i="30"/>
  <c r="AV221" i="33"/>
  <c r="AM124" i="42"/>
  <c r="AP124" i="38"/>
  <c r="AP128" i="38" s="1"/>
  <c r="AM128" i="38"/>
  <c r="AM129" i="38" s="1"/>
  <c r="AL105" i="38"/>
  <c r="AL116" i="37"/>
  <c r="AL129" i="37" s="1"/>
  <c r="AP105" i="37"/>
  <c r="AP116" i="37" s="1"/>
  <c r="AP129" i="37" s="1"/>
  <c r="AP69" i="37" s="1"/>
  <c r="AL111" i="42"/>
  <c r="AP111" i="42" s="1"/>
  <c r="AP111" i="38"/>
  <c r="AL138" i="33"/>
  <c r="AL139" i="33" s="1"/>
  <c r="AL207" i="33" s="1"/>
  <c r="AL220" i="33" s="1"/>
  <c r="AL221" i="33" s="1"/>
  <c r="AP130" i="33"/>
  <c r="AP138" i="33" s="1"/>
  <c r="AP139" i="33" s="1"/>
  <c r="AP207" i="33" s="1"/>
  <c r="AM138" i="36"/>
  <c r="AM139" i="36" s="1"/>
  <c r="AM207" i="36" s="1"/>
  <c r="AM220" i="36" s="1"/>
  <c r="AM221" i="36" s="1"/>
  <c r="C22" i="44"/>
  <c r="F4" i="31"/>
  <c r="G4" i="31" s="1"/>
  <c r="AL98" i="30"/>
  <c r="AP85" i="30"/>
  <c r="AN220" i="30"/>
  <c r="AI138" i="30"/>
  <c r="AI139" i="30" s="1"/>
  <c r="AI207" i="30" s="1"/>
  <c r="AG207" i="30"/>
  <c r="AJ131" i="30"/>
  <c r="AG98" i="30"/>
  <c r="AG99" i="30" s="1"/>
  <c r="AG86" i="30"/>
  <c r="AJ85" i="30"/>
  <c r="AJ98" i="30" s="1"/>
  <c r="AJ99" i="30" s="1"/>
  <c r="AJ163" i="30"/>
  <c r="AJ167" i="30" s="1"/>
  <c r="AF167" i="30"/>
  <c r="AF138" i="30"/>
  <c r="AF139" i="30" s="1"/>
  <c r="AJ130" i="30"/>
  <c r="AB122" i="33"/>
  <c r="AB120" i="33"/>
  <c r="AA124" i="33"/>
  <c r="AD112" i="30"/>
  <c r="B112" i="51" s="1"/>
  <c r="AD17" i="30"/>
  <c r="AD15" i="30"/>
  <c r="AD14" i="30"/>
  <c r="AD11" i="30"/>
  <c r="AD10" i="30"/>
  <c r="AD9" i="30"/>
  <c r="AD8" i="30"/>
  <c r="AR13" i="30"/>
  <c r="AV13" i="30" s="1"/>
  <c r="B13" i="39" s="1"/>
  <c r="C45" i="43" s="1"/>
  <c r="C24" i="43" s="1"/>
  <c r="L14" i="30"/>
  <c r="AR12" i="30"/>
  <c r="AV12" i="30" s="1"/>
  <c r="B12" i="39" s="1"/>
  <c r="C44" i="43" s="1"/>
  <c r="C23" i="43" s="1"/>
  <c r="L9" i="30"/>
  <c r="L10" i="30"/>
  <c r="L11" i="30"/>
  <c r="AD223" i="30"/>
  <c r="AC223" i="30"/>
  <c r="AB223" i="30"/>
  <c r="AA223" i="30"/>
  <c r="Z223" i="30"/>
  <c r="AD218" i="30"/>
  <c r="AD217" i="30"/>
  <c r="B217" i="51" s="1"/>
  <c r="B234" i="51" s="1"/>
  <c r="AD216" i="30"/>
  <c r="B216" i="51" s="1"/>
  <c r="B233" i="51" s="1"/>
  <c r="AD215" i="30"/>
  <c r="B215" i="51" s="1"/>
  <c r="AD214" i="30"/>
  <c r="B214" i="51" s="1"/>
  <c r="AD213" i="30"/>
  <c r="B213" i="51" s="1"/>
  <c r="B230" i="51" s="1"/>
  <c r="AD212" i="30"/>
  <c r="B212" i="51" s="1"/>
  <c r="AD211" i="30"/>
  <c r="B211" i="51" s="1"/>
  <c r="B232" i="51" s="1"/>
  <c r="AD210" i="30"/>
  <c r="B210" i="51" s="1"/>
  <c r="B231" i="51" s="1"/>
  <c r="AD209" i="30"/>
  <c r="B209" i="51" s="1"/>
  <c r="AC205" i="30"/>
  <c r="AB205" i="30"/>
  <c r="AA205" i="30"/>
  <c r="AD203" i="30"/>
  <c r="B203" i="51" s="1"/>
  <c r="AD201" i="30"/>
  <c r="B201" i="51" s="1"/>
  <c r="AD198" i="30"/>
  <c r="B198" i="51" s="1"/>
  <c r="Z198" i="33"/>
  <c r="Z197" i="33"/>
  <c r="AD195" i="30"/>
  <c r="B195" i="51" s="1"/>
  <c r="Z194" i="33"/>
  <c r="AB192" i="30"/>
  <c r="AA192" i="30"/>
  <c r="AD191" i="30"/>
  <c r="B191" i="51" s="1"/>
  <c r="AD190" i="30"/>
  <c r="B190" i="51" s="1"/>
  <c r="AD189" i="30"/>
  <c r="B189" i="51" s="1"/>
  <c r="AD188" i="30"/>
  <c r="B188" i="51" s="1"/>
  <c r="AD187" i="30"/>
  <c r="B187" i="51" s="1"/>
  <c r="AD186" i="30"/>
  <c r="B186" i="51" s="1"/>
  <c r="AD185" i="30"/>
  <c r="B185" i="51" s="1"/>
  <c r="AD184" i="30"/>
  <c r="B184" i="51" s="1"/>
  <c r="Z192" i="30"/>
  <c r="AD182" i="30"/>
  <c r="AD193" i="30" s="1"/>
  <c r="AC182" i="30"/>
  <c r="AC193" i="30" s="1"/>
  <c r="AB182" i="30"/>
  <c r="AB193" i="30" s="1"/>
  <c r="AA182" i="30"/>
  <c r="AA193" i="30" s="1"/>
  <c r="Z182" i="30"/>
  <c r="Z193" i="30" s="1"/>
  <c r="AC181" i="30"/>
  <c r="AB181" i="30"/>
  <c r="AA181" i="30"/>
  <c r="Z180" i="33"/>
  <c r="Z179" i="33"/>
  <c r="AC176" i="30"/>
  <c r="AB176" i="30"/>
  <c r="AA176" i="30"/>
  <c r="AD175" i="30"/>
  <c r="B175" i="51" s="1"/>
  <c r="Z174" i="33"/>
  <c r="AD173" i="30"/>
  <c r="B173" i="51" s="1"/>
  <c r="AD172" i="30"/>
  <c r="B172" i="51" s="1"/>
  <c r="AD171" i="30"/>
  <c r="B171" i="51" s="1"/>
  <c r="AD162" i="30"/>
  <c r="B162" i="51" s="1"/>
  <c r="AD160" i="30"/>
  <c r="B160" i="51" s="1"/>
  <c r="AD159" i="30"/>
  <c r="B159" i="51" s="1"/>
  <c r="AD156" i="30"/>
  <c r="B156" i="51" s="1"/>
  <c r="AD155" i="30"/>
  <c r="B155" i="51" s="1"/>
  <c r="AD153" i="30"/>
  <c r="B153" i="51" s="1"/>
  <c r="AD152" i="30"/>
  <c r="AD168" i="30" s="1"/>
  <c r="AC152" i="30"/>
  <c r="AC168" i="30" s="1"/>
  <c r="AB152" i="30"/>
  <c r="AB168" i="30" s="1"/>
  <c r="AA152" i="30"/>
  <c r="AA168" i="30" s="1"/>
  <c r="Z152" i="30"/>
  <c r="Z168" i="30" s="1"/>
  <c r="AC151" i="30"/>
  <c r="AD150" i="30"/>
  <c r="B150" i="51" s="1"/>
  <c r="AB151" i="30"/>
  <c r="AD144" i="30"/>
  <c r="B144" i="51" s="1"/>
  <c r="AD143" i="30"/>
  <c r="B143" i="51" s="1"/>
  <c r="AD142" i="30"/>
  <c r="B142" i="51" s="1"/>
  <c r="AD140" i="30"/>
  <c r="AC140" i="30"/>
  <c r="AB140" i="30"/>
  <c r="AA140" i="30"/>
  <c r="Z140" i="30"/>
  <c r="AD136" i="30"/>
  <c r="B136" i="51" s="1"/>
  <c r="AA128" i="30"/>
  <c r="Z128" i="30"/>
  <c r="AD127" i="30"/>
  <c r="B127" i="51" s="1"/>
  <c r="AC128" i="30"/>
  <c r="AD125" i="30"/>
  <c r="B125" i="51" s="1"/>
  <c r="AD122" i="30"/>
  <c r="B122" i="51" s="1"/>
  <c r="AD118" i="30"/>
  <c r="B118" i="51" s="1"/>
  <c r="AD117" i="30"/>
  <c r="AC117" i="30"/>
  <c r="AB117" i="30"/>
  <c r="AA117" i="30"/>
  <c r="Z117" i="30"/>
  <c r="AA115" i="30"/>
  <c r="AD115" i="30" s="1"/>
  <c r="B115" i="51" s="1"/>
  <c r="AD109" i="30"/>
  <c r="B109" i="51" s="1"/>
  <c r="AD106" i="30"/>
  <c r="B106" i="51" s="1"/>
  <c r="AD103" i="30"/>
  <c r="B103" i="51" s="1"/>
  <c r="AD101" i="30"/>
  <c r="AC101" i="30"/>
  <c r="AB101" i="30"/>
  <c r="AA101" i="30"/>
  <c r="Z101" i="30"/>
  <c r="AC97" i="30"/>
  <c r="AB97" i="30"/>
  <c r="AA97" i="30"/>
  <c r="Z97" i="30"/>
  <c r="AC96" i="30"/>
  <c r="AB96" i="30"/>
  <c r="AA96" i="30"/>
  <c r="Z96" i="30"/>
  <c r="AC95" i="30"/>
  <c r="AB95" i="30"/>
  <c r="AA95" i="30"/>
  <c r="AC94" i="30"/>
  <c r="AB94" i="30"/>
  <c r="AC93" i="30"/>
  <c r="AB93" i="30"/>
  <c r="AC92" i="30"/>
  <c r="AB92" i="30"/>
  <c r="AC91" i="30"/>
  <c r="AC90" i="30"/>
  <c r="AB89" i="30"/>
  <c r="AC88" i="30"/>
  <c r="AB88" i="30"/>
  <c r="AA88" i="30"/>
  <c r="AC87" i="30"/>
  <c r="AB87" i="30"/>
  <c r="AA87" i="30"/>
  <c r="AD84" i="30"/>
  <c r="AD83" i="30"/>
  <c r="Z95" i="30"/>
  <c r="Z81" i="30"/>
  <c r="Z94" i="30" s="1"/>
  <c r="AA93" i="30"/>
  <c r="Z80" i="30"/>
  <c r="Z93" i="30" s="1"/>
  <c r="AA92" i="30"/>
  <c r="Z79" i="30"/>
  <c r="Z92" i="30" s="1"/>
  <c r="AB91" i="30"/>
  <c r="AA91" i="30"/>
  <c r="Z91" i="30"/>
  <c r="AB77" i="30"/>
  <c r="AB90" i="30" s="1"/>
  <c r="AA77" i="30"/>
  <c r="AA90" i="30" s="1"/>
  <c r="Z77" i="30"/>
  <c r="Z90" i="30" s="1"/>
  <c r="AA76" i="30"/>
  <c r="AA89" i="30" s="1"/>
  <c r="Z76" i="30"/>
  <c r="Z89" i="30" s="1"/>
  <c r="AD73" i="30"/>
  <c r="AC73" i="30"/>
  <c r="AA73" i="30"/>
  <c r="Z73" i="30"/>
  <c r="AC62" i="30"/>
  <c r="AC65" i="30" s="1"/>
  <c r="AB62" i="30"/>
  <c r="AB65" i="30" s="1"/>
  <c r="AA62" i="30"/>
  <c r="AA65" i="30" s="1"/>
  <c r="Z62" i="30"/>
  <c r="Z65" i="30" s="1"/>
  <c r="AD61" i="30"/>
  <c r="B61" i="51" s="1"/>
  <c r="AD60" i="30"/>
  <c r="B60" i="51" s="1"/>
  <c r="AD59" i="30"/>
  <c r="B59" i="51" s="1"/>
  <c r="AD58" i="30"/>
  <c r="B58" i="51" s="1"/>
  <c r="AD57" i="30"/>
  <c r="B57" i="51" s="1"/>
  <c r="AD56" i="30"/>
  <c r="B56" i="51" s="1"/>
  <c r="AD55" i="30"/>
  <c r="B55" i="51" s="1"/>
  <c r="AD54" i="30"/>
  <c r="B54" i="51" s="1"/>
  <c r="AD53" i="30"/>
  <c r="B53" i="51" s="1"/>
  <c r="AD52" i="30"/>
  <c r="B52" i="51" s="1"/>
  <c r="AD51" i="30"/>
  <c r="B51" i="51" s="1"/>
  <c r="AD50" i="30"/>
  <c r="B50" i="51" s="1"/>
  <c r="AD49" i="30"/>
  <c r="B49" i="51" s="1"/>
  <c r="AD48" i="30"/>
  <c r="B48" i="51" s="1"/>
  <c r="AD47" i="30"/>
  <c r="B47" i="51" s="1"/>
  <c r="AD46" i="30"/>
  <c r="B46" i="51" s="1"/>
  <c r="AD45" i="30"/>
  <c r="B45" i="51" s="1"/>
  <c r="AD44" i="30"/>
  <c r="B44" i="51" s="1"/>
  <c r="AD43" i="30"/>
  <c r="B43" i="51" s="1"/>
  <c r="AD42" i="30"/>
  <c r="B42" i="51" s="1"/>
  <c r="AD41" i="30"/>
  <c r="AC41" i="30"/>
  <c r="AB41" i="30"/>
  <c r="AA41" i="30"/>
  <c r="Z41" i="30"/>
  <c r="AC39" i="30"/>
  <c r="AB39" i="30"/>
  <c r="AA39" i="30"/>
  <c r="Z39" i="30"/>
  <c r="AD38" i="30"/>
  <c r="B38" i="51" s="1"/>
  <c r="AD37" i="30"/>
  <c r="B37" i="51" s="1"/>
  <c r="AD36" i="30"/>
  <c r="B36" i="51" s="1"/>
  <c r="AD35" i="30"/>
  <c r="B35" i="51" s="1"/>
  <c r="AD34" i="30"/>
  <c r="B34" i="51" s="1"/>
  <c r="AD33" i="30"/>
  <c r="B33" i="51" s="1"/>
  <c r="AD32" i="30"/>
  <c r="B32" i="51" s="1"/>
  <c r="AD31" i="30"/>
  <c r="B31" i="51" s="1"/>
  <c r="AD30" i="30"/>
  <c r="B30" i="51" s="1"/>
  <c r="AD29" i="30"/>
  <c r="AD27" i="30"/>
  <c r="AD26" i="30"/>
  <c r="B26" i="51" s="1"/>
  <c r="AD25" i="30"/>
  <c r="B25" i="51" s="1"/>
  <c r="AD24" i="30"/>
  <c r="B24" i="51" s="1"/>
  <c r="AD23" i="30"/>
  <c r="B23" i="51" s="1"/>
  <c r="AD22" i="30"/>
  <c r="B22" i="51" s="1"/>
  <c r="AD18" i="30"/>
  <c r="AD16" i="30"/>
  <c r="AD13" i="30"/>
  <c r="AD12" i="30"/>
  <c r="AD7" i="30"/>
  <c r="AD3" i="30"/>
  <c r="AD2" i="30"/>
  <c r="B2" i="51" s="1"/>
  <c r="J2" i="51" s="1"/>
  <c r="T198" i="33"/>
  <c r="T197" i="33"/>
  <c r="T194" i="33"/>
  <c r="T180" i="33"/>
  <c r="T179" i="33"/>
  <c r="T178" i="33"/>
  <c r="T169" i="33"/>
  <c r="X126" i="30"/>
  <c r="B126" i="52" s="1"/>
  <c r="X122" i="30"/>
  <c r="B122" i="52" s="1"/>
  <c r="X112" i="30"/>
  <c r="B112" i="52" s="1"/>
  <c r="T111" i="33"/>
  <c r="X104" i="30"/>
  <c r="B104" i="52" s="1"/>
  <c r="X103" i="30"/>
  <c r="B103" i="52" s="1"/>
  <c r="X10" i="30"/>
  <c r="X9" i="30"/>
  <c r="X8" i="30"/>
  <c r="X11" i="30"/>
  <c r="X223" i="30"/>
  <c r="W223" i="30"/>
  <c r="V223" i="30"/>
  <c r="U223" i="30"/>
  <c r="T223" i="30"/>
  <c r="X218" i="30"/>
  <c r="B218" i="52" s="1"/>
  <c r="X217" i="30"/>
  <c r="B217" i="52" s="1"/>
  <c r="B234" i="52" s="1"/>
  <c r="X216" i="30"/>
  <c r="B216" i="52" s="1"/>
  <c r="B233" i="52" s="1"/>
  <c r="X215" i="30"/>
  <c r="B215" i="52" s="1"/>
  <c r="X214" i="30"/>
  <c r="B214" i="52" s="1"/>
  <c r="X213" i="30"/>
  <c r="B213" i="52" s="1"/>
  <c r="B230" i="52" s="1"/>
  <c r="X212" i="30"/>
  <c r="B212" i="52" s="1"/>
  <c r="X211" i="30"/>
  <c r="B211" i="52" s="1"/>
  <c r="B232" i="52" s="1"/>
  <c r="X210" i="30"/>
  <c r="B210" i="52" s="1"/>
  <c r="B231" i="52" s="1"/>
  <c r="X209" i="30"/>
  <c r="B209" i="52" s="1"/>
  <c r="W205" i="30"/>
  <c r="V205" i="30"/>
  <c r="U205" i="30"/>
  <c r="X203" i="30"/>
  <c r="B203" i="52" s="1"/>
  <c r="X201" i="30"/>
  <c r="B201" i="52" s="1"/>
  <c r="X198" i="30"/>
  <c r="B198" i="52" s="1"/>
  <c r="X197" i="30"/>
  <c r="B197" i="52" s="1"/>
  <c r="X195" i="30"/>
  <c r="B195" i="52" s="1"/>
  <c r="V192" i="30"/>
  <c r="U192" i="30"/>
  <c r="X191" i="30"/>
  <c r="B191" i="52" s="1"/>
  <c r="X190" i="30"/>
  <c r="B190" i="52" s="1"/>
  <c r="X189" i="30"/>
  <c r="B189" i="52" s="1"/>
  <c r="X188" i="30"/>
  <c r="B188" i="52" s="1"/>
  <c r="X187" i="30"/>
  <c r="B187" i="52" s="1"/>
  <c r="X186" i="30"/>
  <c r="B186" i="52" s="1"/>
  <c r="X185" i="30"/>
  <c r="B185" i="52" s="1"/>
  <c r="X184" i="30"/>
  <c r="B184" i="52" s="1"/>
  <c r="T192" i="30"/>
  <c r="X182" i="30"/>
  <c r="X193" i="30" s="1"/>
  <c r="W182" i="30"/>
  <c r="W193" i="30" s="1"/>
  <c r="V182" i="30"/>
  <c r="V193" i="30" s="1"/>
  <c r="U182" i="30"/>
  <c r="U193" i="30" s="1"/>
  <c r="T182" i="30"/>
  <c r="T193" i="30" s="1"/>
  <c r="W181" i="30"/>
  <c r="V181" i="30"/>
  <c r="U181" i="30"/>
  <c r="X179" i="30"/>
  <c r="B179" i="52" s="1"/>
  <c r="X178" i="30"/>
  <c r="B178" i="52" s="1"/>
  <c r="W176" i="30"/>
  <c r="V176" i="30"/>
  <c r="U176" i="30"/>
  <c r="X175" i="30"/>
  <c r="B175" i="52" s="1"/>
  <c r="X173" i="30"/>
  <c r="B173" i="52" s="1"/>
  <c r="X172" i="30"/>
  <c r="B172" i="52" s="1"/>
  <c r="X171" i="30"/>
  <c r="B171" i="52" s="1"/>
  <c r="X169" i="30"/>
  <c r="B169" i="52" s="1"/>
  <c r="X162" i="30"/>
  <c r="B162" i="52" s="1"/>
  <c r="X160" i="30"/>
  <c r="B160" i="52" s="1"/>
  <c r="X159" i="30"/>
  <c r="B159" i="52" s="1"/>
  <c r="X156" i="30"/>
  <c r="B156" i="52" s="1"/>
  <c r="X155" i="30"/>
  <c r="B155" i="52" s="1"/>
  <c r="X153" i="30"/>
  <c r="B153" i="52" s="1"/>
  <c r="X152" i="30"/>
  <c r="X168" i="30" s="1"/>
  <c r="W152" i="30"/>
  <c r="W168" i="30" s="1"/>
  <c r="V152" i="30"/>
  <c r="V168" i="30" s="1"/>
  <c r="U152" i="30"/>
  <c r="U168" i="30" s="1"/>
  <c r="T152" i="30"/>
  <c r="T168" i="30" s="1"/>
  <c r="W151" i="30"/>
  <c r="X150" i="30"/>
  <c r="B150" i="52" s="1"/>
  <c r="V151" i="30"/>
  <c r="X144" i="30"/>
  <c r="B144" i="52" s="1"/>
  <c r="X143" i="30"/>
  <c r="B143" i="52" s="1"/>
  <c r="X142" i="30"/>
  <c r="B142" i="52" s="1"/>
  <c r="X140" i="30"/>
  <c r="W140" i="30"/>
  <c r="V140" i="30"/>
  <c r="U140" i="30"/>
  <c r="T140" i="30"/>
  <c r="U128" i="30"/>
  <c r="T128" i="30"/>
  <c r="X127" i="30"/>
  <c r="B127" i="52" s="1"/>
  <c r="X125" i="30"/>
  <c r="B125" i="52" s="1"/>
  <c r="X118" i="30"/>
  <c r="B118" i="52" s="1"/>
  <c r="X117" i="30"/>
  <c r="W117" i="30"/>
  <c r="V117" i="30"/>
  <c r="U117" i="30"/>
  <c r="T117" i="30"/>
  <c r="X115" i="30"/>
  <c r="B115" i="52" s="1"/>
  <c r="X111" i="30"/>
  <c r="B111" i="52" s="1"/>
  <c r="X109" i="30"/>
  <c r="B109" i="52" s="1"/>
  <c r="X101" i="30"/>
  <c r="W101" i="30"/>
  <c r="V101" i="30"/>
  <c r="U101" i="30"/>
  <c r="T101" i="30"/>
  <c r="W97" i="30"/>
  <c r="V97" i="30"/>
  <c r="U97" i="30"/>
  <c r="T97" i="30"/>
  <c r="W96" i="30"/>
  <c r="V96" i="30"/>
  <c r="U96" i="30"/>
  <c r="T96" i="30"/>
  <c r="W95" i="30"/>
  <c r="V95" i="30"/>
  <c r="U95" i="30"/>
  <c r="T95" i="30"/>
  <c r="W94" i="30"/>
  <c r="V94" i="30"/>
  <c r="W93" i="30"/>
  <c r="V93" i="30"/>
  <c r="W92" i="30"/>
  <c r="V92" i="30"/>
  <c r="W91" i="30"/>
  <c r="W90" i="30"/>
  <c r="V89" i="30"/>
  <c r="W88" i="30"/>
  <c r="V88" i="30"/>
  <c r="U88" i="30"/>
  <c r="W87" i="30"/>
  <c r="V87" i="30"/>
  <c r="U87" i="30"/>
  <c r="X84" i="30"/>
  <c r="X83" i="30"/>
  <c r="X82" i="30"/>
  <c r="U94" i="30"/>
  <c r="T81" i="30"/>
  <c r="T94" i="30" s="1"/>
  <c r="U93" i="30"/>
  <c r="T80" i="30"/>
  <c r="T93" i="30" s="1"/>
  <c r="U92" i="30"/>
  <c r="T79" i="30"/>
  <c r="T92" i="30" s="1"/>
  <c r="V91" i="30"/>
  <c r="U91" i="30"/>
  <c r="T91" i="30"/>
  <c r="V77" i="30"/>
  <c r="V90" i="30" s="1"/>
  <c r="U77" i="30"/>
  <c r="U90" i="30" s="1"/>
  <c r="T77" i="30"/>
  <c r="T90" i="30" s="1"/>
  <c r="U76" i="30"/>
  <c r="T76" i="30"/>
  <c r="T89" i="30" s="1"/>
  <c r="X73" i="30"/>
  <c r="W73" i="30"/>
  <c r="U73" i="30"/>
  <c r="T73" i="30"/>
  <c r="W62" i="30"/>
  <c r="W65" i="30" s="1"/>
  <c r="V62" i="30"/>
  <c r="V65" i="30" s="1"/>
  <c r="U62" i="30"/>
  <c r="U65" i="30" s="1"/>
  <c r="T62" i="30"/>
  <c r="T65" i="30" s="1"/>
  <c r="X61" i="30"/>
  <c r="B61" i="52" s="1"/>
  <c r="X60" i="30"/>
  <c r="B60" i="52" s="1"/>
  <c r="X59" i="30"/>
  <c r="B59" i="52" s="1"/>
  <c r="X58" i="30"/>
  <c r="B58" i="52" s="1"/>
  <c r="X57" i="30"/>
  <c r="B57" i="52" s="1"/>
  <c r="X56" i="30"/>
  <c r="B56" i="52" s="1"/>
  <c r="X55" i="30"/>
  <c r="B55" i="52" s="1"/>
  <c r="X54" i="30"/>
  <c r="B54" i="52" s="1"/>
  <c r="X53" i="30"/>
  <c r="B53" i="52" s="1"/>
  <c r="X52" i="30"/>
  <c r="B52" i="52" s="1"/>
  <c r="X51" i="30"/>
  <c r="B51" i="52" s="1"/>
  <c r="X50" i="30"/>
  <c r="B50" i="52" s="1"/>
  <c r="X49" i="30"/>
  <c r="B49" i="52" s="1"/>
  <c r="X48" i="30"/>
  <c r="B48" i="52" s="1"/>
  <c r="X47" i="30"/>
  <c r="B47" i="52" s="1"/>
  <c r="X46" i="30"/>
  <c r="B46" i="52" s="1"/>
  <c r="X45" i="30"/>
  <c r="B45" i="52" s="1"/>
  <c r="X44" i="30"/>
  <c r="B44" i="52" s="1"/>
  <c r="X43" i="30"/>
  <c r="B43" i="52" s="1"/>
  <c r="X42" i="30"/>
  <c r="B42" i="52" s="1"/>
  <c r="X41" i="30"/>
  <c r="W41" i="30"/>
  <c r="V41" i="30"/>
  <c r="U41" i="30"/>
  <c r="T41" i="30"/>
  <c r="W39" i="30"/>
  <c r="V39" i="30"/>
  <c r="U39" i="30"/>
  <c r="T39" i="30"/>
  <c r="X38" i="30"/>
  <c r="B38" i="52" s="1"/>
  <c r="X37" i="30"/>
  <c r="B37" i="52" s="1"/>
  <c r="X36" i="30"/>
  <c r="B36" i="52" s="1"/>
  <c r="X35" i="30"/>
  <c r="B35" i="52" s="1"/>
  <c r="X34" i="30"/>
  <c r="B34" i="52" s="1"/>
  <c r="X33" i="30"/>
  <c r="B33" i="52" s="1"/>
  <c r="X32" i="30"/>
  <c r="B32" i="52" s="1"/>
  <c r="X31" i="30"/>
  <c r="B31" i="52" s="1"/>
  <c r="X30" i="30"/>
  <c r="B30" i="52" s="1"/>
  <c r="X29" i="30"/>
  <c r="X27" i="30"/>
  <c r="X26" i="30"/>
  <c r="B26" i="52" s="1"/>
  <c r="X25" i="30"/>
  <c r="B25" i="52" s="1"/>
  <c r="X24" i="30"/>
  <c r="B24" i="52" s="1"/>
  <c r="X23" i="30"/>
  <c r="B23" i="52" s="1"/>
  <c r="X22" i="30"/>
  <c r="B22" i="52" s="1"/>
  <c r="X18" i="30"/>
  <c r="X17" i="30"/>
  <c r="X16" i="30"/>
  <c r="X15" i="30"/>
  <c r="X14" i="30"/>
  <c r="X13" i="30"/>
  <c r="X12" i="30"/>
  <c r="X7" i="30"/>
  <c r="X3" i="30"/>
  <c r="X2" i="30"/>
  <c r="B2" i="52" s="1"/>
  <c r="J2" i="52" s="1"/>
  <c r="N178" i="33"/>
  <c r="N170" i="33"/>
  <c r="N169" i="33"/>
  <c r="R112" i="30"/>
  <c r="B112" i="53" s="1"/>
  <c r="N111" i="33"/>
  <c r="R111" i="30"/>
  <c r="B111" i="53" s="1"/>
  <c r="AS107" i="30"/>
  <c r="J123" i="33"/>
  <c r="J119" i="33"/>
  <c r="H111" i="33"/>
  <c r="R104" i="30"/>
  <c r="B104" i="53" s="1"/>
  <c r="R103" i="30"/>
  <c r="B103" i="53" s="1"/>
  <c r="N19" i="30"/>
  <c r="R223" i="30"/>
  <c r="Q223" i="30"/>
  <c r="P223" i="30"/>
  <c r="O223" i="30"/>
  <c r="N223" i="30"/>
  <c r="R218" i="30"/>
  <c r="B218" i="53" s="1"/>
  <c r="R217" i="30"/>
  <c r="B217" i="53" s="1"/>
  <c r="B234" i="53" s="1"/>
  <c r="R216" i="30"/>
  <c r="B216" i="53" s="1"/>
  <c r="B233" i="53" s="1"/>
  <c r="R215" i="30"/>
  <c r="B215" i="53" s="1"/>
  <c r="R214" i="30"/>
  <c r="B214" i="53" s="1"/>
  <c r="R213" i="30"/>
  <c r="B213" i="53" s="1"/>
  <c r="B230" i="53" s="1"/>
  <c r="R212" i="30"/>
  <c r="B212" i="53" s="1"/>
  <c r="R211" i="30"/>
  <c r="B211" i="53" s="1"/>
  <c r="B232" i="53" s="1"/>
  <c r="R210" i="30"/>
  <c r="B210" i="53" s="1"/>
  <c r="B231" i="53" s="1"/>
  <c r="R209" i="30"/>
  <c r="B209" i="53" s="1"/>
  <c r="Q205" i="30"/>
  <c r="P205" i="30"/>
  <c r="O205" i="30"/>
  <c r="R203" i="30"/>
  <c r="B203" i="53" s="1"/>
  <c r="R201" i="30"/>
  <c r="B201" i="53" s="1"/>
  <c r="R195" i="30"/>
  <c r="B195" i="53" s="1"/>
  <c r="P192" i="30"/>
  <c r="O192" i="30"/>
  <c r="R191" i="30"/>
  <c r="B191" i="53" s="1"/>
  <c r="R190" i="30"/>
  <c r="B190" i="53" s="1"/>
  <c r="R189" i="30"/>
  <c r="B189" i="53" s="1"/>
  <c r="R188" i="30"/>
  <c r="B188" i="53" s="1"/>
  <c r="R187" i="30"/>
  <c r="B187" i="53" s="1"/>
  <c r="R186" i="30"/>
  <c r="B186" i="53" s="1"/>
  <c r="R185" i="30"/>
  <c r="B185" i="53" s="1"/>
  <c r="R184" i="30"/>
  <c r="B184" i="53" s="1"/>
  <c r="N192" i="30"/>
  <c r="R182" i="30"/>
  <c r="R193" i="30" s="1"/>
  <c r="Q182" i="30"/>
  <c r="Q193" i="30" s="1"/>
  <c r="P182" i="30"/>
  <c r="P193" i="30" s="1"/>
  <c r="O182" i="30"/>
  <c r="O193" i="30" s="1"/>
  <c r="N182" i="30"/>
  <c r="N193" i="30" s="1"/>
  <c r="Q181" i="30"/>
  <c r="P181" i="30"/>
  <c r="O181" i="30"/>
  <c r="Q176" i="30"/>
  <c r="P176" i="30"/>
  <c r="O176" i="30"/>
  <c r="R175" i="30"/>
  <c r="B175" i="53" s="1"/>
  <c r="R173" i="30"/>
  <c r="B173" i="53" s="1"/>
  <c r="R172" i="30"/>
  <c r="B172" i="53" s="1"/>
  <c r="R171" i="30"/>
  <c r="B171" i="53" s="1"/>
  <c r="R170" i="30"/>
  <c r="B170" i="53" s="1"/>
  <c r="R162" i="30"/>
  <c r="B162" i="53" s="1"/>
  <c r="R160" i="30"/>
  <c r="B160" i="53" s="1"/>
  <c r="R159" i="30"/>
  <c r="B159" i="53" s="1"/>
  <c r="R156" i="30"/>
  <c r="B156" i="53" s="1"/>
  <c r="R155" i="30"/>
  <c r="B155" i="53" s="1"/>
  <c r="R153" i="30"/>
  <c r="B153" i="53" s="1"/>
  <c r="R152" i="30"/>
  <c r="R168" i="30" s="1"/>
  <c r="Q152" i="30"/>
  <c r="Q168" i="30" s="1"/>
  <c r="P152" i="30"/>
  <c r="P168" i="30" s="1"/>
  <c r="O152" i="30"/>
  <c r="O168" i="30" s="1"/>
  <c r="N152" i="30"/>
  <c r="N168" i="30" s="1"/>
  <c r="Q151" i="30"/>
  <c r="R150" i="30"/>
  <c r="B150" i="53" s="1"/>
  <c r="P151" i="30"/>
  <c r="R144" i="30"/>
  <c r="B144" i="53" s="1"/>
  <c r="R143" i="30"/>
  <c r="B143" i="53" s="1"/>
  <c r="R142" i="30"/>
  <c r="B142" i="53" s="1"/>
  <c r="R140" i="30"/>
  <c r="Q140" i="30"/>
  <c r="P140" i="30"/>
  <c r="O140" i="30"/>
  <c r="N140" i="30"/>
  <c r="N128" i="30"/>
  <c r="R127" i="30"/>
  <c r="B127" i="53" s="1"/>
  <c r="R126" i="30"/>
  <c r="B126" i="53" s="1"/>
  <c r="R125" i="30"/>
  <c r="B125" i="53" s="1"/>
  <c r="R123" i="30"/>
  <c r="B123" i="53" s="1"/>
  <c r="R122" i="30"/>
  <c r="B122" i="53" s="1"/>
  <c r="R121" i="30"/>
  <c r="B121" i="53" s="1"/>
  <c r="R120" i="30"/>
  <c r="B120" i="53" s="1"/>
  <c r="R119" i="30"/>
  <c r="B119" i="53" s="1"/>
  <c r="P128" i="30"/>
  <c r="R118" i="30"/>
  <c r="B118" i="53" s="1"/>
  <c r="R117" i="30"/>
  <c r="Q117" i="30"/>
  <c r="P117" i="30"/>
  <c r="O117" i="30"/>
  <c r="N117" i="30"/>
  <c r="O115" i="30"/>
  <c r="R115" i="30" s="1"/>
  <c r="B115" i="53" s="1"/>
  <c r="R109" i="30"/>
  <c r="B109" i="53" s="1"/>
  <c r="R101" i="30"/>
  <c r="Q101" i="30"/>
  <c r="P101" i="30"/>
  <c r="O101" i="30"/>
  <c r="N101" i="30"/>
  <c r="Q97" i="30"/>
  <c r="P97" i="30"/>
  <c r="O97" i="30"/>
  <c r="N97" i="30"/>
  <c r="Q96" i="30"/>
  <c r="P96" i="30"/>
  <c r="O96" i="30"/>
  <c r="N96" i="30"/>
  <c r="Q95" i="30"/>
  <c r="P95" i="30"/>
  <c r="O95" i="30"/>
  <c r="Q94" i="30"/>
  <c r="P94" i="30"/>
  <c r="Q93" i="30"/>
  <c r="P93" i="30"/>
  <c r="Q92" i="30"/>
  <c r="P92" i="30"/>
  <c r="Q91" i="30"/>
  <c r="Q90" i="30"/>
  <c r="P89" i="30"/>
  <c r="Q88" i="30"/>
  <c r="P88" i="30"/>
  <c r="O88" i="30"/>
  <c r="Q87" i="30"/>
  <c r="P87" i="30"/>
  <c r="O87" i="30"/>
  <c r="R84" i="30"/>
  <c r="R83" i="30"/>
  <c r="R82" i="30"/>
  <c r="N95" i="30"/>
  <c r="N81" i="30"/>
  <c r="N94" i="30" s="1"/>
  <c r="O93" i="30"/>
  <c r="N80" i="30"/>
  <c r="N93" i="30" s="1"/>
  <c r="O92" i="30"/>
  <c r="N79" i="30"/>
  <c r="N92" i="30" s="1"/>
  <c r="P91" i="30"/>
  <c r="O78" i="30"/>
  <c r="O91" i="30" s="1"/>
  <c r="N78" i="30"/>
  <c r="N91" i="30" s="1"/>
  <c r="P77" i="30"/>
  <c r="P90" i="30" s="1"/>
  <c r="O77" i="30"/>
  <c r="O90" i="30" s="1"/>
  <c r="N77" i="30"/>
  <c r="N90" i="30" s="1"/>
  <c r="O76" i="30"/>
  <c r="O89" i="30" s="1"/>
  <c r="N76" i="30"/>
  <c r="N89" i="30" s="1"/>
  <c r="R73" i="30"/>
  <c r="Q73" i="30"/>
  <c r="O73" i="30"/>
  <c r="N73" i="30"/>
  <c r="Q62" i="30"/>
  <c r="Q65" i="30" s="1"/>
  <c r="P62" i="30"/>
  <c r="P65" i="30" s="1"/>
  <c r="O62" i="30"/>
  <c r="O65" i="30" s="1"/>
  <c r="N62" i="30"/>
  <c r="N65" i="30" s="1"/>
  <c r="R61" i="30"/>
  <c r="B61" i="53" s="1"/>
  <c r="R60" i="30"/>
  <c r="B60" i="53" s="1"/>
  <c r="R59" i="30"/>
  <c r="B59" i="53" s="1"/>
  <c r="R58" i="30"/>
  <c r="B58" i="53" s="1"/>
  <c r="R57" i="30"/>
  <c r="B57" i="53" s="1"/>
  <c r="R56" i="30"/>
  <c r="B56" i="53" s="1"/>
  <c r="R55" i="30"/>
  <c r="B55" i="53" s="1"/>
  <c r="R54" i="30"/>
  <c r="B54" i="53" s="1"/>
  <c r="R53" i="30"/>
  <c r="B53" i="53" s="1"/>
  <c r="R52" i="30"/>
  <c r="B52" i="53" s="1"/>
  <c r="R51" i="30"/>
  <c r="B51" i="53" s="1"/>
  <c r="R50" i="30"/>
  <c r="B50" i="53" s="1"/>
  <c r="R49" i="30"/>
  <c r="B49" i="53" s="1"/>
  <c r="R48" i="30"/>
  <c r="B48" i="53" s="1"/>
  <c r="R47" i="30"/>
  <c r="B47" i="53" s="1"/>
  <c r="R46" i="30"/>
  <c r="B46" i="53" s="1"/>
  <c r="R45" i="30"/>
  <c r="B45" i="53" s="1"/>
  <c r="R44" i="30"/>
  <c r="B44" i="53" s="1"/>
  <c r="R43" i="30"/>
  <c r="B43" i="53" s="1"/>
  <c r="R42" i="30"/>
  <c r="B42" i="53" s="1"/>
  <c r="R41" i="30"/>
  <c r="Q41" i="30"/>
  <c r="P41" i="30"/>
  <c r="O41" i="30"/>
  <c r="N41" i="30"/>
  <c r="Q39" i="30"/>
  <c r="P39" i="30"/>
  <c r="O39" i="30"/>
  <c r="N39" i="30"/>
  <c r="R38" i="30"/>
  <c r="B38" i="53" s="1"/>
  <c r="R37" i="30"/>
  <c r="B37" i="53" s="1"/>
  <c r="R36" i="30"/>
  <c r="B36" i="53" s="1"/>
  <c r="R35" i="30"/>
  <c r="B35" i="53" s="1"/>
  <c r="R34" i="30"/>
  <c r="B34" i="53" s="1"/>
  <c r="R33" i="30"/>
  <c r="B33" i="53" s="1"/>
  <c r="R32" i="30"/>
  <c r="B32" i="53" s="1"/>
  <c r="R31" i="30"/>
  <c r="B31" i="53" s="1"/>
  <c r="R30" i="30"/>
  <c r="B30" i="53" s="1"/>
  <c r="R29" i="30"/>
  <c r="B29" i="53" s="1"/>
  <c r="R27" i="30"/>
  <c r="R26" i="30"/>
  <c r="B26" i="53" s="1"/>
  <c r="R25" i="30"/>
  <c r="B25" i="53" s="1"/>
  <c r="R24" i="30"/>
  <c r="B24" i="53" s="1"/>
  <c r="R23" i="30"/>
  <c r="B23" i="53" s="1"/>
  <c r="R22" i="30"/>
  <c r="B22" i="53" s="1"/>
  <c r="R18" i="30"/>
  <c r="R17" i="30"/>
  <c r="R16" i="30"/>
  <c r="R15" i="30"/>
  <c r="R14" i="30"/>
  <c r="R13" i="30"/>
  <c r="R12" i="30"/>
  <c r="R11" i="30"/>
  <c r="R10" i="30"/>
  <c r="R9" i="30"/>
  <c r="R8" i="30"/>
  <c r="R7" i="30"/>
  <c r="N5" i="30"/>
  <c r="R3" i="30"/>
  <c r="R2" i="30"/>
  <c r="B2" i="53" s="1"/>
  <c r="J2" i="53" s="1"/>
  <c r="H198" i="33"/>
  <c r="H197" i="33"/>
  <c r="H194" i="33"/>
  <c r="H174" i="33"/>
  <c r="H170" i="33"/>
  <c r="H169" i="33"/>
  <c r="L120" i="30"/>
  <c r="B120" i="50" s="1"/>
  <c r="AS113" i="30"/>
  <c r="L112" i="30"/>
  <c r="B112" i="50" s="1"/>
  <c r="L104" i="30"/>
  <c r="B104" i="50" s="1"/>
  <c r="L103" i="30"/>
  <c r="B103" i="50" s="1"/>
  <c r="L16" i="30"/>
  <c r="L15" i="30"/>
  <c r="L13" i="30"/>
  <c r="L223" i="30"/>
  <c r="K223" i="30"/>
  <c r="J223" i="30"/>
  <c r="I223" i="30"/>
  <c r="H223" i="30"/>
  <c r="L218" i="30"/>
  <c r="L217" i="30"/>
  <c r="B217" i="50" s="1"/>
  <c r="B234" i="50" s="1"/>
  <c r="L216" i="30"/>
  <c r="B216" i="50" s="1"/>
  <c r="B233" i="50" s="1"/>
  <c r="L215" i="30"/>
  <c r="B215" i="50" s="1"/>
  <c r="L214" i="30"/>
  <c r="B214" i="50" s="1"/>
  <c r="L213" i="30"/>
  <c r="B213" i="50" s="1"/>
  <c r="B230" i="50" s="1"/>
  <c r="L212" i="30"/>
  <c r="B212" i="50" s="1"/>
  <c r="L211" i="30"/>
  <c r="B211" i="50" s="1"/>
  <c r="B232" i="50" s="1"/>
  <c r="L210" i="30"/>
  <c r="B210" i="50" s="1"/>
  <c r="B231" i="50" s="1"/>
  <c r="L209" i="30"/>
  <c r="B209" i="50" s="1"/>
  <c r="K205" i="30"/>
  <c r="J205" i="30"/>
  <c r="I205" i="30"/>
  <c r="L203" i="30"/>
  <c r="B203" i="50" s="1"/>
  <c r="L201" i="30"/>
  <c r="B201" i="50" s="1"/>
  <c r="L198" i="30"/>
  <c r="B198" i="50" s="1"/>
  <c r="L195" i="30"/>
  <c r="B195" i="50" s="1"/>
  <c r="J192" i="30"/>
  <c r="I192" i="30"/>
  <c r="L191" i="30"/>
  <c r="B191" i="50" s="1"/>
  <c r="L190" i="30"/>
  <c r="B190" i="50" s="1"/>
  <c r="L189" i="30"/>
  <c r="B189" i="50" s="1"/>
  <c r="L188" i="30"/>
  <c r="B188" i="50" s="1"/>
  <c r="L187" i="30"/>
  <c r="B187" i="50" s="1"/>
  <c r="L186" i="30"/>
  <c r="B186" i="50" s="1"/>
  <c r="L185" i="30"/>
  <c r="B185" i="50" s="1"/>
  <c r="L184" i="30"/>
  <c r="B184" i="50" s="1"/>
  <c r="H192" i="30"/>
  <c r="L182" i="30"/>
  <c r="L193" i="30" s="1"/>
  <c r="K182" i="30"/>
  <c r="K193" i="30" s="1"/>
  <c r="J182" i="30"/>
  <c r="J193" i="30" s="1"/>
  <c r="I182" i="30"/>
  <c r="I193" i="30" s="1"/>
  <c r="H182" i="30"/>
  <c r="H193" i="30" s="1"/>
  <c r="K181" i="30"/>
  <c r="J181" i="30"/>
  <c r="I181" i="30"/>
  <c r="K176" i="30"/>
  <c r="J176" i="30"/>
  <c r="I176" i="30"/>
  <c r="L175" i="30"/>
  <c r="B175" i="50" s="1"/>
  <c r="L173" i="30"/>
  <c r="B173" i="50" s="1"/>
  <c r="L172" i="30"/>
  <c r="B172" i="50" s="1"/>
  <c r="L171" i="30"/>
  <c r="B171" i="50" s="1"/>
  <c r="L170" i="30"/>
  <c r="B170" i="50" s="1"/>
  <c r="L162" i="30"/>
  <c r="B162" i="50" s="1"/>
  <c r="L160" i="30"/>
  <c r="B160" i="50" s="1"/>
  <c r="L159" i="30"/>
  <c r="B159" i="50" s="1"/>
  <c r="L156" i="30"/>
  <c r="B156" i="50" s="1"/>
  <c r="L155" i="30"/>
  <c r="B155" i="50" s="1"/>
  <c r="L153" i="30"/>
  <c r="B153" i="50" s="1"/>
  <c r="L152" i="30"/>
  <c r="L168" i="30" s="1"/>
  <c r="K152" i="30"/>
  <c r="K168" i="30" s="1"/>
  <c r="J152" i="30"/>
  <c r="J168" i="30" s="1"/>
  <c r="I152" i="30"/>
  <c r="I168" i="30" s="1"/>
  <c r="H152" i="30"/>
  <c r="H168" i="30" s="1"/>
  <c r="K151" i="30"/>
  <c r="L150" i="30"/>
  <c r="B150" i="50" s="1"/>
  <c r="L149" i="30"/>
  <c r="B149" i="50" s="1"/>
  <c r="L144" i="30"/>
  <c r="B144" i="50" s="1"/>
  <c r="L143" i="30"/>
  <c r="B143" i="50" s="1"/>
  <c r="L140" i="30"/>
  <c r="K140" i="30"/>
  <c r="J140" i="30"/>
  <c r="I140" i="30"/>
  <c r="H140" i="30"/>
  <c r="L136" i="30"/>
  <c r="B136" i="50" s="1"/>
  <c r="H128" i="30"/>
  <c r="L127" i="30"/>
  <c r="B127" i="50" s="1"/>
  <c r="K128" i="30"/>
  <c r="L125" i="30"/>
  <c r="B125" i="50" s="1"/>
  <c r="L122" i="30"/>
  <c r="B122" i="50" s="1"/>
  <c r="L121" i="30"/>
  <c r="B121" i="50" s="1"/>
  <c r="L118" i="30"/>
  <c r="B118" i="50" s="1"/>
  <c r="L117" i="30"/>
  <c r="K117" i="30"/>
  <c r="J117" i="30"/>
  <c r="I117" i="30"/>
  <c r="H117" i="30"/>
  <c r="I115" i="30"/>
  <c r="L115" i="30" s="1"/>
  <c r="B115" i="50" s="1"/>
  <c r="L110" i="30"/>
  <c r="B110" i="50" s="1"/>
  <c r="L109" i="30"/>
  <c r="B109" i="50" s="1"/>
  <c r="L106" i="30"/>
  <c r="B106" i="50" s="1"/>
  <c r="L101" i="30"/>
  <c r="K101" i="30"/>
  <c r="J101" i="30"/>
  <c r="I101" i="30"/>
  <c r="H101" i="30"/>
  <c r="K97" i="30"/>
  <c r="J97" i="30"/>
  <c r="I97" i="30"/>
  <c r="H97" i="30"/>
  <c r="K96" i="30"/>
  <c r="J96" i="30"/>
  <c r="I96" i="30"/>
  <c r="H96" i="30"/>
  <c r="K95" i="30"/>
  <c r="J95" i="30"/>
  <c r="I95" i="30"/>
  <c r="K94" i="30"/>
  <c r="J94" i="30"/>
  <c r="K93" i="30"/>
  <c r="J93" i="30"/>
  <c r="K92" i="30"/>
  <c r="J92" i="30"/>
  <c r="K91" i="30"/>
  <c r="K90" i="30"/>
  <c r="J89" i="30"/>
  <c r="K88" i="30"/>
  <c r="J88" i="30"/>
  <c r="I88" i="30"/>
  <c r="K87" i="30"/>
  <c r="J87" i="30"/>
  <c r="I87" i="30"/>
  <c r="L84" i="30"/>
  <c r="L83" i="30"/>
  <c r="AS81" i="30"/>
  <c r="H81" i="30"/>
  <c r="H94" i="30" s="1"/>
  <c r="I93" i="30"/>
  <c r="H80" i="30"/>
  <c r="L80" i="30" s="1"/>
  <c r="I92" i="30"/>
  <c r="H79" i="30"/>
  <c r="H92" i="30" s="1"/>
  <c r="J91" i="30"/>
  <c r="I78" i="30"/>
  <c r="I91" i="30" s="1"/>
  <c r="H78" i="30"/>
  <c r="H91" i="30" s="1"/>
  <c r="J77" i="30"/>
  <c r="J90" i="30" s="1"/>
  <c r="I77" i="30"/>
  <c r="H77" i="30"/>
  <c r="H90" i="30" s="1"/>
  <c r="I76" i="30"/>
  <c r="I89" i="30" s="1"/>
  <c r="H76" i="30"/>
  <c r="H89" i="30" s="1"/>
  <c r="L73" i="30"/>
  <c r="K73" i="30"/>
  <c r="I73" i="30"/>
  <c r="H73" i="30"/>
  <c r="K62" i="30"/>
  <c r="K65" i="30" s="1"/>
  <c r="J62" i="30"/>
  <c r="J65" i="30" s="1"/>
  <c r="I62" i="30"/>
  <c r="I65" i="30" s="1"/>
  <c r="H62" i="30"/>
  <c r="H65" i="30" s="1"/>
  <c r="L61" i="30"/>
  <c r="B61" i="50" s="1"/>
  <c r="L60" i="30"/>
  <c r="B60" i="50" s="1"/>
  <c r="L59" i="30"/>
  <c r="B59" i="50" s="1"/>
  <c r="L58" i="30"/>
  <c r="B58" i="50" s="1"/>
  <c r="L57" i="30"/>
  <c r="B57" i="50" s="1"/>
  <c r="L56" i="30"/>
  <c r="B56" i="50" s="1"/>
  <c r="L55" i="30"/>
  <c r="B55" i="50" s="1"/>
  <c r="L54" i="30"/>
  <c r="B54" i="50" s="1"/>
  <c r="L53" i="30"/>
  <c r="B53" i="50" s="1"/>
  <c r="L52" i="30"/>
  <c r="B52" i="50" s="1"/>
  <c r="L51" i="30"/>
  <c r="B51" i="50" s="1"/>
  <c r="L50" i="30"/>
  <c r="B50" i="50" s="1"/>
  <c r="L49" i="30"/>
  <c r="B49" i="50" s="1"/>
  <c r="L48" i="30"/>
  <c r="B48" i="50" s="1"/>
  <c r="L47" i="30"/>
  <c r="B47" i="50" s="1"/>
  <c r="L46" i="30"/>
  <c r="B46" i="50" s="1"/>
  <c r="L45" i="30"/>
  <c r="B45" i="50" s="1"/>
  <c r="L44" i="30"/>
  <c r="B44" i="50" s="1"/>
  <c r="L43" i="30"/>
  <c r="B43" i="50" s="1"/>
  <c r="L42" i="30"/>
  <c r="B42" i="50" s="1"/>
  <c r="L41" i="30"/>
  <c r="K41" i="30"/>
  <c r="J41" i="30"/>
  <c r="I41" i="30"/>
  <c r="H41" i="30"/>
  <c r="K39" i="30"/>
  <c r="J39" i="30"/>
  <c r="I39" i="30"/>
  <c r="H39" i="30"/>
  <c r="L38" i="30"/>
  <c r="B38" i="50" s="1"/>
  <c r="L37" i="30"/>
  <c r="B37" i="50" s="1"/>
  <c r="L36" i="30"/>
  <c r="B36" i="50" s="1"/>
  <c r="L35" i="30"/>
  <c r="B35" i="50" s="1"/>
  <c r="L34" i="30"/>
  <c r="B34" i="50" s="1"/>
  <c r="L33" i="30"/>
  <c r="B33" i="50" s="1"/>
  <c r="L32" i="30"/>
  <c r="B32" i="50" s="1"/>
  <c r="L31" i="30"/>
  <c r="B31" i="50" s="1"/>
  <c r="L30" i="30"/>
  <c r="B30" i="50" s="1"/>
  <c r="L29" i="30"/>
  <c r="L27" i="30"/>
  <c r="L26" i="30"/>
  <c r="B26" i="50" s="1"/>
  <c r="L25" i="30"/>
  <c r="B25" i="50" s="1"/>
  <c r="L24" i="30"/>
  <c r="B24" i="50" s="1"/>
  <c r="L23" i="30"/>
  <c r="B23" i="50" s="1"/>
  <c r="L22" i="30"/>
  <c r="B22" i="50" s="1"/>
  <c r="L18" i="30"/>
  <c r="L17" i="30"/>
  <c r="L8" i="30"/>
  <c r="L7" i="30"/>
  <c r="L3" i="30"/>
  <c r="L2" i="30"/>
  <c r="B2" i="50" s="1"/>
  <c r="J2" i="50" s="1"/>
  <c r="AR103" i="30"/>
  <c r="AV103" i="30" s="1"/>
  <c r="B103" i="39" s="1"/>
  <c r="AT78" i="30"/>
  <c r="AR11" i="30"/>
  <c r="AV11" i="30" s="1"/>
  <c r="B11" i="39" s="1"/>
  <c r="C43" i="43" s="1"/>
  <c r="C22" i="43" s="1"/>
  <c r="AR9" i="30"/>
  <c r="AV9" i="30" s="1"/>
  <c r="B9" i="39" s="1"/>
  <c r="C41" i="43" s="1"/>
  <c r="C20" i="43" s="1"/>
  <c r="AR8" i="30"/>
  <c r="AV8" i="30" s="1"/>
  <c r="B8" i="39" s="1"/>
  <c r="C40" i="43" s="1"/>
  <c r="C19" i="43" s="1"/>
  <c r="AR6" i="30"/>
  <c r="AV6" i="30" s="1"/>
  <c r="B6" i="39" s="1"/>
  <c r="AR7" i="30"/>
  <c r="AV7" i="30" s="1"/>
  <c r="B7" i="39" s="1"/>
  <c r="C39" i="43" s="1"/>
  <c r="C18" i="43" s="1"/>
  <c r="B62" i="50" l="1"/>
  <c r="B65" i="50" s="1"/>
  <c r="C252" i="47"/>
  <c r="C259" i="47"/>
  <c r="C254" i="47"/>
  <c r="C253" i="47"/>
  <c r="C255" i="47"/>
  <c r="C250" i="47"/>
  <c r="C260" i="47"/>
  <c r="C247" i="47"/>
  <c r="C251" i="47"/>
  <c r="C257" i="47"/>
  <c r="C256" i="47"/>
  <c r="C249" i="47"/>
  <c r="C258" i="47"/>
  <c r="C261" i="47"/>
  <c r="C248" i="47"/>
  <c r="B39" i="53"/>
  <c r="B64" i="53" s="1"/>
  <c r="P154" i="30"/>
  <c r="R154" i="30" s="1"/>
  <c r="B154" i="53" s="1"/>
  <c r="N145" i="30"/>
  <c r="N148" i="30"/>
  <c r="N161" i="30"/>
  <c r="N147" i="30"/>
  <c r="R147" i="30" s="1"/>
  <c r="B147" i="53" s="1"/>
  <c r="N141" i="30"/>
  <c r="Q183" i="30"/>
  <c r="N200" i="30"/>
  <c r="N157" i="30"/>
  <c r="N146" i="30"/>
  <c r="U132" i="30"/>
  <c r="U135" i="30"/>
  <c r="X97" i="30"/>
  <c r="B97" i="52" s="1"/>
  <c r="B84" i="52"/>
  <c r="B18" i="51"/>
  <c r="F88" i="34"/>
  <c r="AC137" i="30"/>
  <c r="AC135" i="30"/>
  <c r="AC132" i="30"/>
  <c r="B11" i="50"/>
  <c r="C81" i="34"/>
  <c r="B14" i="50"/>
  <c r="C84" i="34"/>
  <c r="B10" i="51"/>
  <c r="F80" i="34"/>
  <c r="AE10" i="30"/>
  <c r="I10" i="51" s="1"/>
  <c r="B17" i="51"/>
  <c r="F87" i="34"/>
  <c r="L97" i="30"/>
  <c r="B97" i="50" s="1"/>
  <c r="B84" i="50"/>
  <c r="B13" i="50"/>
  <c r="C83" i="34"/>
  <c r="B18" i="53"/>
  <c r="D88" i="34"/>
  <c r="Q135" i="30"/>
  <c r="Q132" i="30"/>
  <c r="Q137" i="30"/>
  <c r="Y29" i="30"/>
  <c r="B29" i="52"/>
  <c r="V64" i="30"/>
  <c r="V135" i="30"/>
  <c r="V137" i="30"/>
  <c r="V132" i="30"/>
  <c r="B11" i="52"/>
  <c r="Y11" i="30"/>
  <c r="I11" i="52" s="1"/>
  <c r="E81" i="34"/>
  <c r="B12" i="51"/>
  <c r="AE12" i="30"/>
  <c r="I12" i="51" s="1"/>
  <c r="F82" i="34"/>
  <c r="Z64" i="30"/>
  <c r="Z137" i="30"/>
  <c r="Z135" i="30"/>
  <c r="Z132" i="30"/>
  <c r="Z108" i="30"/>
  <c r="AD97" i="30"/>
  <c r="B97" i="51" s="1"/>
  <c r="B84" i="51"/>
  <c r="B235" i="51"/>
  <c r="B10" i="50"/>
  <c r="C80" i="34"/>
  <c r="B11" i="51"/>
  <c r="F81" i="34"/>
  <c r="AE11" i="30"/>
  <c r="I11" i="51" s="1"/>
  <c r="AJ138" i="30"/>
  <c r="AJ139" i="30" s="1"/>
  <c r="AJ207" i="30" s="1"/>
  <c r="AJ68" i="30" s="1"/>
  <c r="L96" i="30"/>
  <c r="B96" i="50" s="1"/>
  <c r="B83" i="50"/>
  <c r="B13" i="53"/>
  <c r="D83" i="34"/>
  <c r="S13" i="30"/>
  <c r="I13" i="53" s="1"/>
  <c r="B17" i="53"/>
  <c r="D87" i="34"/>
  <c r="P135" i="30"/>
  <c r="P132" i="30"/>
  <c r="P137" i="30"/>
  <c r="B16" i="52"/>
  <c r="E86" i="34"/>
  <c r="B10" i="52"/>
  <c r="E80" i="34"/>
  <c r="Y10" i="30"/>
  <c r="I10" i="52" s="1"/>
  <c r="AD96" i="30"/>
  <c r="B96" i="51" s="1"/>
  <c r="B83" i="51"/>
  <c r="H108" i="30"/>
  <c r="H137" i="30"/>
  <c r="H135" i="30"/>
  <c r="H132" i="30"/>
  <c r="B14" i="53"/>
  <c r="S14" i="30"/>
  <c r="I14" i="53" s="1"/>
  <c r="D84" i="34"/>
  <c r="B13" i="52"/>
  <c r="E83" i="34"/>
  <c r="B235" i="50"/>
  <c r="B15" i="50"/>
  <c r="C85" i="34"/>
  <c r="M15" i="30"/>
  <c r="B7" i="53"/>
  <c r="S7" i="30"/>
  <c r="I7" i="53" s="1"/>
  <c r="D77" i="34"/>
  <c r="B11" i="53"/>
  <c r="D81" i="34"/>
  <c r="S11" i="30"/>
  <c r="I11" i="53" s="1"/>
  <c r="B15" i="53"/>
  <c r="D85" i="34"/>
  <c r="N108" i="30"/>
  <c r="N137" i="30"/>
  <c r="N132" i="30"/>
  <c r="N135" i="30"/>
  <c r="R96" i="30"/>
  <c r="B96" i="53" s="1"/>
  <c r="B83" i="53"/>
  <c r="B14" i="52"/>
  <c r="E84" i="34"/>
  <c r="B18" i="52"/>
  <c r="E88" i="34"/>
  <c r="W137" i="30"/>
  <c r="W132" i="30"/>
  <c r="W135" i="30"/>
  <c r="B62" i="52"/>
  <c r="B65" i="52" s="1"/>
  <c r="X95" i="30"/>
  <c r="B95" i="52" s="1"/>
  <c r="B82" i="52"/>
  <c r="B235" i="52"/>
  <c r="B8" i="52"/>
  <c r="Y8" i="30"/>
  <c r="I8" i="52" s="1"/>
  <c r="E78" i="34"/>
  <c r="B13" i="51"/>
  <c r="F83" i="34"/>
  <c r="AA135" i="30"/>
  <c r="AA132" i="30"/>
  <c r="B62" i="51"/>
  <c r="B65" i="51" s="1"/>
  <c r="B9" i="50"/>
  <c r="C79" i="34"/>
  <c r="B8" i="51"/>
  <c r="AE8" i="30"/>
  <c r="I8" i="51" s="1"/>
  <c r="F78" i="34"/>
  <c r="B14" i="51"/>
  <c r="AE14" i="30"/>
  <c r="I14" i="51" s="1"/>
  <c r="F84" i="34"/>
  <c r="AI220" i="30"/>
  <c r="B18" i="50"/>
  <c r="C88" i="34"/>
  <c r="K108" i="30"/>
  <c r="K116" i="30" s="1"/>
  <c r="K137" i="30"/>
  <c r="L137" i="30" s="1"/>
  <c r="B137" i="50" s="1"/>
  <c r="K135" i="30"/>
  <c r="K132" i="30"/>
  <c r="L93" i="30"/>
  <c r="B93" i="50" s="1"/>
  <c r="B80" i="50"/>
  <c r="B9" i="53"/>
  <c r="D79" i="34"/>
  <c r="S9" i="30"/>
  <c r="I9" i="53" s="1"/>
  <c r="B12" i="52"/>
  <c r="Y12" i="30"/>
  <c r="I12" i="52" s="1"/>
  <c r="E82" i="34"/>
  <c r="B7" i="51"/>
  <c r="F77" i="34"/>
  <c r="AE7" i="30"/>
  <c r="I7" i="51" s="1"/>
  <c r="B7" i="50"/>
  <c r="C77" i="34"/>
  <c r="B10" i="53"/>
  <c r="D80" i="34"/>
  <c r="S10" i="30"/>
  <c r="I10" i="53" s="1"/>
  <c r="R95" i="30"/>
  <c r="B95" i="53" s="1"/>
  <c r="B82" i="53"/>
  <c r="B235" i="53"/>
  <c r="B17" i="52"/>
  <c r="E87" i="34"/>
  <c r="B8" i="50"/>
  <c r="C78" i="34"/>
  <c r="I135" i="30"/>
  <c r="I132" i="30"/>
  <c r="B17" i="50"/>
  <c r="C87" i="34"/>
  <c r="M29" i="30"/>
  <c r="B29" i="50"/>
  <c r="J135" i="30"/>
  <c r="J132" i="30"/>
  <c r="J137" i="30"/>
  <c r="B218" i="50"/>
  <c r="B218" i="51"/>
  <c r="B16" i="50"/>
  <c r="C86" i="34"/>
  <c r="B8" i="53"/>
  <c r="D78" i="34"/>
  <c r="S8" i="30"/>
  <c r="I8" i="53" s="1"/>
  <c r="B12" i="53"/>
  <c r="S12" i="30"/>
  <c r="I12" i="53" s="1"/>
  <c r="D82" i="34"/>
  <c r="B16" i="53"/>
  <c r="D86" i="34"/>
  <c r="O135" i="30"/>
  <c r="O132" i="30"/>
  <c r="B62" i="53"/>
  <c r="B65" i="53" s="1"/>
  <c r="R97" i="30"/>
  <c r="B97" i="53" s="1"/>
  <c r="B84" i="53"/>
  <c r="Y7" i="30"/>
  <c r="I7" i="52" s="1"/>
  <c r="B7" i="52"/>
  <c r="E77" i="34"/>
  <c r="B15" i="52"/>
  <c r="E85" i="34"/>
  <c r="B39" i="52"/>
  <c r="B64" i="52" s="1"/>
  <c r="T137" i="30"/>
  <c r="T132" i="30"/>
  <c r="X132" i="30" s="1"/>
  <c r="B132" i="52" s="1"/>
  <c r="T135" i="30"/>
  <c r="T108" i="30"/>
  <c r="X96" i="30"/>
  <c r="B96" i="52" s="1"/>
  <c r="B83" i="52"/>
  <c r="B9" i="52"/>
  <c r="Y9" i="30"/>
  <c r="I9" i="52" s="1"/>
  <c r="E79" i="34"/>
  <c r="B16" i="51"/>
  <c r="F86" i="34"/>
  <c r="AE29" i="30"/>
  <c r="B29" i="51"/>
  <c r="AB137" i="30"/>
  <c r="AB135" i="30"/>
  <c r="AB132" i="30"/>
  <c r="B9" i="51"/>
  <c r="AE9" i="30"/>
  <c r="I9" i="51" s="1"/>
  <c r="F79" i="34"/>
  <c r="B15" i="51"/>
  <c r="F85" i="34"/>
  <c r="AM130" i="38"/>
  <c r="AM131" i="38"/>
  <c r="AL130" i="37"/>
  <c r="AP130" i="37" s="1"/>
  <c r="AL131" i="37"/>
  <c r="AP131" i="37" s="1"/>
  <c r="C68" i="47"/>
  <c r="C220" i="47"/>
  <c r="I255" i="47"/>
  <c r="I259" i="47"/>
  <c r="I250" i="47"/>
  <c r="C228" i="47"/>
  <c r="C237" i="47" s="1"/>
  <c r="I261" i="47"/>
  <c r="I248" i="47"/>
  <c r="R114" i="30"/>
  <c r="B114" i="53" s="1"/>
  <c r="AU126" i="30"/>
  <c r="L111" i="30"/>
  <c r="B111" i="50" s="1"/>
  <c r="R178" i="30"/>
  <c r="B178" i="53" s="1"/>
  <c r="L197" i="30"/>
  <c r="B197" i="50" s="1"/>
  <c r="AR114" i="30"/>
  <c r="AD114" i="30"/>
  <c r="B114" i="51" s="1"/>
  <c r="AD194" i="30"/>
  <c r="B194" i="51" s="1"/>
  <c r="AD197" i="30"/>
  <c r="B197" i="51" s="1"/>
  <c r="AR112" i="30"/>
  <c r="AV112" i="30" s="1"/>
  <c r="B112" i="39" s="1"/>
  <c r="AD107" i="30"/>
  <c r="B107" i="51" s="1"/>
  <c r="AD124" i="30"/>
  <c r="B124" i="51" s="1"/>
  <c r="AM138" i="37"/>
  <c r="AM139" i="37" s="1"/>
  <c r="AM207" i="37" s="1"/>
  <c r="AM220" i="37" s="1"/>
  <c r="AM221" i="37" s="1"/>
  <c r="AR195" i="30"/>
  <c r="AV195" i="30" s="1"/>
  <c r="B195" i="39" s="1"/>
  <c r="B195" i="33"/>
  <c r="AX195" i="33" s="1"/>
  <c r="R5" i="30"/>
  <c r="R87" i="30" s="1"/>
  <c r="B87" i="53" s="1"/>
  <c r="N74" i="30"/>
  <c r="R200" i="30"/>
  <c r="B200" i="53" s="1"/>
  <c r="O23" i="33"/>
  <c r="O79" i="33" s="1"/>
  <c r="O26" i="33"/>
  <c r="O81" i="33" s="1"/>
  <c r="P22" i="33"/>
  <c r="P149" i="33" s="1"/>
  <c r="O24" i="33"/>
  <c r="O80" i="33" s="1"/>
  <c r="AR107" i="30"/>
  <c r="AV107" i="30" s="1"/>
  <c r="B107" i="39" s="1"/>
  <c r="H116" i="33"/>
  <c r="H129" i="33" s="1"/>
  <c r="H131" i="33" s="1"/>
  <c r="N169" i="36"/>
  <c r="R169" i="33"/>
  <c r="C169" i="53" s="1"/>
  <c r="R179" i="30"/>
  <c r="B179" i="53" s="1"/>
  <c r="N179" i="33"/>
  <c r="X107" i="30"/>
  <c r="B107" i="52" s="1"/>
  <c r="X119" i="30"/>
  <c r="B119" i="52" s="1"/>
  <c r="V119" i="33"/>
  <c r="T180" i="36"/>
  <c r="X180" i="33"/>
  <c r="C180" i="52" s="1"/>
  <c r="Z179" i="36"/>
  <c r="AD179" i="33"/>
  <c r="C179" i="51" s="1"/>
  <c r="AD196" i="30"/>
  <c r="B196" i="51" s="1"/>
  <c r="Z196" i="33"/>
  <c r="AB120" i="36"/>
  <c r="AD120" i="33"/>
  <c r="C120" i="51" s="1"/>
  <c r="AL138" i="36"/>
  <c r="AL139" i="36" s="1"/>
  <c r="AL207" i="36" s="1"/>
  <c r="AL220" i="36" s="1"/>
  <c r="AL221" i="36" s="1"/>
  <c r="AP138" i="36"/>
  <c r="AP139" i="36" s="1"/>
  <c r="AP207" i="36" s="1"/>
  <c r="AS79" i="30"/>
  <c r="AT114" i="30"/>
  <c r="AR169" i="30"/>
  <c r="AV169" i="30" s="1"/>
  <c r="B169" i="39" s="1"/>
  <c r="B169" i="33"/>
  <c r="AR179" i="30"/>
  <c r="AV179" i="30" s="1"/>
  <c r="B179" i="39" s="1"/>
  <c r="B179" i="33"/>
  <c r="AR196" i="30"/>
  <c r="AV196" i="30" s="1"/>
  <c r="B196" i="39" s="1"/>
  <c r="B196" i="33"/>
  <c r="AR201" i="30"/>
  <c r="AV201" i="30" s="1"/>
  <c r="B201" i="39" s="1"/>
  <c r="B201" i="33"/>
  <c r="AX201" i="33" s="1"/>
  <c r="L124" i="30"/>
  <c r="B124" i="50" s="1"/>
  <c r="I124" i="33"/>
  <c r="H170" i="36"/>
  <c r="L170" i="33"/>
  <c r="C170" i="50" s="1"/>
  <c r="L180" i="30"/>
  <c r="B180" i="50" s="1"/>
  <c r="H180" i="33"/>
  <c r="H197" i="36"/>
  <c r="L197" i="33"/>
  <c r="C197" i="50" s="1"/>
  <c r="L204" i="30"/>
  <c r="B204" i="50" s="1"/>
  <c r="H204" i="33"/>
  <c r="P116" i="30"/>
  <c r="P129" i="30" s="1"/>
  <c r="P130" i="30" s="1"/>
  <c r="H111" i="36"/>
  <c r="L111" i="33"/>
  <c r="C111" i="50" s="1"/>
  <c r="AT119" i="30"/>
  <c r="AV119" i="30" s="1"/>
  <c r="B119" i="39" s="1"/>
  <c r="D119" i="33"/>
  <c r="N111" i="36"/>
  <c r="R111" i="33"/>
  <c r="C111" i="53" s="1"/>
  <c r="N170" i="36"/>
  <c r="R170" i="33"/>
  <c r="C170" i="53" s="1"/>
  <c r="R180" i="30"/>
  <c r="B180" i="53" s="1"/>
  <c r="N180" i="33"/>
  <c r="R197" i="30"/>
  <c r="B197" i="53" s="1"/>
  <c r="N197" i="33"/>
  <c r="R204" i="30"/>
  <c r="B204" i="53" s="1"/>
  <c r="N204" i="33"/>
  <c r="U151" i="30"/>
  <c r="T111" i="36"/>
  <c r="X111" i="33"/>
  <c r="C111" i="52" s="1"/>
  <c r="X120" i="30"/>
  <c r="B120" i="52" s="1"/>
  <c r="V120" i="33"/>
  <c r="X124" i="30"/>
  <c r="B124" i="52" s="1"/>
  <c r="U124" i="33"/>
  <c r="X174" i="30"/>
  <c r="B174" i="52" s="1"/>
  <c r="T174" i="33"/>
  <c r="T194" i="36"/>
  <c r="X194" i="33"/>
  <c r="C194" i="52" s="1"/>
  <c r="X199" i="30"/>
  <c r="B199" i="52" s="1"/>
  <c r="T199" i="33"/>
  <c r="AA116" i="30"/>
  <c r="AA129" i="30" s="1"/>
  <c r="AA130" i="30" s="1"/>
  <c r="AD120" i="30"/>
  <c r="B120" i="51" s="1"/>
  <c r="AD179" i="30"/>
  <c r="B179" i="51" s="1"/>
  <c r="Z194" i="36"/>
  <c r="AD194" i="33"/>
  <c r="C194" i="51" s="1"/>
  <c r="Z197" i="36"/>
  <c r="AD197" i="33"/>
  <c r="C197" i="51" s="1"/>
  <c r="AD199" i="30"/>
  <c r="B199" i="51" s="1"/>
  <c r="Z199" i="33"/>
  <c r="Z107" i="36"/>
  <c r="AD107" i="33"/>
  <c r="C107" i="51" s="1"/>
  <c r="AA124" i="36"/>
  <c r="AA128" i="33"/>
  <c r="AD124" i="33"/>
  <c r="C124" i="51" s="1"/>
  <c r="AD121" i="30"/>
  <c r="B121" i="51" s="1"/>
  <c r="AB121" i="33"/>
  <c r="AP68" i="33"/>
  <c r="AP220" i="33"/>
  <c r="AP221" i="33" s="1"/>
  <c r="AR178" i="30"/>
  <c r="AV178" i="30" s="1"/>
  <c r="B178" i="33"/>
  <c r="I94" i="30"/>
  <c r="L179" i="30"/>
  <c r="B179" i="50" s="1"/>
  <c r="H179" i="33"/>
  <c r="L196" i="30"/>
  <c r="B196" i="50" s="1"/>
  <c r="H196" i="33"/>
  <c r="J123" i="36"/>
  <c r="L123" i="33"/>
  <c r="C123" i="50" s="1"/>
  <c r="R196" i="30"/>
  <c r="B196" i="53" s="1"/>
  <c r="N196" i="33"/>
  <c r="X123" i="30"/>
  <c r="B123" i="52" s="1"/>
  <c r="V123" i="33"/>
  <c r="T198" i="36"/>
  <c r="X198" i="33"/>
  <c r="C198" i="52" s="1"/>
  <c r="AD202" i="30"/>
  <c r="B202" i="51" s="1"/>
  <c r="Z202" i="33"/>
  <c r="C67" i="43"/>
  <c r="AA116" i="33"/>
  <c r="AD123" i="30"/>
  <c r="B123" i="51" s="1"/>
  <c r="AB123" i="33"/>
  <c r="AD178" i="30"/>
  <c r="B178" i="51" s="1"/>
  <c r="Z178" i="33"/>
  <c r="AR10" i="30"/>
  <c r="AV10" i="30" s="1"/>
  <c r="B10" i="39" s="1"/>
  <c r="C42" i="43" s="1"/>
  <c r="AS80" i="30"/>
  <c r="AR111" i="30"/>
  <c r="AV111" i="30" s="1"/>
  <c r="B111" i="39" s="1"/>
  <c r="B111" i="33"/>
  <c r="AR170" i="30"/>
  <c r="AV170" i="30" s="1"/>
  <c r="B170" i="39" s="1"/>
  <c r="B170" i="33"/>
  <c r="AR180" i="30"/>
  <c r="AV180" i="30" s="1"/>
  <c r="B180" i="39" s="1"/>
  <c r="B180" i="33"/>
  <c r="AR197" i="30"/>
  <c r="AV197" i="30" s="1"/>
  <c r="B197" i="39" s="1"/>
  <c r="B197" i="33"/>
  <c r="AX197" i="33" s="1"/>
  <c r="AR202" i="30"/>
  <c r="AV202" i="30" s="1"/>
  <c r="B202" i="39" s="1"/>
  <c r="B202" i="33"/>
  <c r="L169" i="30"/>
  <c r="B169" i="50" s="1"/>
  <c r="L107" i="30"/>
  <c r="B107" i="50" s="1"/>
  <c r="H174" i="36"/>
  <c r="L174" i="33"/>
  <c r="C174" i="50" s="1"/>
  <c r="H198" i="36"/>
  <c r="L198" i="33"/>
  <c r="C198" i="50" s="1"/>
  <c r="R149" i="30"/>
  <c r="B149" i="53" s="1"/>
  <c r="R169" i="30"/>
  <c r="B169" i="53" s="1"/>
  <c r="J119" i="36"/>
  <c r="L119" i="33"/>
  <c r="C119" i="50" s="1"/>
  <c r="R107" i="30"/>
  <c r="B107" i="53" s="1"/>
  <c r="AT121" i="30"/>
  <c r="AV121" i="30" s="1"/>
  <c r="B121" i="39" s="1"/>
  <c r="P121" i="33"/>
  <c r="AZ121" i="33" s="1"/>
  <c r="R174" i="30"/>
  <c r="B174" i="53" s="1"/>
  <c r="N174" i="33"/>
  <c r="R198" i="30"/>
  <c r="B198" i="53" s="1"/>
  <c r="N198" i="33"/>
  <c r="X180" i="30"/>
  <c r="X121" i="30"/>
  <c r="B121" i="52" s="1"/>
  <c r="V121" i="33"/>
  <c r="T178" i="36"/>
  <c r="X178" i="33"/>
  <c r="C178" i="52" s="1"/>
  <c r="T181" i="33"/>
  <c r="X196" i="30"/>
  <c r="B196" i="52" s="1"/>
  <c r="T196" i="33"/>
  <c r="X202" i="30"/>
  <c r="B202" i="52" s="1"/>
  <c r="T202" i="33"/>
  <c r="AD169" i="30"/>
  <c r="B169" i="51" s="1"/>
  <c r="B176" i="51" s="1"/>
  <c r="Z169" i="33"/>
  <c r="Z174" i="36"/>
  <c r="AD174" i="33"/>
  <c r="C174" i="51" s="1"/>
  <c r="Z180" i="36"/>
  <c r="AD180" i="33"/>
  <c r="C180" i="51" s="1"/>
  <c r="AD204" i="30"/>
  <c r="B204" i="51" s="1"/>
  <c r="Z204" i="33"/>
  <c r="C68" i="43"/>
  <c r="AD111" i="30"/>
  <c r="B111" i="51" s="1"/>
  <c r="Z111" i="33"/>
  <c r="AB122" i="36"/>
  <c r="AD122" i="33"/>
  <c r="C122" i="51" s="1"/>
  <c r="AP124" i="42"/>
  <c r="AP128" i="42" s="1"/>
  <c r="AM128" i="42"/>
  <c r="AM129" i="42" s="1"/>
  <c r="AR199" i="30"/>
  <c r="AV199" i="30" s="1"/>
  <c r="B199" i="39" s="1"/>
  <c r="B199" i="33"/>
  <c r="H169" i="36"/>
  <c r="L169" i="33"/>
  <c r="C169" i="50" s="1"/>
  <c r="C176" i="50" s="1"/>
  <c r="H176" i="33"/>
  <c r="L202" i="30"/>
  <c r="B202" i="50" s="1"/>
  <c r="H202" i="33"/>
  <c r="O106" i="36"/>
  <c r="AY106" i="36" s="1"/>
  <c r="BB106" i="36" s="1"/>
  <c r="BB106" i="33"/>
  <c r="C106" i="39" s="1"/>
  <c r="O116" i="33"/>
  <c r="R106" i="33"/>
  <c r="C106" i="53" s="1"/>
  <c r="R202" i="30"/>
  <c r="B202" i="53" s="1"/>
  <c r="N202" i="33"/>
  <c r="X170" i="30"/>
  <c r="B170" i="52" s="1"/>
  <c r="B176" i="52" s="1"/>
  <c r="T170" i="33"/>
  <c r="AS124" i="30"/>
  <c r="AS128" i="30" s="1"/>
  <c r="C124" i="33"/>
  <c r="AR174" i="30"/>
  <c r="AV174" i="30" s="1"/>
  <c r="B174" i="39" s="1"/>
  <c r="B174" i="33"/>
  <c r="AR194" i="30"/>
  <c r="AV194" i="30" s="1"/>
  <c r="B194" i="39" s="1"/>
  <c r="B194" i="33"/>
  <c r="AR198" i="30"/>
  <c r="AV198" i="30" s="1"/>
  <c r="B198" i="39" s="1"/>
  <c r="B198" i="33"/>
  <c r="AX198" i="33" s="1"/>
  <c r="AR204" i="30"/>
  <c r="AV204" i="30" s="1"/>
  <c r="B204" i="39" s="1"/>
  <c r="B204" i="33"/>
  <c r="L12" i="30"/>
  <c r="L178" i="30"/>
  <c r="H178" i="33"/>
  <c r="H194" i="36"/>
  <c r="L194" i="33"/>
  <c r="C194" i="50" s="1"/>
  <c r="L199" i="30"/>
  <c r="B199" i="50" s="1"/>
  <c r="H199" i="33"/>
  <c r="O151" i="30"/>
  <c r="H105" i="36"/>
  <c r="L105" i="33"/>
  <c r="C105" i="50" s="1"/>
  <c r="AT120" i="30"/>
  <c r="AV120" i="30" s="1"/>
  <c r="B120" i="39" s="1"/>
  <c r="J120" i="33"/>
  <c r="R124" i="30"/>
  <c r="B124" i="53" s="1"/>
  <c r="B128" i="53" s="1"/>
  <c r="O124" i="33"/>
  <c r="N178" i="36"/>
  <c r="R178" i="33"/>
  <c r="C178" i="53" s="1"/>
  <c r="R194" i="30"/>
  <c r="B194" i="53" s="1"/>
  <c r="N194" i="33"/>
  <c r="R199" i="30"/>
  <c r="B199" i="53" s="1"/>
  <c r="N199" i="33"/>
  <c r="X105" i="30"/>
  <c r="B105" i="52" s="1"/>
  <c r="B116" i="52" s="1"/>
  <c r="AT122" i="30"/>
  <c r="AV122" i="30" s="1"/>
  <c r="B122" i="39" s="1"/>
  <c r="V122" i="33"/>
  <c r="AZ122" i="33" s="1"/>
  <c r="T169" i="36"/>
  <c r="X169" i="33"/>
  <c r="C169" i="52" s="1"/>
  <c r="T179" i="36"/>
  <c r="X179" i="33"/>
  <c r="C179" i="52" s="1"/>
  <c r="T197" i="36"/>
  <c r="X197" i="33"/>
  <c r="C197" i="52" s="1"/>
  <c r="X204" i="30"/>
  <c r="B204" i="52" s="1"/>
  <c r="T204" i="33"/>
  <c r="AD105" i="30"/>
  <c r="B105" i="51" s="1"/>
  <c r="AD174" i="30"/>
  <c r="B174" i="51" s="1"/>
  <c r="AD180" i="30"/>
  <c r="B180" i="51" s="1"/>
  <c r="Z198" i="36"/>
  <c r="AD198" i="33"/>
  <c r="C198" i="51" s="1"/>
  <c r="I105" i="36"/>
  <c r="I116" i="33"/>
  <c r="AD119" i="30"/>
  <c r="B119" i="51" s="1"/>
  <c r="AB119" i="33"/>
  <c r="AD170" i="30"/>
  <c r="B170" i="51" s="1"/>
  <c r="Z170" i="33"/>
  <c r="AL105" i="42"/>
  <c r="AP105" i="38"/>
  <c r="AP116" i="38" s="1"/>
  <c r="AP129" i="38" s="1"/>
  <c r="AL116" i="38"/>
  <c r="AL129" i="38" s="1"/>
  <c r="AP70" i="37"/>
  <c r="C63" i="43"/>
  <c r="C38" i="43"/>
  <c r="C17" i="43" s="1"/>
  <c r="C64" i="43"/>
  <c r="C66" i="43"/>
  <c r="C62" i="43"/>
  <c r="I151" i="30"/>
  <c r="L113" i="30"/>
  <c r="B113" i="50" s="1"/>
  <c r="R110" i="30"/>
  <c r="B110" i="53" s="1"/>
  <c r="R106" i="30"/>
  <c r="B106" i="53" s="1"/>
  <c r="AS106" i="30"/>
  <c r="AV106" i="30" s="1"/>
  <c r="B106" i="39" s="1"/>
  <c r="AR105" i="30"/>
  <c r="L123" i="30"/>
  <c r="B123" i="50" s="1"/>
  <c r="AT123" i="30"/>
  <c r="AV123" i="30" s="1"/>
  <c r="B123" i="39" s="1"/>
  <c r="W64" i="30"/>
  <c r="W66" i="30" s="1"/>
  <c r="X79" i="30"/>
  <c r="W116" i="30"/>
  <c r="AC64" i="30"/>
  <c r="AC66" i="30" s="1"/>
  <c r="AV126" i="30"/>
  <c r="B126" i="39" s="1"/>
  <c r="AU128" i="30"/>
  <c r="L114" i="30"/>
  <c r="B114" i="50" s="1"/>
  <c r="L142" i="30"/>
  <c r="B142" i="50" s="1"/>
  <c r="AR142" i="30"/>
  <c r="AV142" i="30" s="1"/>
  <c r="B142" i="39" s="1"/>
  <c r="X114" i="30"/>
  <c r="B114" i="52" s="1"/>
  <c r="AD82" i="30"/>
  <c r="AS105" i="30"/>
  <c r="R81" i="30"/>
  <c r="Q128" i="30"/>
  <c r="X108" i="30"/>
  <c r="B108" i="52" s="1"/>
  <c r="AD78" i="30"/>
  <c r="AT113" i="30"/>
  <c r="I116" i="30"/>
  <c r="J64" i="30"/>
  <c r="J66" i="30" s="1"/>
  <c r="L78" i="30"/>
  <c r="AR104" i="30"/>
  <c r="AV104" i="30" s="1"/>
  <c r="B104" i="39" s="1"/>
  <c r="U64" i="30"/>
  <c r="U66" i="30" s="1"/>
  <c r="X149" i="30"/>
  <c r="B149" i="52" s="1"/>
  <c r="AA64" i="30"/>
  <c r="AA66" i="30" s="1"/>
  <c r="AD79" i="30"/>
  <c r="AD81" i="30"/>
  <c r="AA151" i="30"/>
  <c r="AR14" i="30"/>
  <c r="AV14" i="30" s="1"/>
  <c r="B14" i="39" s="1"/>
  <c r="C46" i="43" s="1"/>
  <c r="C25" i="43" s="1"/>
  <c r="AD113" i="30"/>
  <c r="B113" i="51" s="1"/>
  <c r="AD110" i="30"/>
  <c r="B110" i="51" s="1"/>
  <c r="AT110" i="30"/>
  <c r="AP98" i="30"/>
  <c r="AG220" i="30"/>
  <c r="AJ86" i="30"/>
  <c r="AF207" i="30"/>
  <c r="AF220" i="30" s="1"/>
  <c r="AB116" i="30"/>
  <c r="Z181" i="30"/>
  <c r="AB128" i="30"/>
  <c r="AD126" i="30"/>
  <c r="B126" i="51" s="1"/>
  <c r="Z66" i="30"/>
  <c r="AD62" i="30"/>
  <c r="AD65" i="30" s="1"/>
  <c r="AA94" i="30"/>
  <c r="AD149" i="30"/>
  <c r="B149" i="51" s="1"/>
  <c r="Z5" i="30"/>
  <c r="L105" i="30"/>
  <c r="B105" i="50" s="1"/>
  <c r="Z19" i="30"/>
  <c r="AD39" i="30"/>
  <c r="AD64" i="30" s="1"/>
  <c r="Z176" i="30"/>
  <c r="AD6" i="30"/>
  <c r="AB64" i="30"/>
  <c r="AB66" i="30" s="1"/>
  <c r="AD77" i="30"/>
  <c r="AD80" i="30"/>
  <c r="AD104" i="30"/>
  <c r="B104" i="51" s="1"/>
  <c r="AC116" i="30"/>
  <c r="AC129" i="30" s="1"/>
  <c r="AC130" i="30" s="1"/>
  <c r="T176" i="30"/>
  <c r="V128" i="30"/>
  <c r="V116" i="30"/>
  <c r="U116" i="30"/>
  <c r="U129" i="30" s="1"/>
  <c r="U130" i="30" s="1"/>
  <c r="X113" i="30"/>
  <c r="B113" i="52" s="1"/>
  <c r="X62" i="30"/>
  <c r="X65" i="30" s="1"/>
  <c r="X80" i="30"/>
  <c r="T5" i="30"/>
  <c r="T19" i="30"/>
  <c r="X6" i="30"/>
  <c r="V66" i="30"/>
  <c r="X78" i="30"/>
  <c r="T116" i="30"/>
  <c r="T129" i="30" s="1"/>
  <c r="T130" i="30" s="1"/>
  <c r="X81" i="30"/>
  <c r="U89" i="30"/>
  <c r="X106" i="30"/>
  <c r="B106" i="52" s="1"/>
  <c r="T64" i="30"/>
  <c r="T66" i="30" s="1"/>
  <c r="X110" i="30"/>
  <c r="B110" i="52" s="1"/>
  <c r="W128" i="30"/>
  <c r="T181" i="30"/>
  <c r="X194" i="30"/>
  <c r="B194" i="52" s="1"/>
  <c r="X39" i="30"/>
  <c r="X64" i="30" s="1"/>
  <c r="X77" i="30"/>
  <c r="O128" i="30"/>
  <c r="R113" i="30"/>
  <c r="B113" i="53" s="1"/>
  <c r="R128" i="30"/>
  <c r="R62" i="30"/>
  <c r="R65" i="30" s="1"/>
  <c r="R39" i="30"/>
  <c r="R64" i="30" s="1"/>
  <c r="N64" i="30"/>
  <c r="N66" i="30" s="1"/>
  <c r="R80" i="30"/>
  <c r="R78" i="30"/>
  <c r="O116" i="30"/>
  <c r="Q192" i="30"/>
  <c r="R146" i="30"/>
  <c r="B146" i="53" s="1"/>
  <c r="Q76" i="30"/>
  <c r="R161" i="30"/>
  <c r="B161" i="53" s="1"/>
  <c r="R148" i="30"/>
  <c r="B148" i="53" s="1"/>
  <c r="R145" i="30"/>
  <c r="B145" i="53" s="1"/>
  <c r="S30" i="30"/>
  <c r="R19" i="30"/>
  <c r="S4" i="48" s="1"/>
  <c r="T17" i="48" s="1"/>
  <c r="T26" i="48" s="1"/>
  <c r="H47" i="48" s="1"/>
  <c r="N75" i="30"/>
  <c r="R75" i="30" s="1"/>
  <c r="B75" i="53" s="1"/>
  <c r="N176" i="30"/>
  <c r="R6" i="30"/>
  <c r="S29" i="30"/>
  <c r="P64" i="30"/>
  <c r="P66" i="30" s="1"/>
  <c r="R77" i="30"/>
  <c r="N88" i="30"/>
  <c r="O64" i="30"/>
  <c r="O66" i="30" s="1"/>
  <c r="Q64" i="30"/>
  <c r="Q66" i="30" s="1"/>
  <c r="O94" i="30"/>
  <c r="N181" i="30"/>
  <c r="R79" i="30"/>
  <c r="N87" i="30"/>
  <c r="Q116" i="30"/>
  <c r="Q129" i="30" s="1"/>
  <c r="Q130" i="30" s="1"/>
  <c r="R105" i="30"/>
  <c r="B105" i="53" s="1"/>
  <c r="L108" i="30"/>
  <c r="B108" i="50" s="1"/>
  <c r="H176" i="30"/>
  <c r="J128" i="30"/>
  <c r="L126" i="30"/>
  <c r="B126" i="50" s="1"/>
  <c r="K129" i="30"/>
  <c r="K130" i="30" s="1"/>
  <c r="J116" i="30"/>
  <c r="L62" i="30"/>
  <c r="L65" i="30" s="1"/>
  <c r="H64" i="30"/>
  <c r="H66" i="30" s="1"/>
  <c r="L39" i="30"/>
  <c r="L64" i="30" s="1"/>
  <c r="J151" i="30"/>
  <c r="H5" i="30"/>
  <c r="H74" i="30" s="1"/>
  <c r="L6" i="30"/>
  <c r="I64" i="30"/>
  <c r="I66" i="30" s="1"/>
  <c r="L79" i="30"/>
  <c r="L119" i="30"/>
  <c r="B119" i="50" s="1"/>
  <c r="H181" i="30"/>
  <c r="L194" i="30"/>
  <c r="B194" i="50" s="1"/>
  <c r="L77" i="30"/>
  <c r="H19" i="30"/>
  <c r="K64" i="30"/>
  <c r="K66" i="30" s="1"/>
  <c r="L174" i="30"/>
  <c r="H93" i="30"/>
  <c r="I90" i="30"/>
  <c r="I128" i="30"/>
  <c r="L81" i="30"/>
  <c r="B66" i="52" l="1"/>
  <c r="AX174" i="33"/>
  <c r="B128" i="50"/>
  <c r="B116" i="50"/>
  <c r="B129" i="50" s="1"/>
  <c r="H205" i="33"/>
  <c r="AX170" i="33"/>
  <c r="AZ123" i="33"/>
  <c r="BB123" i="33" s="1"/>
  <c r="C123" i="39" s="1"/>
  <c r="B128" i="52"/>
  <c r="B129" i="52" s="1"/>
  <c r="B70" i="52" s="1"/>
  <c r="C225" i="47"/>
  <c r="P110" i="54"/>
  <c r="C263" i="47"/>
  <c r="I263" i="47"/>
  <c r="AC133" i="30"/>
  <c r="AC131" i="30"/>
  <c r="AC158" i="30"/>
  <c r="AC85" i="30" s="1"/>
  <c r="AC98" i="30" s="1"/>
  <c r="H148" i="30"/>
  <c r="H141" i="30"/>
  <c r="K183" i="30"/>
  <c r="J154" i="30"/>
  <c r="H145" i="30"/>
  <c r="H146" i="30"/>
  <c r="H200" i="30"/>
  <c r="H161" i="30"/>
  <c r="H147" i="30"/>
  <c r="H157" i="30"/>
  <c r="T133" i="30"/>
  <c r="T131" i="30"/>
  <c r="T158" i="30"/>
  <c r="Y6" i="30"/>
  <c r="I6" i="52" s="1"/>
  <c r="I19" i="52" s="1"/>
  <c r="B6" i="52"/>
  <c r="B19" i="52" s="1"/>
  <c r="E76" i="34"/>
  <c r="E89" i="34" s="1"/>
  <c r="X181" i="30"/>
  <c r="B180" i="52"/>
  <c r="B181" i="52" s="1"/>
  <c r="L181" i="30"/>
  <c r="B178" i="50"/>
  <c r="C65" i="43"/>
  <c r="C21" i="43"/>
  <c r="B181" i="53"/>
  <c r="AX179" i="33"/>
  <c r="B128" i="51"/>
  <c r="B39" i="51"/>
  <c r="B64" i="51" s="1"/>
  <c r="B66" i="51" s="1"/>
  <c r="R137" i="30"/>
  <c r="B137" i="53" s="1"/>
  <c r="L135" i="30"/>
  <c r="B135" i="50" s="1"/>
  <c r="AD135" i="30"/>
  <c r="B135" i="51" s="1"/>
  <c r="R90" i="30"/>
  <c r="B90" i="53" s="1"/>
  <c r="B77" i="53"/>
  <c r="AD93" i="30"/>
  <c r="B93" i="51" s="1"/>
  <c r="B80" i="51"/>
  <c r="AD91" i="30"/>
  <c r="B91" i="51" s="1"/>
  <c r="B78" i="51"/>
  <c r="R132" i="30"/>
  <c r="B132" i="53" s="1"/>
  <c r="N163" i="30"/>
  <c r="N165" i="30"/>
  <c r="R165" i="30" s="1"/>
  <c r="B165" i="53" s="1"/>
  <c r="N164" i="30"/>
  <c r="P133" i="30"/>
  <c r="P131" i="30"/>
  <c r="P158" i="30"/>
  <c r="X91" i="30"/>
  <c r="B91" i="52" s="1"/>
  <c r="B78" i="52"/>
  <c r="AD90" i="30"/>
  <c r="B90" i="51" s="1"/>
  <c r="B77" i="51"/>
  <c r="AD94" i="30"/>
  <c r="B94" i="51" s="1"/>
  <c r="B81" i="51"/>
  <c r="U158" i="30"/>
  <c r="U131" i="30"/>
  <c r="U133" i="30"/>
  <c r="AD95" i="30"/>
  <c r="B95" i="51" s="1"/>
  <c r="B82" i="51"/>
  <c r="I129" i="30"/>
  <c r="I130" i="30" s="1"/>
  <c r="L176" i="30"/>
  <c r="B174" i="50"/>
  <c r="I158" i="30"/>
  <c r="I133" i="30"/>
  <c r="R92" i="30"/>
  <c r="B92" i="53" s="1"/>
  <c r="B79" i="53"/>
  <c r="O158" i="30"/>
  <c r="O133" i="30"/>
  <c r="R176" i="30"/>
  <c r="R93" i="30"/>
  <c r="B93" i="53" s="1"/>
  <c r="B80" i="53"/>
  <c r="X90" i="30"/>
  <c r="B90" i="52" s="1"/>
  <c r="B77" i="52"/>
  <c r="W129" i="30"/>
  <c r="W130" i="30" s="1"/>
  <c r="X176" i="30"/>
  <c r="AB158" i="30"/>
  <c r="AB133" i="30"/>
  <c r="Z200" i="30"/>
  <c r="AC183" i="30"/>
  <c r="Z148" i="30"/>
  <c r="Z161" i="30"/>
  <c r="Z147" i="30"/>
  <c r="Z146" i="30"/>
  <c r="AD146" i="30" s="1"/>
  <c r="B146" i="51" s="1"/>
  <c r="AB154" i="30"/>
  <c r="AD154" i="30" s="1"/>
  <c r="B154" i="51" s="1"/>
  <c r="Z145" i="30"/>
  <c r="Z157" i="30"/>
  <c r="Z141" i="30"/>
  <c r="Z133" i="30"/>
  <c r="Z158" i="30"/>
  <c r="AD92" i="30"/>
  <c r="B92" i="51" s="1"/>
  <c r="B79" i="51"/>
  <c r="X92" i="30"/>
  <c r="B92" i="52" s="1"/>
  <c r="B79" i="52"/>
  <c r="B205" i="53"/>
  <c r="B12" i="50"/>
  <c r="C82" i="34"/>
  <c r="AX199" i="33"/>
  <c r="BB199" i="33" s="1"/>
  <c r="C199" i="39" s="1"/>
  <c r="B176" i="53"/>
  <c r="AX202" i="33"/>
  <c r="BB202" i="33" s="1"/>
  <c r="C202" i="39" s="1"/>
  <c r="AX180" i="33"/>
  <c r="AX111" i="33"/>
  <c r="BB111" i="33" s="1"/>
  <c r="C111" i="39" s="1"/>
  <c r="AZ119" i="33"/>
  <c r="B39" i="50"/>
  <c r="B64" i="50" s="1"/>
  <c r="B66" i="50" s="1"/>
  <c r="I12" i="39"/>
  <c r="B66" i="53"/>
  <c r="AA133" i="30"/>
  <c r="AA131" i="30"/>
  <c r="AA138" i="30" s="1"/>
  <c r="AA139" i="30" s="1"/>
  <c r="AA158" i="30"/>
  <c r="J158" i="30"/>
  <c r="J133" i="30"/>
  <c r="B181" i="50"/>
  <c r="X135" i="30"/>
  <c r="B135" i="52" s="1"/>
  <c r="L94" i="30"/>
  <c r="B94" i="50" s="1"/>
  <c r="B81" i="50"/>
  <c r="L90" i="30"/>
  <c r="B90" i="50" s="1"/>
  <c r="B77" i="50"/>
  <c r="L92" i="30"/>
  <c r="B92" i="50" s="1"/>
  <c r="B79" i="50"/>
  <c r="Q133" i="30"/>
  <c r="Q131" i="30"/>
  <c r="Q158" i="30"/>
  <c r="Q85" i="30" s="1"/>
  <c r="Q98" i="30" s="1"/>
  <c r="R91" i="30"/>
  <c r="B91" i="53" s="1"/>
  <c r="B78" i="53"/>
  <c r="R181" i="30"/>
  <c r="W183" i="30"/>
  <c r="T148" i="30"/>
  <c r="V154" i="30"/>
  <c r="X154" i="30" s="1"/>
  <c r="B154" i="52" s="1"/>
  <c r="T145" i="30"/>
  <c r="T200" i="30"/>
  <c r="T157" i="30"/>
  <c r="T146" i="30"/>
  <c r="X146" i="30" s="1"/>
  <c r="B146" i="52" s="1"/>
  <c r="T161" i="30"/>
  <c r="T147" i="30"/>
  <c r="T141" i="30"/>
  <c r="B69" i="52"/>
  <c r="K131" i="30"/>
  <c r="K158" i="30"/>
  <c r="K85" i="30" s="1"/>
  <c r="K98" i="30" s="1"/>
  <c r="K133" i="30"/>
  <c r="B6" i="50"/>
  <c r="B19" i="50" s="1"/>
  <c r="C76" i="34"/>
  <c r="H158" i="30"/>
  <c r="H133" i="30"/>
  <c r="B6" i="53"/>
  <c r="B19" i="53" s="1"/>
  <c r="D76" i="34"/>
  <c r="D89" i="34" s="1"/>
  <c r="S6" i="30"/>
  <c r="I6" i="53" s="1"/>
  <c r="I19" i="53" s="1"/>
  <c r="I29" i="53" s="1"/>
  <c r="H60" i="48"/>
  <c r="O60" i="48" s="1"/>
  <c r="H61" i="48"/>
  <c r="O61" i="48" s="1"/>
  <c r="H57" i="48"/>
  <c r="O57" i="48" s="1"/>
  <c r="H58" i="48"/>
  <c r="O58" i="48" s="1"/>
  <c r="H59" i="48"/>
  <c r="O59" i="48" s="1"/>
  <c r="N133" i="30"/>
  <c r="N158" i="30"/>
  <c r="X94" i="30"/>
  <c r="B94" i="52" s="1"/>
  <c r="B81" i="52"/>
  <c r="V158" i="30"/>
  <c r="V133" i="30"/>
  <c r="X93" i="30"/>
  <c r="B93" i="52" s="1"/>
  <c r="B80" i="52"/>
  <c r="B6" i="51"/>
  <c r="B19" i="51" s="1"/>
  <c r="F76" i="34"/>
  <c r="F89" i="34" s="1"/>
  <c r="AE6" i="30"/>
  <c r="I6" i="51" s="1"/>
  <c r="I19" i="51" s="1"/>
  <c r="I29" i="51" s="1"/>
  <c r="L91" i="30"/>
  <c r="B91" i="50" s="1"/>
  <c r="B78" i="50"/>
  <c r="R94" i="30"/>
  <c r="B94" i="53" s="1"/>
  <c r="B81" i="53"/>
  <c r="W133" i="30"/>
  <c r="W131" i="30"/>
  <c r="W158" i="30"/>
  <c r="W85" i="30" s="1"/>
  <c r="W98" i="30" s="1"/>
  <c r="J128" i="33"/>
  <c r="J129" i="33" s="1"/>
  <c r="J131" i="33" s="1"/>
  <c r="AZ120" i="33"/>
  <c r="BB120" i="33" s="1"/>
  <c r="C120" i="39" s="1"/>
  <c r="AX204" i="33"/>
  <c r="BB204" i="33" s="1"/>
  <c r="C204" i="39" s="1"/>
  <c r="AX194" i="33"/>
  <c r="AY124" i="33"/>
  <c r="B181" i="51"/>
  <c r="AX178" i="33"/>
  <c r="AX196" i="33"/>
  <c r="AX169" i="33"/>
  <c r="C181" i="52"/>
  <c r="I14" i="39"/>
  <c r="R135" i="30"/>
  <c r="B135" i="53" s="1"/>
  <c r="I15" i="50"/>
  <c r="I19" i="50" s="1"/>
  <c r="I29" i="50" s="1"/>
  <c r="I15" i="39"/>
  <c r="C117" i="45" s="1"/>
  <c r="C127" i="45" s="1"/>
  <c r="I13" i="39"/>
  <c r="I29" i="52"/>
  <c r="AM130" i="42"/>
  <c r="AM131" i="42"/>
  <c r="AL131" i="38"/>
  <c r="AP131" i="38" s="1"/>
  <c r="AL130" i="38"/>
  <c r="AP130" i="38" s="1"/>
  <c r="C242" i="47"/>
  <c r="C243" i="47" s="1"/>
  <c r="C221" i="47"/>
  <c r="X128" i="30"/>
  <c r="AV114" i="30"/>
  <c r="B114" i="39" s="1"/>
  <c r="AT128" i="30"/>
  <c r="AV124" i="30"/>
  <c r="B124" i="39" s="1"/>
  <c r="B128" i="39" s="1"/>
  <c r="AD176" i="30"/>
  <c r="R205" i="30"/>
  <c r="N205" i="30"/>
  <c r="B19" i="39"/>
  <c r="AA129" i="33"/>
  <c r="AA131" i="33" s="1"/>
  <c r="N181" i="33"/>
  <c r="AD181" i="30"/>
  <c r="AM138" i="38"/>
  <c r="AM139" i="38" s="1"/>
  <c r="AM207" i="38" s="1"/>
  <c r="AM220" i="38" s="1"/>
  <c r="AM221" i="38" s="1"/>
  <c r="T205" i="33"/>
  <c r="Z205" i="33"/>
  <c r="AY116" i="33"/>
  <c r="AV181" i="30"/>
  <c r="B178" i="39"/>
  <c r="B181" i="39" s="1"/>
  <c r="BB105" i="33"/>
  <c r="AD5" i="30"/>
  <c r="AD87" i="30" s="1"/>
  <c r="B87" i="51" s="1"/>
  <c r="Z74" i="30"/>
  <c r="Z170" i="36"/>
  <c r="AD170" i="33"/>
  <c r="C170" i="51" s="1"/>
  <c r="N194" i="36"/>
  <c r="R194" i="33"/>
  <c r="C194" i="53" s="1"/>
  <c r="N205" i="33"/>
  <c r="H105" i="37"/>
  <c r="L105" i="36"/>
  <c r="D105" i="50" s="1"/>
  <c r="B198" i="36"/>
  <c r="F198" i="33"/>
  <c r="C198" i="49" s="1"/>
  <c r="BB198" i="33"/>
  <c r="C198" i="39" s="1"/>
  <c r="H202" i="36"/>
  <c r="L202" i="33"/>
  <c r="C202" i="50" s="1"/>
  <c r="V121" i="36"/>
  <c r="X121" i="33"/>
  <c r="C121" i="52" s="1"/>
  <c r="B170" i="36"/>
  <c r="F170" i="33"/>
  <c r="C170" i="49" s="1"/>
  <c r="BB170" i="33"/>
  <c r="C170" i="39" s="1"/>
  <c r="AA116" i="36"/>
  <c r="T194" i="37"/>
  <c r="X194" i="36"/>
  <c r="D194" i="52" s="1"/>
  <c r="T111" i="37"/>
  <c r="X111" i="36"/>
  <c r="D111" i="52" s="1"/>
  <c r="N197" i="36"/>
  <c r="R197" i="33"/>
  <c r="C197" i="53" s="1"/>
  <c r="D119" i="36"/>
  <c r="D128" i="33"/>
  <c r="D129" i="33" s="1"/>
  <c r="D131" i="33" s="1"/>
  <c r="F119" i="33"/>
  <c r="C119" i="49" s="1"/>
  <c r="B179" i="36"/>
  <c r="BB179" i="33"/>
  <c r="C179" i="39" s="1"/>
  <c r="F179" i="33"/>
  <c r="C179" i="49" s="1"/>
  <c r="O23" i="36"/>
  <c r="O79" i="36" s="1"/>
  <c r="R79" i="36" s="1"/>
  <c r="D79" i="53" s="1"/>
  <c r="R23" i="33"/>
  <c r="C23" i="53" s="1"/>
  <c r="J23" i="53" s="1"/>
  <c r="C69" i="43"/>
  <c r="T204" i="36"/>
  <c r="X204" i="33"/>
  <c r="C204" i="52" s="1"/>
  <c r="T169" i="37"/>
  <c r="X169" i="36"/>
  <c r="D169" i="52" s="1"/>
  <c r="O124" i="36"/>
  <c r="O128" i="33"/>
  <c r="O129" i="33" s="1"/>
  <c r="O131" i="33" s="1"/>
  <c r="R124" i="33"/>
  <c r="C124" i="53" s="1"/>
  <c r="H130" i="33"/>
  <c r="B199" i="36"/>
  <c r="F199" i="33"/>
  <c r="C199" i="49" s="1"/>
  <c r="AP138" i="37"/>
  <c r="AP139" i="37" s="1"/>
  <c r="AP207" i="37" s="1"/>
  <c r="AL138" i="37"/>
  <c r="AL139" i="37" s="1"/>
  <c r="AL207" i="37" s="1"/>
  <c r="AL220" i="37" s="1"/>
  <c r="AL221" i="37" s="1"/>
  <c r="Z111" i="36"/>
  <c r="AD111" i="33"/>
  <c r="C111" i="51" s="1"/>
  <c r="Z204" i="36"/>
  <c r="AD204" i="33"/>
  <c r="C204" i="51" s="1"/>
  <c r="T202" i="36"/>
  <c r="X202" i="33"/>
  <c r="C202" i="52" s="1"/>
  <c r="N174" i="36"/>
  <c r="N176" i="36" s="1"/>
  <c r="R174" i="33"/>
  <c r="N107" i="36"/>
  <c r="R107" i="33"/>
  <c r="N116" i="33"/>
  <c r="N129" i="33" s="1"/>
  <c r="N131" i="33" s="1"/>
  <c r="J119" i="37"/>
  <c r="L119" i="36"/>
  <c r="D119" i="50" s="1"/>
  <c r="H198" i="37"/>
  <c r="L198" i="36"/>
  <c r="D198" i="50" s="1"/>
  <c r="AB123" i="36"/>
  <c r="AD123" i="33"/>
  <c r="C123" i="51" s="1"/>
  <c r="N196" i="36"/>
  <c r="R196" i="33"/>
  <c r="C196" i="53" s="1"/>
  <c r="J123" i="37"/>
  <c r="L123" i="36"/>
  <c r="D123" i="50" s="1"/>
  <c r="Z107" i="37"/>
  <c r="AD107" i="36"/>
  <c r="D107" i="51" s="1"/>
  <c r="Z197" i="37"/>
  <c r="AD197" i="36"/>
  <c r="D197" i="51" s="1"/>
  <c r="T174" i="36"/>
  <c r="X174" i="33"/>
  <c r="C174" i="52" s="1"/>
  <c r="V120" i="36"/>
  <c r="X120" i="33"/>
  <c r="C120" i="52" s="1"/>
  <c r="N170" i="37"/>
  <c r="R170" i="36"/>
  <c r="D170" i="53" s="1"/>
  <c r="H197" i="37"/>
  <c r="L197" i="36"/>
  <c r="D197" i="50" s="1"/>
  <c r="H170" i="37"/>
  <c r="L170" i="36"/>
  <c r="D170" i="50" s="1"/>
  <c r="T180" i="37"/>
  <c r="X180" i="36"/>
  <c r="D180" i="52" s="1"/>
  <c r="N176" i="33"/>
  <c r="O24" i="36"/>
  <c r="O80" i="36" s="1"/>
  <c r="R80" i="36" s="1"/>
  <c r="D80" i="53" s="1"/>
  <c r="R24" i="33"/>
  <c r="C24" i="53" s="1"/>
  <c r="B195" i="36"/>
  <c r="AX195" i="36" s="1"/>
  <c r="BB195" i="36" s="1"/>
  <c r="F195" i="33"/>
  <c r="C195" i="49" s="1"/>
  <c r="BB195" i="33"/>
  <c r="C195" i="39" s="1"/>
  <c r="T87" i="30"/>
  <c r="T74" i="30"/>
  <c r="Z198" i="37"/>
  <c r="AD198" i="36"/>
  <c r="D198" i="51" s="1"/>
  <c r="T197" i="37"/>
  <c r="X197" i="36"/>
  <c r="D197" i="52" s="1"/>
  <c r="T170" i="36"/>
  <c r="X170" i="33"/>
  <c r="H169" i="37"/>
  <c r="L169" i="36"/>
  <c r="D169" i="50" s="1"/>
  <c r="H176" i="36"/>
  <c r="AB122" i="37"/>
  <c r="AD122" i="36"/>
  <c r="D122" i="51" s="1"/>
  <c r="B197" i="36"/>
  <c r="F197" i="33"/>
  <c r="C197" i="49" s="1"/>
  <c r="BB197" i="33"/>
  <c r="C197" i="39" s="1"/>
  <c r="T199" i="36"/>
  <c r="X199" i="33"/>
  <c r="C199" i="52" s="1"/>
  <c r="AP68" i="36"/>
  <c r="AP220" i="36"/>
  <c r="AP221" i="36" s="1"/>
  <c r="X66" i="30"/>
  <c r="AR181" i="30"/>
  <c r="AP70" i="38"/>
  <c r="AP69" i="38"/>
  <c r="AB119" i="36"/>
  <c r="AD119" i="33"/>
  <c r="C119" i="51" s="1"/>
  <c r="AB128" i="33"/>
  <c r="AB129" i="33" s="1"/>
  <c r="AB131" i="33" s="1"/>
  <c r="I105" i="37"/>
  <c r="I116" i="36"/>
  <c r="T179" i="37"/>
  <c r="X179" i="36"/>
  <c r="D179" i="52" s="1"/>
  <c r="V122" i="36"/>
  <c r="AZ122" i="36" s="1"/>
  <c r="BB122" i="36" s="1"/>
  <c r="X122" i="33"/>
  <c r="C122" i="52" s="1"/>
  <c r="BB122" i="33"/>
  <c r="C122" i="39" s="1"/>
  <c r="N199" i="36"/>
  <c r="R199" i="33"/>
  <c r="C199" i="53" s="1"/>
  <c r="H199" i="36"/>
  <c r="L199" i="33"/>
  <c r="C199" i="50" s="1"/>
  <c r="H194" i="37"/>
  <c r="L194" i="36"/>
  <c r="D194" i="50" s="1"/>
  <c r="B204" i="36"/>
  <c r="F204" i="33"/>
  <c r="C204" i="49" s="1"/>
  <c r="B194" i="36"/>
  <c r="AX194" i="36" s="1"/>
  <c r="F194" i="33"/>
  <c r="C194" i="49" s="1"/>
  <c r="B205" i="33"/>
  <c r="C124" i="36"/>
  <c r="F124" i="33"/>
  <c r="C124" i="49" s="1"/>
  <c r="C128" i="33"/>
  <c r="C129" i="33" s="1"/>
  <c r="C131" i="33" s="1"/>
  <c r="N202" i="36"/>
  <c r="R202" i="33"/>
  <c r="C202" i="53" s="1"/>
  <c r="Z174" i="37"/>
  <c r="AD174" i="36"/>
  <c r="D174" i="51" s="1"/>
  <c r="X181" i="33"/>
  <c r="B202" i="36"/>
  <c r="F202" i="33"/>
  <c r="C202" i="49" s="1"/>
  <c r="B180" i="36"/>
  <c r="F180" i="33"/>
  <c r="C180" i="49" s="1"/>
  <c r="BB180" i="33"/>
  <c r="C180" i="39" s="1"/>
  <c r="B111" i="36"/>
  <c r="AX111" i="36" s="1"/>
  <c r="BB111" i="36" s="1"/>
  <c r="F111" i="33"/>
  <c r="B116" i="33"/>
  <c r="T198" i="37"/>
  <c r="X198" i="36"/>
  <c r="D198" i="52" s="1"/>
  <c r="H196" i="36"/>
  <c r="L196" i="33"/>
  <c r="C196" i="50" s="1"/>
  <c r="Z199" i="36"/>
  <c r="AD199" i="33"/>
  <c r="C199" i="51" s="1"/>
  <c r="N204" i="36"/>
  <c r="R204" i="33"/>
  <c r="C204" i="53" s="1"/>
  <c r="N180" i="36"/>
  <c r="R180" i="33"/>
  <c r="C180" i="53" s="1"/>
  <c r="C181" i="53" s="1"/>
  <c r="H204" i="36"/>
  <c r="L204" i="33"/>
  <c r="C204" i="50" s="1"/>
  <c r="H180" i="36"/>
  <c r="L180" i="33"/>
  <c r="C180" i="50" s="1"/>
  <c r="I124" i="36"/>
  <c r="L124" i="33"/>
  <c r="C124" i="50" s="1"/>
  <c r="I128" i="33"/>
  <c r="I129" i="33" s="1"/>
  <c r="I131" i="33" s="1"/>
  <c r="B196" i="36"/>
  <c r="F196" i="33"/>
  <c r="C196" i="49" s="1"/>
  <c r="BB196" i="33"/>
  <c r="C196" i="39" s="1"/>
  <c r="B169" i="36"/>
  <c r="F169" i="33"/>
  <c r="C169" i="49" s="1"/>
  <c r="C176" i="49" s="1"/>
  <c r="V119" i="36"/>
  <c r="X119" i="33"/>
  <c r="C119" i="52" s="1"/>
  <c r="V128" i="33"/>
  <c r="V129" i="33" s="1"/>
  <c r="V131" i="33" s="1"/>
  <c r="N179" i="36"/>
  <c r="R179" i="33"/>
  <c r="C179" i="53" s="1"/>
  <c r="N169" i="37"/>
  <c r="R169" i="36"/>
  <c r="D169" i="53" s="1"/>
  <c r="P22" i="36"/>
  <c r="P149" i="36" s="1"/>
  <c r="R22" i="33"/>
  <c r="C22" i="53" s="1"/>
  <c r="J22" i="53" s="1"/>
  <c r="S30" i="33"/>
  <c r="P78" i="33"/>
  <c r="P77" i="33"/>
  <c r="U105" i="36"/>
  <c r="AY105" i="36" s="1"/>
  <c r="AY116" i="36" s="1"/>
  <c r="U116" i="33"/>
  <c r="X105" i="33"/>
  <c r="C105" i="52" s="1"/>
  <c r="N178" i="37"/>
  <c r="R178" i="36"/>
  <c r="D178" i="53" s="1"/>
  <c r="B174" i="36"/>
  <c r="AX174" i="36" s="1"/>
  <c r="BB174" i="36" s="1"/>
  <c r="BB174" i="33"/>
  <c r="C174" i="39" s="1"/>
  <c r="F174" i="33"/>
  <c r="C174" i="49" s="1"/>
  <c r="AD180" i="36"/>
  <c r="D180" i="51" s="1"/>
  <c r="Z180" i="37"/>
  <c r="J130" i="33"/>
  <c r="H179" i="36"/>
  <c r="L179" i="33"/>
  <c r="C179" i="50" s="1"/>
  <c r="Z194" i="37"/>
  <c r="AD194" i="36"/>
  <c r="D194" i="51" s="1"/>
  <c r="B201" i="36"/>
  <c r="AX201" i="36" s="1"/>
  <c r="BB201" i="36" s="1"/>
  <c r="BB201" i="33"/>
  <c r="C201" i="39" s="1"/>
  <c r="F201" i="33"/>
  <c r="C201" i="49" s="1"/>
  <c r="Z196" i="36"/>
  <c r="AD196" i="33"/>
  <c r="C196" i="51" s="1"/>
  <c r="T107" i="36"/>
  <c r="X107" i="33"/>
  <c r="C107" i="52" s="1"/>
  <c r="T116" i="33"/>
  <c r="T129" i="33" s="1"/>
  <c r="T131" i="33" s="1"/>
  <c r="I24" i="33"/>
  <c r="I80" i="33" s="1"/>
  <c r="I23" i="33"/>
  <c r="I79" i="33" s="1"/>
  <c r="J22" i="33"/>
  <c r="J149" i="33" s="1"/>
  <c r="I26" i="33"/>
  <c r="I81" i="33" s="1"/>
  <c r="R88" i="30"/>
  <c r="B88" i="53" s="1"/>
  <c r="V22" i="33"/>
  <c r="V149" i="33" s="1"/>
  <c r="U26" i="33"/>
  <c r="U81" i="33" s="1"/>
  <c r="U24" i="33"/>
  <c r="U80" i="33" s="1"/>
  <c r="U23" i="33"/>
  <c r="U79" i="33" s="1"/>
  <c r="AA24" i="33"/>
  <c r="AA80" i="33" s="1"/>
  <c r="AA23" i="33"/>
  <c r="AA79" i="33" s="1"/>
  <c r="AB22" i="33"/>
  <c r="AB149" i="33" s="1"/>
  <c r="AA26" i="33"/>
  <c r="AA81" i="33" s="1"/>
  <c r="AD128" i="30"/>
  <c r="AB129" i="30"/>
  <c r="AB130" i="30" s="1"/>
  <c r="B5" i="39"/>
  <c r="AP105" i="42"/>
  <c r="AL116" i="42"/>
  <c r="AL129" i="42" s="1"/>
  <c r="Z105" i="36"/>
  <c r="AX105" i="36" s="1"/>
  <c r="AD105" i="33"/>
  <c r="C105" i="51" s="1"/>
  <c r="Z116" i="33"/>
  <c r="Z129" i="33" s="1"/>
  <c r="Z131" i="33" s="1"/>
  <c r="T176" i="33"/>
  <c r="J120" i="36"/>
  <c r="L120" i="33"/>
  <c r="C120" i="50" s="1"/>
  <c r="H178" i="36"/>
  <c r="L178" i="33"/>
  <c r="C178" i="50" s="1"/>
  <c r="H181" i="33"/>
  <c r="O106" i="37"/>
  <c r="AY106" i="37" s="1"/>
  <c r="BB106" i="37" s="1"/>
  <c r="D106" i="39"/>
  <c r="R106" i="36"/>
  <c r="D106" i="53" s="1"/>
  <c r="O116" i="36"/>
  <c r="L176" i="33"/>
  <c r="Z169" i="36"/>
  <c r="Z176" i="33"/>
  <c r="AD169" i="33"/>
  <c r="T196" i="36"/>
  <c r="X196" i="33"/>
  <c r="C196" i="52" s="1"/>
  <c r="C205" i="52" s="1"/>
  <c r="T178" i="37"/>
  <c r="T181" i="36"/>
  <c r="X178" i="36"/>
  <c r="D178" i="52" s="1"/>
  <c r="N198" i="36"/>
  <c r="R198" i="33"/>
  <c r="C198" i="53" s="1"/>
  <c r="P121" i="36"/>
  <c r="P128" i="33"/>
  <c r="P129" i="33" s="1"/>
  <c r="P131" i="33" s="1"/>
  <c r="BB121" i="33"/>
  <c r="C121" i="39" s="1"/>
  <c r="R121" i="33"/>
  <c r="C121" i="53" s="1"/>
  <c r="C128" i="53" s="1"/>
  <c r="H174" i="37"/>
  <c r="L174" i="36"/>
  <c r="D174" i="50" s="1"/>
  <c r="Z178" i="36"/>
  <c r="Z181" i="33"/>
  <c r="AD178" i="33"/>
  <c r="Z202" i="36"/>
  <c r="AD202" i="33"/>
  <c r="C202" i="51" s="1"/>
  <c r="V123" i="36"/>
  <c r="X123" i="33"/>
  <c r="C123" i="52" s="1"/>
  <c r="B178" i="36"/>
  <c r="AX178" i="36" s="1"/>
  <c r="F178" i="33"/>
  <c r="C178" i="49" s="1"/>
  <c r="B181" i="33"/>
  <c r="AB121" i="36"/>
  <c r="AD121" i="33"/>
  <c r="C121" i="51" s="1"/>
  <c r="AA124" i="37"/>
  <c r="AA128" i="36"/>
  <c r="AD124" i="36"/>
  <c r="D124" i="51" s="1"/>
  <c r="U124" i="36"/>
  <c r="X124" i="33"/>
  <c r="C124" i="52" s="1"/>
  <c r="U128" i="33"/>
  <c r="N111" i="37"/>
  <c r="R111" i="36"/>
  <c r="D111" i="53" s="1"/>
  <c r="H111" i="37"/>
  <c r="L111" i="36"/>
  <c r="D111" i="50" s="1"/>
  <c r="AB120" i="37"/>
  <c r="AD120" i="36"/>
  <c r="D120" i="51" s="1"/>
  <c r="Z179" i="37"/>
  <c r="AD179" i="36"/>
  <c r="D179" i="51" s="1"/>
  <c r="H107" i="36"/>
  <c r="H116" i="36" s="1"/>
  <c r="H129" i="36" s="1"/>
  <c r="L107" i="33"/>
  <c r="C107" i="50" s="1"/>
  <c r="BB107" i="33"/>
  <c r="C107" i="39" s="1"/>
  <c r="O26" i="36"/>
  <c r="O81" i="36" s="1"/>
  <c r="R81" i="36" s="1"/>
  <c r="D81" i="53" s="1"/>
  <c r="R26" i="33"/>
  <c r="C26" i="53" s="1"/>
  <c r="I22" i="39"/>
  <c r="C61" i="43"/>
  <c r="C51" i="43"/>
  <c r="W167" i="30"/>
  <c r="L116" i="30"/>
  <c r="R108" i="30"/>
  <c r="AJ220" i="30"/>
  <c r="AV105" i="30"/>
  <c r="B105" i="39" s="1"/>
  <c r="Z116" i="30"/>
  <c r="Z129" i="30" s="1"/>
  <c r="Z130" i="30" s="1"/>
  <c r="AD137" i="30"/>
  <c r="B137" i="51" s="1"/>
  <c r="X147" i="30"/>
  <c r="B147" i="52" s="1"/>
  <c r="AV110" i="30"/>
  <c r="B110" i="39" s="1"/>
  <c r="AT116" i="30"/>
  <c r="AJ71" i="30"/>
  <c r="AD66" i="30"/>
  <c r="Z75" i="30"/>
  <c r="AD75" i="30" s="1"/>
  <c r="B75" i="51" s="1"/>
  <c r="Z87" i="30"/>
  <c r="Z88" i="30"/>
  <c r="M30" i="30"/>
  <c r="Z85" i="30"/>
  <c r="AA167" i="30"/>
  <c r="AA85" i="30"/>
  <c r="AC76" i="30"/>
  <c r="AE30" i="30"/>
  <c r="AD161" i="30"/>
  <c r="B161" i="51" s="1"/>
  <c r="AD148" i="30"/>
  <c r="B148" i="51" s="1"/>
  <c r="AD145" i="30"/>
  <c r="B145" i="51" s="1"/>
  <c r="AD19" i="30"/>
  <c r="S7" i="48" s="1"/>
  <c r="T20" i="48" s="1"/>
  <c r="AD147" i="30"/>
  <c r="B147" i="51" s="1"/>
  <c r="AD108" i="30"/>
  <c r="B108" i="51" s="1"/>
  <c r="V129" i="30"/>
  <c r="V130" i="30" s="1"/>
  <c r="X116" i="30"/>
  <c r="X129" i="30" s="1"/>
  <c r="X69" i="30" s="1"/>
  <c r="X137" i="30"/>
  <c r="B137" i="52" s="1"/>
  <c r="T75" i="30"/>
  <c r="X75" i="30" s="1"/>
  <c r="B75" i="52" s="1"/>
  <c r="X183" i="30"/>
  <c r="X5" i="30"/>
  <c r="X88" i="30" s="1"/>
  <c r="B88" i="52" s="1"/>
  <c r="T88" i="30"/>
  <c r="X157" i="30"/>
  <c r="B157" i="52" s="1"/>
  <c r="X141" i="30"/>
  <c r="B141" i="52" s="1"/>
  <c r="X74" i="30"/>
  <c r="B74" i="52" s="1"/>
  <c r="Y30" i="30"/>
  <c r="X161" i="30"/>
  <c r="B161" i="52" s="1"/>
  <c r="X145" i="30"/>
  <c r="B145" i="52" s="1"/>
  <c r="X148" i="30"/>
  <c r="B148" i="52" s="1"/>
  <c r="W76" i="30"/>
  <c r="X76" i="30" s="1"/>
  <c r="X19" i="30"/>
  <c r="S5" i="48" s="1"/>
  <c r="T18" i="48" s="1"/>
  <c r="U85" i="30"/>
  <c r="U167" i="30"/>
  <c r="O129" i="30"/>
  <c r="O130" i="30" s="1"/>
  <c r="R66" i="30"/>
  <c r="N116" i="30"/>
  <c r="N129" i="30" s="1"/>
  <c r="N130" i="30" s="1"/>
  <c r="R183" i="30"/>
  <c r="R163" i="30"/>
  <c r="B163" i="53" s="1"/>
  <c r="R164" i="30"/>
  <c r="B164" i="53" s="1"/>
  <c r="R157" i="30"/>
  <c r="B157" i="53" s="1"/>
  <c r="R74" i="30"/>
  <c r="B74" i="53" s="1"/>
  <c r="Q167" i="30"/>
  <c r="R141" i="30"/>
  <c r="N151" i="30"/>
  <c r="N85" i="30"/>
  <c r="R76" i="30"/>
  <c r="Q86" i="30"/>
  <c r="Q89" i="30"/>
  <c r="Q99" i="30" s="1"/>
  <c r="J129" i="30"/>
  <c r="J130" i="30" s="1"/>
  <c r="L128" i="30"/>
  <c r="L66" i="30"/>
  <c r="H85" i="30"/>
  <c r="H75" i="30"/>
  <c r="L5" i="30"/>
  <c r="H88" i="30"/>
  <c r="H87" i="30"/>
  <c r="L74" i="30"/>
  <c r="B74" i="50" s="1"/>
  <c r="K167" i="30"/>
  <c r="K138" i="30"/>
  <c r="K139" i="30" s="1"/>
  <c r="H116" i="30"/>
  <c r="H129" i="30" s="1"/>
  <c r="H130" i="30" s="1"/>
  <c r="K76" i="30"/>
  <c r="L19" i="30"/>
  <c r="S6" i="48" s="1"/>
  <c r="T19" i="48" s="1"/>
  <c r="B70" i="50" l="1"/>
  <c r="B69" i="50"/>
  <c r="AT129" i="30"/>
  <c r="C128" i="50"/>
  <c r="AX197" i="36"/>
  <c r="BB197" i="36" s="1"/>
  <c r="AZ123" i="36"/>
  <c r="BB123" i="36" s="1"/>
  <c r="D123" i="39" s="1"/>
  <c r="N131" i="30"/>
  <c r="R131" i="30" s="1"/>
  <c r="B131" i="53" s="1"/>
  <c r="AD133" i="30"/>
  <c r="B133" i="51" s="1"/>
  <c r="B5" i="52"/>
  <c r="C116" i="51"/>
  <c r="AC167" i="30"/>
  <c r="D181" i="52"/>
  <c r="AX204" i="36"/>
  <c r="BB204" i="36" s="1"/>
  <c r="C89" i="34"/>
  <c r="C205" i="49"/>
  <c r="R151" i="30"/>
  <c r="B141" i="53"/>
  <c r="C128" i="52"/>
  <c r="C205" i="50"/>
  <c r="BB194" i="36"/>
  <c r="X176" i="33"/>
  <c r="C170" i="52"/>
  <c r="C176" i="52" s="1"/>
  <c r="C205" i="53"/>
  <c r="AZ119" i="36"/>
  <c r="L133" i="30"/>
  <c r="B133" i="50" s="1"/>
  <c r="O131" i="30"/>
  <c r="B5" i="50"/>
  <c r="H164" i="30"/>
  <c r="H163" i="30"/>
  <c r="H165" i="30"/>
  <c r="R192" i="30"/>
  <c r="B183" i="53"/>
  <c r="BB178" i="36"/>
  <c r="AX169" i="36"/>
  <c r="BB169" i="36" s="1"/>
  <c r="T164" i="30"/>
  <c r="T163" i="30"/>
  <c r="T165" i="30"/>
  <c r="R176" i="33"/>
  <c r="C174" i="53"/>
  <c r="AX199" i="36"/>
  <c r="BB199" i="36" s="1"/>
  <c r="T28" i="48"/>
  <c r="H87" i="48" s="1"/>
  <c r="R89" i="30"/>
  <c r="B89" i="53" s="1"/>
  <c r="B76" i="53"/>
  <c r="B151" i="52"/>
  <c r="X192" i="30"/>
  <c r="B183" i="52"/>
  <c r="T29" i="48"/>
  <c r="H107" i="48" s="1"/>
  <c r="Z165" i="30"/>
  <c r="AD165" i="30" s="1"/>
  <c r="B165" i="51" s="1"/>
  <c r="Z163" i="30"/>
  <c r="Z164" i="30"/>
  <c r="AD181" i="33"/>
  <c r="C178" i="51"/>
  <c r="C181" i="51" s="1"/>
  <c r="AZ121" i="36"/>
  <c r="BB121" i="36" s="1"/>
  <c r="AD176" i="33"/>
  <c r="C169" i="51"/>
  <c r="C176" i="51" s="1"/>
  <c r="C205" i="51"/>
  <c r="AX202" i="36"/>
  <c r="BB202" i="36" s="1"/>
  <c r="AY124" i="36"/>
  <c r="R116" i="33"/>
  <c r="C107" i="53"/>
  <c r="C116" i="53" s="1"/>
  <c r="C129" i="53" s="1"/>
  <c r="AX179" i="36"/>
  <c r="BB179" i="36" s="1"/>
  <c r="AX198" i="36"/>
  <c r="BB198" i="36" s="1"/>
  <c r="C53" i="45"/>
  <c r="I23" i="39"/>
  <c r="I24" i="39"/>
  <c r="R133" i="30"/>
  <c r="B133" i="53" s="1"/>
  <c r="J131" i="30"/>
  <c r="C96" i="45"/>
  <c r="C106" i="45" s="1"/>
  <c r="B5" i="53"/>
  <c r="X89" i="30"/>
  <c r="B89" i="52" s="1"/>
  <c r="B76" i="52"/>
  <c r="X164" i="30"/>
  <c r="B164" i="52" s="1"/>
  <c r="H131" i="30"/>
  <c r="X133" i="30"/>
  <c r="B133" i="52" s="1"/>
  <c r="B116" i="51"/>
  <c r="B129" i="51" s="1"/>
  <c r="T27" i="48"/>
  <c r="H67" i="48" s="1"/>
  <c r="R116" i="30"/>
  <c r="R129" i="30" s="1"/>
  <c r="R70" i="30" s="1"/>
  <c r="B108" i="53"/>
  <c r="C181" i="49"/>
  <c r="J128" i="36"/>
  <c r="J129" i="36" s="1"/>
  <c r="J131" i="36" s="1"/>
  <c r="AZ120" i="36"/>
  <c r="BB120" i="36" s="1"/>
  <c r="C116" i="52"/>
  <c r="AX196" i="36"/>
  <c r="BB196" i="36" s="1"/>
  <c r="C181" i="50"/>
  <c r="F116" i="33"/>
  <c r="C111" i="49"/>
  <c r="AX180" i="36"/>
  <c r="BB180" i="36" s="1"/>
  <c r="C128" i="51"/>
  <c r="C129" i="51" s="1"/>
  <c r="C69" i="51" s="1"/>
  <c r="D176" i="50"/>
  <c r="C128" i="49"/>
  <c r="AX170" i="36"/>
  <c r="BB170" i="36" s="1"/>
  <c r="V131" i="30"/>
  <c r="B5" i="51"/>
  <c r="Z131" i="30"/>
  <c r="AB131" i="30"/>
  <c r="AD131" i="30" s="1"/>
  <c r="B131" i="51" s="1"/>
  <c r="I131" i="30"/>
  <c r="B176" i="50"/>
  <c r="C116" i="50"/>
  <c r="C129" i="50" s="1"/>
  <c r="AL131" i="42"/>
  <c r="AP131" i="42" s="1"/>
  <c r="AL130" i="42"/>
  <c r="AP130" i="42" s="1"/>
  <c r="H130" i="36"/>
  <c r="H131" i="36"/>
  <c r="AX107" i="36"/>
  <c r="BB107" i="36" s="1"/>
  <c r="BB105" i="36"/>
  <c r="AA130" i="33"/>
  <c r="C244" i="47"/>
  <c r="D240" i="47"/>
  <c r="D243" i="47" s="1"/>
  <c r="AV128" i="30"/>
  <c r="AD116" i="33"/>
  <c r="C74" i="43"/>
  <c r="C72" i="34"/>
  <c r="X181" i="36"/>
  <c r="R181" i="33"/>
  <c r="AD205" i="33"/>
  <c r="L128" i="33"/>
  <c r="R128" i="33"/>
  <c r="AD88" i="30"/>
  <c r="B88" i="51" s="1"/>
  <c r="X205" i="33"/>
  <c r="L205" i="33"/>
  <c r="L181" i="33"/>
  <c r="J138" i="33"/>
  <c r="J139" i="33" s="1"/>
  <c r="I130" i="33"/>
  <c r="Z169" i="37"/>
  <c r="AD169" i="36"/>
  <c r="D169" i="51" s="1"/>
  <c r="Z176" i="36"/>
  <c r="AP116" i="42"/>
  <c r="AP129" i="42" s="1"/>
  <c r="AP69" i="42" s="1"/>
  <c r="AA24" i="36"/>
  <c r="AA80" i="36" s="1"/>
  <c r="AD80" i="36" s="1"/>
  <c r="D80" i="51" s="1"/>
  <c r="AD24" i="33"/>
  <c r="C24" i="51" s="1"/>
  <c r="I23" i="36"/>
  <c r="I79" i="36" s="1"/>
  <c r="L79" i="36" s="1"/>
  <c r="D79" i="50" s="1"/>
  <c r="L23" i="33"/>
  <c r="C23" i="50" s="1"/>
  <c r="J23" i="50" s="1"/>
  <c r="P151" i="33"/>
  <c r="R149" i="33"/>
  <c r="BB169" i="33"/>
  <c r="C130" i="33"/>
  <c r="H194" i="38"/>
  <c r="L194" i="37"/>
  <c r="E194" i="50" s="1"/>
  <c r="T170" i="37"/>
  <c r="X170" i="36"/>
  <c r="D170" i="52" s="1"/>
  <c r="Z111" i="37"/>
  <c r="AD111" i="36"/>
  <c r="D111" i="51" s="1"/>
  <c r="H138" i="33"/>
  <c r="H139" i="33" s="1"/>
  <c r="H207" i="33" s="1"/>
  <c r="BB119" i="33"/>
  <c r="C119" i="39" s="1"/>
  <c r="AZ128" i="33"/>
  <c r="AZ129" i="33" s="1"/>
  <c r="AA116" i="37"/>
  <c r="AX116" i="33"/>
  <c r="Z179" i="38"/>
  <c r="AD179" i="37"/>
  <c r="E179" i="51" s="1"/>
  <c r="H111" i="38"/>
  <c r="L111" i="37"/>
  <c r="E111" i="50" s="1"/>
  <c r="AB121" i="37"/>
  <c r="AD121" i="36"/>
  <c r="D121" i="51" s="1"/>
  <c r="B178" i="37"/>
  <c r="B181" i="36"/>
  <c r="F178" i="36"/>
  <c r="D178" i="49" s="1"/>
  <c r="H174" i="38"/>
  <c r="L174" i="37"/>
  <c r="E174" i="50" s="1"/>
  <c r="P130" i="33"/>
  <c r="T196" i="37"/>
  <c r="X196" i="36"/>
  <c r="D196" i="52" s="1"/>
  <c r="AM138" i="42"/>
  <c r="AM139" i="42" s="1"/>
  <c r="AM207" i="42" s="1"/>
  <c r="AM220" i="42" s="1"/>
  <c r="AM221" i="42" s="1"/>
  <c r="AA26" i="36"/>
  <c r="AA81" i="36" s="1"/>
  <c r="AD81" i="36" s="1"/>
  <c r="D81" i="51" s="1"/>
  <c r="AD26" i="33"/>
  <c r="C26" i="51" s="1"/>
  <c r="AD200" i="30"/>
  <c r="Z205" i="30"/>
  <c r="U26" i="36"/>
  <c r="U81" i="36" s="1"/>
  <c r="X81" i="36" s="1"/>
  <c r="D81" i="52" s="1"/>
  <c r="X26" i="33"/>
  <c r="C26" i="52" s="1"/>
  <c r="I24" i="36"/>
  <c r="I80" i="36" s="1"/>
  <c r="L80" i="36" s="1"/>
  <c r="D80" i="50" s="1"/>
  <c r="L24" i="33"/>
  <c r="C24" i="50" s="1"/>
  <c r="T107" i="37"/>
  <c r="X107" i="36"/>
  <c r="D107" i="52" s="1"/>
  <c r="T116" i="36"/>
  <c r="T129" i="36" s="1"/>
  <c r="Z194" i="38"/>
  <c r="AD194" i="37"/>
  <c r="E194" i="51" s="1"/>
  <c r="N178" i="38"/>
  <c r="R178" i="37"/>
  <c r="E178" i="53" s="1"/>
  <c r="V130" i="33"/>
  <c r="I124" i="37"/>
  <c r="L124" i="36"/>
  <c r="D124" i="50" s="1"/>
  <c r="I128" i="36"/>
  <c r="H204" i="37"/>
  <c r="L204" i="36"/>
  <c r="D204" i="50" s="1"/>
  <c r="N204" i="37"/>
  <c r="R204" i="36"/>
  <c r="D204" i="53" s="1"/>
  <c r="H196" i="37"/>
  <c r="L196" i="36"/>
  <c r="D196" i="50" s="1"/>
  <c r="B202" i="37"/>
  <c r="D202" i="39"/>
  <c r="F202" i="36"/>
  <c r="D202" i="49" s="1"/>
  <c r="F205" i="33"/>
  <c r="B204" i="37"/>
  <c r="F204" i="36"/>
  <c r="D204" i="49" s="1"/>
  <c r="D204" i="39"/>
  <c r="N199" i="37"/>
  <c r="R199" i="36"/>
  <c r="D199" i="53" s="1"/>
  <c r="I105" i="38"/>
  <c r="I116" i="37"/>
  <c r="AB122" i="38"/>
  <c r="AD122" i="37"/>
  <c r="E122" i="51" s="1"/>
  <c r="B195" i="37"/>
  <c r="AX195" i="37" s="1"/>
  <c r="BB195" i="37" s="1"/>
  <c r="F195" i="36"/>
  <c r="D195" i="49" s="1"/>
  <c r="D195" i="39"/>
  <c r="H170" i="38"/>
  <c r="L170" i="37"/>
  <c r="E170" i="50" s="1"/>
  <c r="N170" i="38"/>
  <c r="R170" i="37"/>
  <c r="E170" i="53" s="1"/>
  <c r="T174" i="37"/>
  <c r="X174" i="36"/>
  <c r="Z107" i="38"/>
  <c r="AD107" i="37"/>
  <c r="E107" i="51" s="1"/>
  <c r="J119" i="38"/>
  <c r="L119" i="37"/>
  <c r="E119" i="50" s="1"/>
  <c r="B199" i="37"/>
  <c r="F199" i="36"/>
  <c r="D199" i="49" s="1"/>
  <c r="D199" i="39"/>
  <c r="L131" i="33"/>
  <c r="C131" i="50" s="1"/>
  <c r="T176" i="36"/>
  <c r="T204" i="37"/>
  <c r="X204" i="36"/>
  <c r="D204" i="52" s="1"/>
  <c r="F181" i="33"/>
  <c r="N197" i="37"/>
  <c r="R197" i="36"/>
  <c r="D197" i="53" s="1"/>
  <c r="V121" i="37"/>
  <c r="X121" i="36"/>
  <c r="D121" i="52" s="1"/>
  <c r="N194" i="37"/>
  <c r="R194" i="36"/>
  <c r="D194" i="53" s="1"/>
  <c r="N205" i="36"/>
  <c r="C105" i="39"/>
  <c r="C116" i="39" s="1"/>
  <c r="BB116" i="33"/>
  <c r="V123" i="37"/>
  <c r="AZ123" i="37" s="1"/>
  <c r="BB123" i="37" s="1"/>
  <c r="X123" i="36"/>
  <c r="D123" i="52" s="1"/>
  <c r="N198" i="37"/>
  <c r="R198" i="36"/>
  <c r="D198" i="53" s="1"/>
  <c r="Z130" i="33"/>
  <c r="U24" i="36"/>
  <c r="U80" i="36" s="1"/>
  <c r="X80" i="36" s="1"/>
  <c r="D80" i="52" s="1"/>
  <c r="X24" i="33"/>
  <c r="C24" i="52" s="1"/>
  <c r="U105" i="37"/>
  <c r="AY105" i="37" s="1"/>
  <c r="AY116" i="37" s="1"/>
  <c r="X105" i="36"/>
  <c r="D105" i="52" s="1"/>
  <c r="U116" i="36"/>
  <c r="Z174" i="38"/>
  <c r="AD174" i="37"/>
  <c r="E174" i="51" s="1"/>
  <c r="AB119" i="37"/>
  <c r="AB128" i="36"/>
  <c r="AB129" i="36" s="1"/>
  <c r="AD119" i="36"/>
  <c r="D119" i="51" s="1"/>
  <c r="H169" i="38"/>
  <c r="L169" i="37"/>
  <c r="E169" i="50" s="1"/>
  <c r="H176" i="37"/>
  <c r="Z198" i="38"/>
  <c r="AD198" i="37"/>
  <c r="E198" i="51" s="1"/>
  <c r="O24" i="37"/>
  <c r="O80" i="37" s="1"/>
  <c r="R80" i="37" s="1"/>
  <c r="E80" i="53" s="1"/>
  <c r="R24" i="36"/>
  <c r="D24" i="53" s="1"/>
  <c r="J123" i="38"/>
  <c r="L123" i="37"/>
  <c r="E123" i="50" s="1"/>
  <c r="AB123" i="37"/>
  <c r="AD123" i="36"/>
  <c r="D123" i="51" s="1"/>
  <c r="N107" i="37"/>
  <c r="R107" i="36"/>
  <c r="N116" i="36"/>
  <c r="N129" i="36" s="1"/>
  <c r="T202" i="37"/>
  <c r="X202" i="36"/>
  <c r="D202" i="52" s="1"/>
  <c r="O124" i="37"/>
  <c r="R124" i="36"/>
  <c r="D124" i="53" s="1"/>
  <c r="O128" i="36"/>
  <c r="O129" i="36" s="1"/>
  <c r="O23" i="37"/>
  <c r="O79" i="37" s="1"/>
  <c r="R79" i="37" s="1"/>
  <c r="E79" i="53" s="1"/>
  <c r="R23" i="36"/>
  <c r="D23" i="53" s="1"/>
  <c r="T205" i="36"/>
  <c r="R205" i="33"/>
  <c r="Z170" i="37"/>
  <c r="AD170" i="36"/>
  <c r="D170" i="51" s="1"/>
  <c r="AA207" i="30"/>
  <c r="C30" i="43"/>
  <c r="O94" i="33"/>
  <c r="R81" i="33"/>
  <c r="U124" i="37"/>
  <c r="U128" i="36"/>
  <c r="X124" i="36"/>
  <c r="D124" i="52" s="1"/>
  <c r="Z202" i="37"/>
  <c r="AD202" i="36"/>
  <c r="D202" i="51" s="1"/>
  <c r="P121" i="37"/>
  <c r="AZ121" i="37" s="1"/>
  <c r="BB121" i="37" s="1"/>
  <c r="R121" i="36"/>
  <c r="D121" i="53" s="1"/>
  <c r="D121" i="39"/>
  <c r="P128" i="36"/>
  <c r="P129" i="36" s="1"/>
  <c r="H178" i="37"/>
  <c r="L178" i="36"/>
  <c r="D178" i="50" s="1"/>
  <c r="H181" i="36"/>
  <c r="J120" i="37"/>
  <c r="L120" i="36"/>
  <c r="D120" i="50" s="1"/>
  <c r="D128" i="50" s="1"/>
  <c r="D120" i="39"/>
  <c r="Z105" i="37"/>
  <c r="AX105" i="37" s="1"/>
  <c r="AD105" i="36"/>
  <c r="D105" i="51" s="1"/>
  <c r="D116" i="51" s="1"/>
  <c r="Z116" i="36"/>
  <c r="Z129" i="36" s="1"/>
  <c r="AE30" i="33"/>
  <c r="AB78" i="33"/>
  <c r="AB22" i="36"/>
  <c r="AB149" i="36" s="1"/>
  <c r="AB77" i="33"/>
  <c r="AD22" i="33"/>
  <c r="C22" i="51" s="1"/>
  <c r="J22" i="51" s="1"/>
  <c r="V22" i="36"/>
  <c r="V149" i="36" s="1"/>
  <c r="V78" i="33"/>
  <c r="X22" i="33"/>
  <c r="C22" i="52" s="1"/>
  <c r="J22" i="52" s="1"/>
  <c r="V77" i="33"/>
  <c r="Y30" i="33"/>
  <c r="I26" i="36"/>
  <c r="I81" i="36" s="1"/>
  <c r="L81" i="36" s="1"/>
  <c r="D81" i="50" s="1"/>
  <c r="L26" i="33"/>
  <c r="C26" i="50" s="1"/>
  <c r="L200" i="30"/>
  <c r="H205" i="30"/>
  <c r="B201" i="37"/>
  <c r="AX201" i="37" s="1"/>
  <c r="BB201" i="37" s="1"/>
  <c r="F201" i="36"/>
  <c r="D201" i="49" s="1"/>
  <c r="D201" i="39"/>
  <c r="Z180" i="38"/>
  <c r="AD180" i="37"/>
  <c r="E180" i="51" s="1"/>
  <c r="B174" i="37"/>
  <c r="F174" i="36"/>
  <c r="D174" i="49" s="1"/>
  <c r="D174" i="39"/>
  <c r="X116" i="33"/>
  <c r="P86" i="33"/>
  <c r="R77" i="33"/>
  <c r="C77" i="53" s="1"/>
  <c r="P90" i="33"/>
  <c r="N169" i="38"/>
  <c r="R169" i="37"/>
  <c r="E169" i="53" s="1"/>
  <c r="X128" i="33"/>
  <c r="B196" i="37"/>
  <c r="F196" i="36"/>
  <c r="D196" i="49" s="1"/>
  <c r="D196" i="39"/>
  <c r="B180" i="37"/>
  <c r="F180" i="36"/>
  <c r="D180" i="49" s="1"/>
  <c r="D180" i="39"/>
  <c r="N202" i="37"/>
  <c r="R202" i="36"/>
  <c r="D202" i="53" s="1"/>
  <c r="C124" i="37"/>
  <c r="AY124" i="37" s="1"/>
  <c r="F124" i="36"/>
  <c r="D124" i="49" s="1"/>
  <c r="C128" i="36"/>
  <c r="C129" i="36" s="1"/>
  <c r="B194" i="37"/>
  <c r="AX194" i="37" s="1"/>
  <c r="F194" i="36"/>
  <c r="D194" i="49" s="1"/>
  <c r="B205" i="36"/>
  <c r="H205" i="36"/>
  <c r="H199" i="37"/>
  <c r="L199" i="36"/>
  <c r="D199" i="50" s="1"/>
  <c r="X179" i="37"/>
  <c r="E179" i="52" s="1"/>
  <c r="T179" i="38"/>
  <c r="AB130" i="33"/>
  <c r="R129" i="33"/>
  <c r="R69" i="33" s="1"/>
  <c r="T197" i="38"/>
  <c r="X197" i="37"/>
  <c r="E197" i="52" s="1"/>
  <c r="N196" i="37"/>
  <c r="R196" i="36"/>
  <c r="D196" i="53" s="1"/>
  <c r="H198" i="38"/>
  <c r="L198" i="37"/>
  <c r="E198" i="50" s="1"/>
  <c r="N130" i="33"/>
  <c r="N174" i="37"/>
  <c r="R174" i="36"/>
  <c r="Z204" i="37"/>
  <c r="AD204" i="36"/>
  <c r="D204" i="51" s="1"/>
  <c r="AP68" i="37"/>
  <c r="AP220" i="37"/>
  <c r="AP221" i="37" s="1"/>
  <c r="O130" i="33"/>
  <c r="AP138" i="38"/>
  <c r="AP139" i="38" s="1"/>
  <c r="AP207" i="38" s="1"/>
  <c r="AL138" i="38"/>
  <c r="AL139" i="38" s="1"/>
  <c r="AL207" i="38" s="1"/>
  <c r="AL220" i="38" s="1"/>
  <c r="AL221" i="38" s="1"/>
  <c r="O86" i="33"/>
  <c r="O92" i="33"/>
  <c r="R79" i="33"/>
  <c r="D130" i="33"/>
  <c r="T194" i="38"/>
  <c r="X194" i="37"/>
  <c r="E194" i="52" s="1"/>
  <c r="B198" i="37"/>
  <c r="AX198" i="37" s="1"/>
  <c r="BB198" i="37" s="1"/>
  <c r="D198" i="39"/>
  <c r="F198" i="36"/>
  <c r="D198" i="49" s="1"/>
  <c r="H105" i="38"/>
  <c r="L105" i="37"/>
  <c r="E105" i="50" s="1"/>
  <c r="O26" i="37"/>
  <c r="O81" i="37" s="1"/>
  <c r="R81" i="37" s="1"/>
  <c r="E81" i="53" s="1"/>
  <c r="R26" i="36"/>
  <c r="D26" i="53" s="1"/>
  <c r="N179" i="37"/>
  <c r="R179" i="36"/>
  <c r="D179" i="53" s="1"/>
  <c r="D181" i="53" s="1"/>
  <c r="V122" i="37"/>
  <c r="AZ122" i="37" s="1"/>
  <c r="BB122" i="37" s="1"/>
  <c r="X122" i="36"/>
  <c r="D122" i="52" s="1"/>
  <c r="D122" i="39"/>
  <c r="L129" i="30"/>
  <c r="L69" i="30" s="1"/>
  <c r="H107" i="37"/>
  <c r="L107" i="36"/>
  <c r="D107" i="50" s="1"/>
  <c r="D116" i="50" s="1"/>
  <c r="D129" i="50" s="1"/>
  <c r="D107" i="39"/>
  <c r="AB120" i="38"/>
  <c r="AD120" i="37"/>
  <c r="E120" i="51" s="1"/>
  <c r="N111" i="38"/>
  <c r="R111" i="37"/>
  <c r="E111" i="53" s="1"/>
  <c r="AA124" i="38"/>
  <c r="AD124" i="37"/>
  <c r="E124" i="51" s="1"/>
  <c r="AA128" i="37"/>
  <c r="BB178" i="33"/>
  <c r="AX181" i="33"/>
  <c r="AA138" i="33"/>
  <c r="AA139" i="33" s="1"/>
  <c r="AA207" i="33" s="1"/>
  <c r="Z178" i="37"/>
  <c r="AD178" i="36"/>
  <c r="Z181" i="36"/>
  <c r="T178" i="38"/>
  <c r="T181" i="37"/>
  <c r="X178" i="37"/>
  <c r="E178" i="52" s="1"/>
  <c r="O106" i="38"/>
  <c r="AY106" i="38" s="1"/>
  <c r="BB106" i="38" s="1"/>
  <c r="R106" i="37"/>
  <c r="E106" i="53" s="1"/>
  <c r="O116" i="37"/>
  <c r="L116" i="33"/>
  <c r="AA23" i="36"/>
  <c r="AA79" i="36" s="1"/>
  <c r="AD79" i="36" s="1"/>
  <c r="D79" i="51" s="1"/>
  <c r="AD23" i="33"/>
  <c r="C23" i="51" s="1"/>
  <c r="J23" i="51" s="1"/>
  <c r="U23" i="36"/>
  <c r="U79" i="36" s="1"/>
  <c r="X79" i="36" s="1"/>
  <c r="D79" i="52" s="1"/>
  <c r="X23" i="33"/>
  <c r="C23" i="52" s="1"/>
  <c r="J23" i="52" s="1"/>
  <c r="X200" i="30"/>
  <c r="T205" i="30"/>
  <c r="M30" i="33"/>
  <c r="J78" i="33"/>
  <c r="J22" i="36"/>
  <c r="J149" i="36" s="1"/>
  <c r="J77" i="33"/>
  <c r="L22" i="33"/>
  <c r="C22" i="50" s="1"/>
  <c r="J22" i="50" s="1"/>
  <c r="T130" i="33"/>
  <c r="Z196" i="37"/>
  <c r="AD196" i="36"/>
  <c r="D196" i="51" s="1"/>
  <c r="D205" i="51" s="1"/>
  <c r="Z205" i="36"/>
  <c r="L179" i="36"/>
  <c r="D179" i="50" s="1"/>
  <c r="H179" i="37"/>
  <c r="N181" i="36"/>
  <c r="U129" i="33"/>
  <c r="U131" i="33" s="1"/>
  <c r="P91" i="33"/>
  <c r="R78" i="33"/>
  <c r="S30" i="36"/>
  <c r="P78" i="36"/>
  <c r="P22" i="37"/>
  <c r="P149" i="37" s="1"/>
  <c r="P77" i="36"/>
  <c r="R22" i="36"/>
  <c r="D22" i="53" s="1"/>
  <c r="V119" i="37"/>
  <c r="X119" i="36"/>
  <c r="D119" i="52" s="1"/>
  <c r="V128" i="36"/>
  <c r="V129" i="36" s="1"/>
  <c r="B169" i="37"/>
  <c r="AX169" i="37" s="1"/>
  <c r="BB169" i="37" s="1"/>
  <c r="F169" i="36"/>
  <c r="D169" i="49" s="1"/>
  <c r="H180" i="37"/>
  <c r="L180" i="36"/>
  <c r="D180" i="50" s="1"/>
  <c r="R180" i="36"/>
  <c r="D180" i="53" s="1"/>
  <c r="N180" i="37"/>
  <c r="Z199" i="37"/>
  <c r="AD199" i="36"/>
  <c r="D199" i="51" s="1"/>
  <c r="T198" i="38"/>
  <c r="X198" i="37"/>
  <c r="E198" i="52" s="1"/>
  <c r="B111" i="37"/>
  <c r="AX111" i="37" s="1"/>
  <c r="BB111" i="37" s="1"/>
  <c r="B116" i="36"/>
  <c r="B129" i="36" s="1"/>
  <c r="F111" i="36"/>
  <c r="D111" i="49" s="1"/>
  <c r="D111" i="39"/>
  <c r="BB124" i="33"/>
  <c r="C124" i="39" s="1"/>
  <c r="AY128" i="33"/>
  <c r="AY129" i="33" s="1"/>
  <c r="AX205" i="33"/>
  <c r="BB194" i="33"/>
  <c r="I129" i="36"/>
  <c r="AD128" i="33"/>
  <c r="T199" i="37"/>
  <c r="X199" i="36"/>
  <c r="D199" i="52" s="1"/>
  <c r="D205" i="52" s="1"/>
  <c r="B197" i="37"/>
  <c r="AX197" i="37" s="1"/>
  <c r="BB197" i="37" s="1"/>
  <c r="F197" i="36"/>
  <c r="D197" i="49" s="1"/>
  <c r="D197" i="39"/>
  <c r="L176" i="36"/>
  <c r="O93" i="33"/>
  <c r="R80" i="33"/>
  <c r="T180" i="38"/>
  <c r="X180" i="37"/>
  <c r="E180" i="52" s="1"/>
  <c r="H197" i="38"/>
  <c r="L197" i="37"/>
  <c r="E197" i="50" s="1"/>
  <c r="V120" i="37"/>
  <c r="X120" i="36"/>
  <c r="D120" i="52" s="1"/>
  <c r="Z197" i="38"/>
  <c r="AD197" i="37"/>
  <c r="E197" i="51" s="1"/>
  <c r="T169" i="38"/>
  <c r="X169" i="37"/>
  <c r="E169" i="52" s="1"/>
  <c r="B179" i="37"/>
  <c r="F179" i="36"/>
  <c r="D179" i="49" s="1"/>
  <c r="D179" i="39"/>
  <c r="D119" i="37"/>
  <c r="AZ119" i="37" s="1"/>
  <c r="BB119" i="37" s="1"/>
  <c r="D128" i="36"/>
  <c r="D129" i="36" s="1"/>
  <c r="F119" i="36"/>
  <c r="D119" i="49" s="1"/>
  <c r="D128" i="49" s="1"/>
  <c r="T111" i="38"/>
  <c r="X111" i="37"/>
  <c r="E111" i="52" s="1"/>
  <c r="AA129" i="36"/>
  <c r="B170" i="37"/>
  <c r="AX170" i="37" s="1"/>
  <c r="BB170" i="37" s="1"/>
  <c r="F170" i="36"/>
  <c r="D170" i="49" s="1"/>
  <c r="D170" i="39"/>
  <c r="H202" i="37"/>
  <c r="L202" i="36"/>
  <c r="D202" i="50" s="1"/>
  <c r="L147" i="30"/>
  <c r="B147" i="50" s="1"/>
  <c r="L161" i="30"/>
  <c r="B161" i="50" s="1"/>
  <c r="L145" i="30"/>
  <c r="B145" i="50" s="1"/>
  <c r="L154" i="30"/>
  <c r="B154" i="50" s="1"/>
  <c r="L146" i="30"/>
  <c r="B146" i="50" s="1"/>
  <c r="L148" i="30"/>
  <c r="B148" i="50" s="1"/>
  <c r="L75" i="30"/>
  <c r="B75" i="50" s="1"/>
  <c r="AD158" i="30"/>
  <c r="B158" i="51" s="1"/>
  <c r="AD132" i="30"/>
  <c r="B132" i="51" s="1"/>
  <c r="Z86" i="30"/>
  <c r="AD164" i="30"/>
  <c r="B164" i="51" s="1"/>
  <c r="AD163" i="30"/>
  <c r="B163" i="51" s="1"/>
  <c r="AD74" i="30"/>
  <c r="B74" i="51" s="1"/>
  <c r="AC86" i="30"/>
  <c r="AC89" i="30"/>
  <c r="AC99" i="30" s="1"/>
  <c r="AD76" i="30"/>
  <c r="AD157" i="30"/>
  <c r="B157" i="51" s="1"/>
  <c r="AC192" i="30"/>
  <c r="AD183" i="30"/>
  <c r="AC138" i="30"/>
  <c r="AC139" i="30" s="1"/>
  <c r="AD141" i="30"/>
  <c r="Z151" i="30"/>
  <c r="AD116" i="30"/>
  <c r="AD129" i="30" s="1"/>
  <c r="AA98" i="30"/>
  <c r="AA99" i="30" s="1"/>
  <c r="AA86" i="30"/>
  <c r="AB85" i="30"/>
  <c r="AB167" i="30"/>
  <c r="Z98" i="30"/>
  <c r="Z99" i="30" s="1"/>
  <c r="X131" i="30"/>
  <c r="B131" i="52" s="1"/>
  <c r="U138" i="30"/>
  <c r="U139" i="30" s="1"/>
  <c r="U207" i="30" s="1"/>
  <c r="X70" i="30"/>
  <c r="X151" i="30"/>
  <c r="X87" i="30"/>
  <c r="B87" i="52" s="1"/>
  <c r="W192" i="30"/>
  <c r="X163" i="30"/>
  <c r="B163" i="52" s="1"/>
  <c r="X165" i="30"/>
  <c r="B165" i="52" s="1"/>
  <c r="T151" i="30"/>
  <c r="W86" i="30"/>
  <c r="W89" i="30"/>
  <c r="W99" i="30" s="1"/>
  <c r="T85" i="30"/>
  <c r="X158" i="30"/>
  <c r="B158" i="52" s="1"/>
  <c r="V85" i="30"/>
  <c r="V167" i="30"/>
  <c r="T138" i="30"/>
  <c r="T139" i="30" s="1"/>
  <c r="X130" i="30"/>
  <c r="B130" i="52" s="1"/>
  <c r="W138" i="30"/>
  <c r="W139" i="30" s="1"/>
  <c r="U98" i="30"/>
  <c r="U99" i="30" s="1"/>
  <c r="U86" i="30"/>
  <c r="O138" i="30"/>
  <c r="O139" i="30" s="1"/>
  <c r="R158" i="30"/>
  <c r="R69" i="30"/>
  <c r="N138" i="30"/>
  <c r="N139" i="30" s="1"/>
  <c r="P138" i="30"/>
  <c r="P139" i="30" s="1"/>
  <c r="Q138" i="30"/>
  <c r="Q139" i="30" s="1"/>
  <c r="Q207" i="30" s="1"/>
  <c r="Q220" i="30" s="1"/>
  <c r="Q221" i="30" s="1"/>
  <c r="P85" i="30"/>
  <c r="P167" i="30"/>
  <c r="N167" i="30"/>
  <c r="N98" i="30"/>
  <c r="N99" i="30" s="1"/>
  <c r="N86" i="30"/>
  <c r="O167" i="30"/>
  <c r="O85" i="30"/>
  <c r="R130" i="30"/>
  <c r="B130" i="53" s="1"/>
  <c r="J138" i="30"/>
  <c r="J139" i="30" s="1"/>
  <c r="L70" i="30"/>
  <c r="L132" i="30"/>
  <c r="B132" i="50" s="1"/>
  <c r="I138" i="30"/>
  <c r="I139" i="30" s="1"/>
  <c r="L87" i="30"/>
  <c r="B87" i="50" s="1"/>
  <c r="L88" i="30"/>
  <c r="B88" i="50" s="1"/>
  <c r="L76" i="30"/>
  <c r="K86" i="30"/>
  <c r="K89" i="30"/>
  <c r="K99" i="30" s="1"/>
  <c r="L157" i="30"/>
  <c r="B157" i="50" s="1"/>
  <c r="I85" i="30"/>
  <c r="I167" i="30"/>
  <c r="L183" i="30"/>
  <c r="K192" i="30"/>
  <c r="K207" i="30" s="1"/>
  <c r="J85" i="30"/>
  <c r="J167" i="30"/>
  <c r="L158" i="30"/>
  <c r="B158" i="50" s="1"/>
  <c r="L141" i="30"/>
  <c r="B141" i="50" s="1"/>
  <c r="H151" i="30"/>
  <c r="H98" i="30"/>
  <c r="C69" i="50" l="1"/>
  <c r="C70" i="50"/>
  <c r="D128" i="53"/>
  <c r="B167" i="51"/>
  <c r="AX174" i="37"/>
  <c r="BB174" i="37" s="1"/>
  <c r="AX204" i="37"/>
  <c r="BB204" i="37" s="1"/>
  <c r="J130" i="36"/>
  <c r="AB138" i="30"/>
  <c r="AB139" i="30" s="1"/>
  <c r="AB207" i="30" s="1"/>
  <c r="AX179" i="37"/>
  <c r="BB179" i="37" s="1"/>
  <c r="E176" i="50"/>
  <c r="D181" i="49"/>
  <c r="D205" i="50"/>
  <c r="AD129" i="33"/>
  <c r="AD69" i="33" s="1"/>
  <c r="B70" i="51"/>
  <c r="B69" i="51"/>
  <c r="H80" i="48"/>
  <c r="O80" i="48" s="1"/>
  <c r="H81" i="48"/>
  <c r="O81" i="48" s="1"/>
  <c r="H77" i="48"/>
  <c r="O77" i="48" s="1"/>
  <c r="H68" i="48"/>
  <c r="H79" i="48"/>
  <c r="O79" i="48" s="1"/>
  <c r="H78" i="48"/>
  <c r="O78" i="48" s="1"/>
  <c r="D70" i="50"/>
  <c r="D69" i="50"/>
  <c r="AD192" i="30"/>
  <c r="B183" i="51"/>
  <c r="C116" i="49"/>
  <c r="C129" i="49" s="1"/>
  <c r="C69" i="49" s="1"/>
  <c r="H98" i="48"/>
  <c r="O98" i="48" s="1"/>
  <c r="H100" i="48"/>
  <c r="O100" i="48" s="1"/>
  <c r="H97" i="48"/>
  <c r="O97" i="48" s="1"/>
  <c r="H88" i="48"/>
  <c r="H99" i="48"/>
  <c r="O99" i="48" s="1"/>
  <c r="H101" i="48"/>
  <c r="O101" i="48" s="1"/>
  <c r="BB119" i="36"/>
  <c r="AZ128" i="36"/>
  <c r="AZ129" i="36" s="1"/>
  <c r="BB205" i="36"/>
  <c r="B138" i="53"/>
  <c r="R167" i="30"/>
  <c r="B158" i="53"/>
  <c r="T205" i="37"/>
  <c r="D116" i="49"/>
  <c r="D129" i="49" s="1"/>
  <c r="D69" i="49" s="1"/>
  <c r="J128" i="37"/>
  <c r="J129" i="37" s="1"/>
  <c r="AZ120" i="37"/>
  <c r="D116" i="52"/>
  <c r="D205" i="53"/>
  <c r="B192" i="52"/>
  <c r="B192" i="53"/>
  <c r="B151" i="53"/>
  <c r="C70" i="51"/>
  <c r="L192" i="30"/>
  <c r="B183" i="50"/>
  <c r="AX202" i="37"/>
  <c r="BB202" i="37" s="1"/>
  <c r="BB124" i="36"/>
  <c r="D124" i="39" s="1"/>
  <c r="AY128" i="36"/>
  <c r="AY129" i="36" s="1"/>
  <c r="H118" i="48"/>
  <c r="O118" i="48" s="1"/>
  <c r="H119" i="48"/>
  <c r="O119" i="48" s="1"/>
  <c r="H120" i="48"/>
  <c r="O120" i="48" s="1"/>
  <c r="H121" i="48"/>
  <c r="O121" i="48" s="1"/>
  <c r="H117" i="48"/>
  <c r="H108" i="48"/>
  <c r="L89" i="30"/>
  <c r="B89" i="50" s="1"/>
  <c r="B76" i="50"/>
  <c r="B138" i="52"/>
  <c r="B139" i="52" s="1"/>
  <c r="AD151" i="30"/>
  <c r="B141" i="51"/>
  <c r="R93" i="33"/>
  <c r="C93" i="53" s="1"/>
  <c r="C80" i="53"/>
  <c r="R91" i="33"/>
  <c r="C91" i="53" s="1"/>
  <c r="C78" i="53"/>
  <c r="X205" i="30"/>
  <c r="B200" i="52"/>
  <c r="B205" i="52" s="1"/>
  <c r="R92" i="33"/>
  <c r="C92" i="53" s="1"/>
  <c r="C79" i="53"/>
  <c r="C86" i="53" s="1"/>
  <c r="D205" i="49"/>
  <c r="BB124" i="37"/>
  <c r="AY128" i="37"/>
  <c r="AY129" i="37" s="1"/>
  <c r="AX196" i="37"/>
  <c r="BB196" i="37" s="1"/>
  <c r="E196" i="39" s="1"/>
  <c r="R94" i="33"/>
  <c r="C94" i="53" s="1"/>
  <c r="C81" i="53"/>
  <c r="R116" i="36"/>
  <c r="D107" i="53"/>
  <c r="AX199" i="37"/>
  <c r="BB199" i="37" s="1"/>
  <c r="AX178" i="37"/>
  <c r="E205" i="50"/>
  <c r="R151" i="33"/>
  <c r="C149" i="53"/>
  <c r="D176" i="51"/>
  <c r="B116" i="53"/>
  <c r="B129" i="53" s="1"/>
  <c r="B69" i="53" s="1"/>
  <c r="C70" i="53"/>
  <c r="C69" i="53"/>
  <c r="BB181" i="36"/>
  <c r="C129" i="52"/>
  <c r="B167" i="52"/>
  <c r="R176" i="36"/>
  <c r="D174" i="53"/>
  <c r="B151" i="50"/>
  <c r="AD89" i="30"/>
  <c r="B89" i="51" s="1"/>
  <c r="B76" i="51"/>
  <c r="B86" i="51" s="1"/>
  <c r="D128" i="52"/>
  <c r="D129" i="52" s="1"/>
  <c r="D69" i="52" s="1"/>
  <c r="E181" i="52"/>
  <c r="AD181" i="36"/>
  <c r="D178" i="51"/>
  <c r="D181" i="51" s="1"/>
  <c r="BB194" i="37"/>
  <c r="BB205" i="37" s="1"/>
  <c r="AX180" i="37"/>
  <c r="BB180" i="37" s="1"/>
  <c r="L205" i="30"/>
  <c r="B200" i="50"/>
  <c r="B205" i="50" s="1"/>
  <c r="D181" i="50"/>
  <c r="D128" i="51"/>
  <c r="D129" i="51" s="1"/>
  <c r="X176" i="36"/>
  <c r="D174" i="52"/>
  <c r="D176" i="52" s="1"/>
  <c r="AD205" i="30"/>
  <c r="B200" i="51"/>
  <c r="B205" i="51" s="1"/>
  <c r="C176" i="53"/>
  <c r="AX181" i="36"/>
  <c r="AX205" i="36"/>
  <c r="J131" i="37"/>
  <c r="J130" i="37"/>
  <c r="P131" i="36"/>
  <c r="P130" i="36"/>
  <c r="V131" i="36"/>
  <c r="V130" i="36"/>
  <c r="D130" i="36"/>
  <c r="D131" i="36"/>
  <c r="C130" i="36"/>
  <c r="C131" i="36"/>
  <c r="B131" i="36"/>
  <c r="B130" i="36"/>
  <c r="I131" i="36"/>
  <c r="L131" i="36" s="1"/>
  <c r="D131" i="50" s="1"/>
  <c r="I130" i="36"/>
  <c r="L130" i="36" s="1"/>
  <c r="D130" i="50" s="1"/>
  <c r="AX116" i="36"/>
  <c r="AX129" i="36" s="1"/>
  <c r="O130" i="36"/>
  <c r="O131" i="36"/>
  <c r="N131" i="36"/>
  <c r="N130" i="36"/>
  <c r="AX107" i="37"/>
  <c r="BB107" i="37" s="1"/>
  <c r="E107" i="39" s="1"/>
  <c r="T130" i="36"/>
  <c r="T131" i="36"/>
  <c r="BB105" i="37"/>
  <c r="BB116" i="36"/>
  <c r="Z130" i="36"/>
  <c r="Z131" i="36"/>
  <c r="AA131" i="36"/>
  <c r="AA130" i="36"/>
  <c r="AB130" i="36"/>
  <c r="AB131" i="36"/>
  <c r="AZ130" i="33"/>
  <c r="AZ131" i="33"/>
  <c r="E240" i="47"/>
  <c r="E243" i="47" s="1"/>
  <c r="D244" i="47"/>
  <c r="AD116" i="36"/>
  <c r="L129" i="33"/>
  <c r="L69" i="33" s="1"/>
  <c r="I138" i="33"/>
  <c r="I139" i="33" s="1"/>
  <c r="I207" i="33" s="1"/>
  <c r="AA220" i="30"/>
  <c r="AA221" i="30" s="1"/>
  <c r="T176" i="37"/>
  <c r="L130" i="33"/>
  <c r="R128" i="36"/>
  <c r="R129" i="36" s="1"/>
  <c r="U129" i="36"/>
  <c r="P138" i="33"/>
  <c r="P139" i="33" s="1"/>
  <c r="P207" i="33" s="1"/>
  <c r="P220" i="33" s="1"/>
  <c r="P221" i="33" s="1"/>
  <c r="X116" i="36"/>
  <c r="R181" i="36"/>
  <c r="L205" i="36"/>
  <c r="F128" i="36"/>
  <c r="N181" i="37"/>
  <c r="X129" i="33"/>
  <c r="X70" i="33" s="1"/>
  <c r="AD131" i="33"/>
  <c r="C131" i="51" s="1"/>
  <c r="L128" i="36"/>
  <c r="X205" i="36"/>
  <c r="AP70" i="42"/>
  <c r="F181" i="36"/>
  <c r="L176" i="37"/>
  <c r="AD205" i="36"/>
  <c r="L181" i="36"/>
  <c r="H205" i="37"/>
  <c r="B170" i="38"/>
  <c r="F170" i="37"/>
  <c r="E170" i="49" s="1"/>
  <c r="E170" i="39"/>
  <c r="U23" i="37"/>
  <c r="U79" i="37" s="1"/>
  <c r="X79" i="37" s="1"/>
  <c r="E79" i="52" s="1"/>
  <c r="X23" i="36"/>
  <c r="D23" i="52" s="1"/>
  <c r="O26" i="38"/>
  <c r="O81" i="38" s="1"/>
  <c r="R81" i="38" s="1"/>
  <c r="F81" i="53" s="1"/>
  <c r="R26" i="37"/>
  <c r="E26" i="53" s="1"/>
  <c r="N169" i="42"/>
  <c r="R169" i="38"/>
  <c r="F169" i="53" s="1"/>
  <c r="I26" i="37"/>
  <c r="I81" i="37" s="1"/>
  <c r="L81" i="37" s="1"/>
  <c r="E81" i="50" s="1"/>
  <c r="L26" i="36"/>
  <c r="D26" i="50" s="1"/>
  <c r="Z105" i="38"/>
  <c r="AX105" i="38" s="1"/>
  <c r="AD105" i="37"/>
  <c r="E105" i="51" s="1"/>
  <c r="Z116" i="37"/>
  <c r="Z129" i="37" s="1"/>
  <c r="O24" i="38"/>
  <c r="O80" i="38" s="1"/>
  <c r="R80" i="38" s="1"/>
  <c r="F80" i="53" s="1"/>
  <c r="R24" i="37"/>
  <c r="E24" i="53" s="1"/>
  <c r="AB119" i="38"/>
  <c r="AD119" i="37"/>
  <c r="E119" i="51" s="1"/>
  <c r="AB128" i="37"/>
  <c r="AB129" i="37" s="1"/>
  <c r="X80" i="33"/>
  <c r="U93" i="33"/>
  <c r="V123" i="38"/>
  <c r="X123" i="37"/>
  <c r="E123" i="52" s="1"/>
  <c r="N170" i="42"/>
  <c r="R170" i="42" s="1"/>
  <c r="G170" i="53" s="1"/>
  <c r="R170" i="38"/>
  <c r="F170" i="53" s="1"/>
  <c r="N204" i="38"/>
  <c r="R204" i="37"/>
  <c r="E204" i="53" s="1"/>
  <c r="L79" i="33"/>
  <c r="I92" i="33"/>
  <c r="I86" i="33"/>
  <c r="H202" i="38"/>
  <c r="L202" i="37"/>
  <c r="E202" i="50" s="1"/>
  <c r="T169" i="42"/>
  <c r="X169" i="38"/>
  <c r="F169" i="52" s="1"/>
  <c r="B111" i="38"/>
  <c r="E111" i="39"/>
  <c r="F111" i="37"/>
  <c r="E111" i="49" s="1"/>
  <c r="B116" i="37"/>
  <c r="B129" i="37" s="1"/>
  <c r="Z199" i="42"/>
  <c r="AD199" i="42" s="1"/>
  <c r="G199" i="51" s="1"/>
  <c r="Z199" i="38"/>
  <c r="AD199" i="38" s="1"/>
  <c r="F199" i="51" s="1"/>
  <c r="AD199" i="37"/>
  <c r="E199" i="51" s="1"/>
  <c r="H180" i="38"/>
  <c r="L180" i="37"/>
  <c r="E180" i="50" s="1"/>
  <c r="B169" i="38"/>
  <c r="F169" i="37"/>
  <c r="E169" i="49" s="1"/>
  <c r="AY131" i="33"/>
  <c r="U130" i="33"/>
  <c r="AY130" i="33" s="1"/>
  <c r="M30" i="36"/>
  <c r="J78" i="36"/>
  <c r="J22" i="37"/>
  <c r="J149" i="37" s="1"/>
  <c r="L22" i="36"/>
  <c r="D22" i="50" s="1"/>
  <c r="J77" i="36"/>
  <c r="M22" i="36"/>
  <c r="AA92" i="33"/>
  <c r="AD79" i="33"/>
  <c r="AA86" i="33"/>
  <c r="AA220" i="33" s="1"/>
  <c r="AA221" i="33" s="1"/>
  <c r="T178" i="42"/>
  <c r="X178" i="38"/>
  <c r="F178" i="52" s="1"/>
  <c r="T181" i="38"/>
  <c r="H107" i="38"/>
  <c r="H116" i="38" s="1"/>
  <c r="H129" i="38" s="1"/>
  <c r="L107" i="37"/>
  <c r="V122" i="38"/>
  <c r="AZ122" i="38" s="1"/>
  <c r="BB122" i="38" s="1"/>
  <c r="X122" i="37"/>
  <c r="E122" i="52" s="1"/>
  <c r="E122" i="39"/>
  <c r="H116" i="37"/>
  <c r="H129" i="37" s="1"/>
  <c r="AP68" i="38"/>
  <c r="AP220" i="38"/>
  <c r="AP221" i="38" s="1"/>
  <c r="N202" i="38"/>
  <c r="R202" i="37"/>
  <c r="E202" i="53" s="1"/>
  <c r="AD180" i="38"/>
  <c r="F180" i="51" s="1"/>
  <c r="Z180" i="42"/>
  <c r="AD180" i="42" s="1"/>
  <c r="G180" i="51" s="1"/>
  <c r="I94" i="33"/>
  <c r="L81" i="33"/>
  <c r="AB90" i="33"/>
  <c r="AD77" i="33"/>
  <c r="C77" i="51" s="1"/>
  <c r="AB86" i="33"/>
  <c r="Z202" i="38"/>
  <c r="AD202" i="37"/>
  <c r="E202" i="51" s="1"/>
  <c r="T202" i="38"/>
  <c r="X202" i="37"/>
  <c r="E202" i="52" s="1"/>
  <c r="J123" i="42"/>
  <c r="L123" i="38"/>
  <c r="F123" i="50" s="1"/>
  <c r="H169" i="42"/>
  <c r="H176" i="38"/>
  <c r="L169" i="38"/>
  <c r="F169" i="50" s="1"/>
  <c r="N194" i="38"/>
  <c r="N205" i="37"/>
  <c r="R194" i="37"/>
  <c r="E194" i="53" s="1"/>
  <c r="B195" i="38"/>
  <c r="AX195" i="38" s="1"/>
  <c r="BB195" i="38" s="1"/>
  <c r="E195" i="39"/>
  <c r="F195" i="37"/>
  <c r="E195" i="49" s="1"/>
  <c r="N199" i="42"/>
  <c r="R199" i="42" s="1"/>
  <c r="G199" i="53" s="1"/>
  <c r="N199" i="38"/>
  <c r="R199" i="38" s="1"/>
  <c r="F199" i="53" s="1"/>
  <c r="R199" i="37"/>
  <c r="E199" i="53" s="1"/>
  <c r="I124" i="38"/>
  <c r="L124" i="37"/>
  <c r="E124" i="50" s="1"/>
  <c r="I128" i="37"/>
  <c r="I129" i="37" s="1"/>
  <c r="Z194" i="42"/>
  <c r="AD194" i="38"/>
  <c r="F194" i="51" s="1"/>
  <c r="U94" i="33"/>
  <c r="X81" i="33"/>
  <c r="AA94" i="33"/>
  <c r="AD81" i="33"/>
  <c r="T196" i="38"/>
  <c r="X196" i="37"/>
  <c r="E196" i="52" s="1"/>
  <c r="H174" i="42"/>
  <c r="L174" i="42" s="1"/>
  <c r="G174" i="50" s="1"/>
  <c r="L174" i="38"/>
  <c r="F174" i="50" s="1"/>
  <c r="B178" i="38"/>
  <c r="B181" i="37"/>
  <c r="F178" i="37"/>
  <c r="E178" i="49" s="1"/>
  <c r="H111" i="42"/>
  <c r="L111" i="42" s="1"/>
  <c r="G111" i="50" s="1"/>
  <c r="L111" i="38"/>
  <c r="F111" i="50" s="1"/>
  <c r="H138" i="36"/>
  <c r="H139" i="36" s="1"/>
  <c r="H207" i="36" s="1"/>
  <c r="H220" i="36" s="1"/>
  <c r="H221" i="36" s="1"/>
  <c r="Z197" i="42"/>
  <c r="AD197" i="42" s="1"/>
  <c r="G197" i="51" s="1"/>
  <c r="AD197" i="38"/>
  <c r="F197" i="51" s="1"/>
  <c r="R78" i="36"/>
  <c r="P91" i="36"/>
  <c r="T138" i="33"/>
  <c r="T139" i="33" s="1"/>
  <c r="T207" i="33" s="1"/>
  <c r="T220" i="33" s="1"/>
  <c r="T221" i="33" s="1"/>
  <c r="E106" i="39"/>
  <c r="R131" i="33"/>
  <c r="C131" i="53" s="1"/>
  <c r="N196" i="38"/>
  <c r="R196" i="37"/>
  <c r="E196" i="53" s="1"/>
  <c r="F180" i="37"/>
  <c r="E180" i="49" s="1"/>
  <c r="B180" i="38"/>
  <c r="E180" i="39"/>
  <c r="B201" i="38"/>
  <c r="AX201" i="38" s="1"/>
  <c r="BB201" i="38" s="1"/>
  <c r="E201" i="39"/>
  <c r="F201" i="37"/>
  <c r="E201" i="49" s="1"/>
  <c r="X149" i="33"/>
  <c r="V151" i="33"/>
  <c r="AD78" i="33"/>
  <c r="AB91" i="33"/>
  <c r="U124" i="38"/>
  <c r="U128" i="37"/>
  <c r="X124" i="37"/>
  <c r="E124" i="52" s="1"/>
  <c r="N107" i="38"/>
  <c r="R107" i="37"/>
  <c r="N116" i="37"/>
  <c r="N129" i="37" s="1"/>
  <c r="V121" i="38"/>
  <c r="X121" i="37"/>
  <c r="E121" i="52" s="1"/>
  <c r="Z107" i="42"/>
  <c r="AD107" i="38"/>
  <c r="F107" i="51" s="1"/>
  <c r="B204" i="38"/>
  <c r="E204" i="39"/>
  <c r="F204" i="37"/>
  <c r="E204" i="49" s="1"/>
  <c r="T107" i="38"/>
  <c r="X107" i="37"/>
  <c r="E107" i="52" s="1"/>
  <c r="T116" i="37"/>
  <c r="T129" i="37" s="1"/>
  <c r="P207" i="30"/>
  <c r="B179" i="38"/>
  <c r="F179" i="37"/>
  <c r="E179" i="49" s="1"/>
  <c r="E179" i="39"/>
  <c r="V120" i="38"/>
  <c r="X120" i="37"/>
  <c r="E120" i="52" s="1"/>
  <c r="X180" i="38"/>
  <c r="F180" i="52" s="1"/>
  <c r="T180" i="42"/>
  <c r="X180" i="42" s="1"/>
  <c r="G180" i="52" s="1"/>
  <c r="T199" i="42"/>
  <c r="X199" i="42" s="1"/>
  <c r="G199" i="52" s="1"/>
  <c r="T199" i="38"/>
  <c r="X199" i="38" s="1"/>
  <c r="F199" i="52" s="1"/>
  <c r="X199" i="37"/>
  <c r="E199" i="52" s="1"/>
  <c r="BB205" i="33"/>
  <c r="C194" i="39"/>
  <c r="C205" i="39" s="1"/>
  <c r="N180" i="38"/>
  <c r="R180" i="37"/>
  <c r="E180" i="53" s="1"/>
  <c r="P90" i="36"/>
  <c r="R77" i="36"/>
  <c r="D77" i="53" s="1"/>
  <c r="P86" i="36"/>
  <c r="P151" i="36"/>
  <c r="R149" i="36"/>
  <c r="J151" i="33"/>
  <c r="J207" i="33" s="1"/>
  <c r="L149" i="33"/>
  <c r="J91" i="33"/>
  <c r="L78" i="33"/>
  <c r="O106" i="42"/>
  <c r="AY106" i="42" s="1"/>
  <c r="BB106" i="42" s="1"/>
  <c r="R106" i="38"/>
  <c r="F106" i="53" s="1"/>
  <c r="F106" i="39"/>
  <c r="O116" i="38"/>
  <c r="AA124" i="42"/>
  <c r="AA128" i="38"/>
  <c r="AD124" i="38"/>
  <c r="F124" i="51" s="1"/>
  <c r="AB120" i="42"/>
  <c r="AD120" i="42" s="1"/>
  <c r="G120" i="51" s="1"/>
  <c r="AD120" i="38"/>
  <c r="F120" i="51" s="1"/>
  <c r="T194" i="42"/>
  <c r="X194" i="38"/>
  <c r="F194" i="52" s="1"/>
  <c r="O99" i="33"/>
  <c r="N174" i="38"/>
  <c r="R174" i="37"/>
  <c r="H198" i="42"/>
  <c r="L198" i="42" s="1"/>
  <c r="G198" i="50" s="1"/>
  <c r="L198" i="38"/>
  <c r="F198" i="50" s="1"/>
  <c r="AB138" i="33"/>
  <c r="AB139" i="33" s="1"/>
  <c r="H199" i="42"/>
  <c r="L199" i="42" s="1"/>
  <c r="G199" i="50" s="1"/>
  <c r="H199" i="38"/>
  <c r="L199" i="38" s="1"/>
  <c r="F199" i="50" s="1"/>
  <c r="L199" i="37"/>
  <c r="E199" i="50" s="1"/>
  <c r="F205" i="36"/>
  <c r="N176" i="37"/>
  <c r="R90" i="33"/>
  <c r="R86" i="33"/>
  <c r="V91" i="33"/>
  <c r="X78" i="33"/>
  <c r="AB151" i="33"/>
  <c r="AD149" i="33"/>
  <c r="L178" i="37"/>
  <c r="E178" i="50" s="1"/>
  <c r="H178" i="38"/>
  <c r="H181" i="37"/>
  <c r="AB123" i="38"/>
  <c r="AD123" i="37"/>
  <c r="E123" i="51" s="1"/>
  <c r="Z198" i="42"/>
  <c r="AD198" i="42" s="1"/>
  <c r="G198" i="51" s="1"/>
  <c r="AD198" i="38"/>
  <c r="F198" i="51" s="1"/>
  <c r="AD128" i="36"/>
  <c r="U105" i="38"/>
  <c r="AY105" i="38" s="1"/>
  <c r="AY116" i="38" s="1"/>
  <c r="X105" i="37"/>
  <c r="E105" i="52" s="1"/>
  <c r="E116" i="52" s="1"/>
  <c r="U116" i="37"/>
  <c r="U24" i="37"/>
  <c r="U80" i="37" s="1"/>
  <c r="X80" i="37" s="1"/>
  <c r="E80" i="52" s="1"/>
  <c r="X24" i="36"/>
  <c r="D24" i="52" s="1"/>
  <c r="N198" i="38"/>
  <c r="R198" i="37"/>
  <c r="E198" i="53" s="1"/>
  <c r="L116" i="36"/>
  <c r="T204" i="38"/>
  <c r="X204" i="37"/>
  <c r="E204" i="52" s="1"/>
  <c r="J119" i="42"/>
  <c r="L119" i="38"/>
  <c r="F119" i="50" s="1"/>
  <c r="T174" i="38"/>
  <c r="X174" i="37"/>
  <c r="E174" i="52" s="1"/>
  <c r="H170" i="42"/>
  <c r="L170" i="42" s="1"/>
  <c r="G170" i="50" s="1"/>
  <c r="L170" i="38"/>
  <c r="F170" i="50" s="1"/>
  <c r="R70" i="33"/>
  <c r="H196" i="38"/>
  <c r="L196" i="37"/>
  <c r="E196" i="50" s="1"/>
  <c r="H204" i="38"/>
  <c r="L204" i="37"/>
  <c r="E204" i="50" s="1"/>
  <c r="V138" i="33"/>
  <c r="V139" i="33" s="1"/>
  <c r="N178" i="42"/>
  <c r="R178" i="38"/>
  <c r="F178" i="53" s="1"/>
  <c r="I24" i="37"/>
  <c r="I80" i="37" s="1"/>
  <c r="L80" i="37" s="1"/>
  <c r="E80" i="50" s="1"/>
  <c r="L24" i="36"/>
  <c r="D24" i="50" s="1"/>
  <c r="U26" i="37"/>
  <c r="U81" i="37" s="1"/>
  <c r="X81" i="37" s="1"/>
  <c r="E81" i="52" s="1"/>
  <c r="X26" i="36"/>
  <c r="D26" i="52" s="1"/>
  <c r="Z111" i="38"/>
  <c r="AD111" i="37"/>
  <c r="E111" i="51" s="1"/>
  <c r="H194" i="42"/>
  <c r="L194" i="38"/>
  <c r="F194" i="50" s="1"/>
  <c r="C169" i="39"/>
  <c r="AA93" i="33"/>
  <c r="AD80" i="33"/>
  <c r="H197" i="42"/>
  <c r="L197" i="42" s="1"/>
  <c r="G197" i="50" s="1"/>
  <c r="L197" i="38"/>
  <c r="F197" i="50" s="1"/>
  <c r="B197" i="38"/>
  <c r="F197" i="37"/>
  <c r="E197" i="49" s="1"/>
  <c r="E197" i="39"/>
  <c r="V119" i="38"/>
  <c r="X119" i="37"/>
  <c r="E119" i="52" s="1"/>
  <c r="E128" i="52" s="1"/>
  <c r="E129" i="52" s="1"/>
  <c r="E69" i="52" s="1"/>
  <c r="V128" i="37"/>
  <c r="V129" i="37" s="1"/>
  <c r="J90" i="33"/>
  <c r="L77" i="33"/>
  <c r="J86" i="33"/>
  <c r="AL138" i="42"/>
  <c r="AL139" i="42" s="1"/>
  <c r="AL207" i="42" s="1"/>
  <c r="AL220" i="42" s="1"/>
  <c r="AL221" i="42" s="1"/>
  <c r="AP138" i="42"/>
  <c r="AP139" i="42" s="1"/>
  <c r="AP207" i="42" s="1"/>
  <c r="Z178" i="38"/>
  <c r="Z181" i="37"/>
  <c r="AD178" i="37"/>
  <c r="N111" i="42"/>
  <c r="R111" i="42" s="1"/>
  <c r="G111" i="53" s="1"/>
  <c r="R111" i="38"/>
  <c r="F111" i="53" s="1"/>
  <c r="H105" i="42"/>
  <c r="L105" i="38"/>
  <c r="F105" i="50" s="1"/>
  <c r="Z204" i="38"/>
  <c r="AD204" i="37"/>
  <c r="E204" i="51" s="1"/>
  <c r="O23" i="38"/>
  <c r="O79" i="38" s="1"/>
  <c r="R79" i="38" s="1"/>
  <c r="F79" i="53" s="1"/>
  <c r="R23" i="37"/>
  <c r="E23" i="53" s="1"/>
  <c r="R205" i="36"/>
  <c r="AB122" i="42"/>
  <c r="AD122" i="42" s="1"/>
  <c r="G122" i="51" s="1"/>
  <c r="AD122" i="38"/>
  <c r="F122" i="51" s="1"/>
  <c r="B202" i="38"/>
  <c r="F202" i="37"/>
  <c r="E202" i="49" s="1"/>
  <c r="E202" i="39"/>
  <c r="Z205" i="37"/>
  <c r="AA116" i="42"/>
  <c r="AA116" i="38"/>
  <c r="Z169" i="38"/>
  <c r="AD169" i="37"/>
  <c r="E169" i="51" s="1"/>
  <c r="Z176" i="37"/>
  <c r="T111" i="42"/>
  <c r="X111" i="42" s="1"/>
  <c r="G111" i="52" s="1"/>
  <c r="X111" i="38"/>
  <c r="F111" i="52" s="1"/>
  <c r="D119" i="38"/>
  <c r="AZ119" i="38" s="1"/>
  <c r="BB119" i="38" s="1"/>
  <c r="D128" i="37"/>
  <c r="D129" i="37" s="1"/>
  <c r="F119" i="37"/>
  <c r="E119" i="49" s="1"/>
  <c r="F116" i="36"/>
  <c r="T198" i="42"/>
  <c r="X198" i="42" s="1"/>
  <c r="G198" i="52" s="1"/>
  <c r="X198" i="38"/>
  <c r="F198" i="52" s="1"/>
  <c r="X128" i="36"/>
  <c r="P22" i="38"/>
  <c r="P149" i="38" s="1"/>
  <c r="S30" i="37"/>
  <c r="R22" i="37"/>
  <c r="E22" i="53" s="1"/>
  <c r="P78" i="37"/>
  <c r="P77" i="37"/>
  <c r="L179" i="37"/>
  <c r="E179" i="50" s="1"/>
  <c r="E181" i="50" s="1"/>
  <c r="H179" i="38"/>
  <c r="Z196" i="38"/>
  <c r="AD196" i="37"/>
  <c r="E196" i="51" s="1"/>
  <c r="E205" i="51" s="1"/>
  <c r="U92" i="33"/>
  <c r="X79" i="33"/>
  <c r="U86" i="33"/>
  <c r="AA23" i="37"/>
  <c r="AA79" i="37" s="1"/>
  <c r="AD79" i="37" s="1"/>
  <c r="E79" i="51" s="1"/>
  <c r="AD23" i="36"/>
  <c r="D23" i="51" s="1"/>
  <c r="X181" i="37"/>
  <c r="C178" i="39"/>
  <c r="C181" i="39" s="1"/>
  <c r="BB181" i="33"/>
  <c r="N179" i="38"/>
  <c r="R179" i="37"/>
  <c r="E179" i="53" s="1"/>
  <c r="E181" i="53" s="1"/>
  <c r="O94" i="36"/>
  <c r="R94" i="36"/>
  <c r="D94" i="53" s="1"/>
  <c r="B198" i="38"/>
  <c r="AX198" i="38" s="1"/>
  <c r="BB198" i="38" s="1"/>
  <c r="E198" i="39"/>
  <c r="F198" i="37"/>
  <c r="E198" i="49" s="1"/>
  <c r="D138" i="33"/>
  <c r="D139" i="33" s="1"/>
  <c r="O138" i="33"/>
  <c r="O139" i="33" s="1"/>
  <c r="O207" i="33" s="1"/>
  <c r="O220" i="33" s="1"/>
  <c r="O221" i="33" s="1"/>
  <c r="N138" i="33"/>
  <c r="N139" i="33" s="1"/>
  <c r="N207" i="33" s="1"/>
  <c r="N220" i="33" s="1"/>
  <c r="N221" i="33" s="1"/>
  <c r="R130" i="33"/>
  <c r="C130" i="53" s="1"/>
  <c r="T197" i="42"/>
  <c r="X197" i="42" s="1"/>
  <c r="G197" i="52" s="1"/>
  <c r="X197" i="38"/>
  <c r="F197" i="52" s="1"/>
  <c r="X179" i="38"/>
  <c r="F179" i="52" s="1"/>
  <c r="T179" i="42"/>
  <c r="X179" i="42" s="1"/>
  <c r="G179" i="52" s="1"/>
  <c r="B194" i="38"/>
  <c r="AX194" i="38" s="1"/>
  <c r="B205" i="37"/>
  <c r="F194" i="37"/>
  <c r="E194" i="49" s="1"/>
  <c r="C124" i="38"/>
  <c r="C128" i="37"/>
  <c r="C129" i="37" s="1"/>
  <c r="F124" i="37"/>
  <c r="E124" i="49" s="1"/>
  <c r="B196" i="38"/>
  <c r="F196" i="37"/>
  <c r="E196" i="49" s="1"/>
  <c r="B174" i="38"/>
  <c r="F174" i="37"/>
  <c r="E174" i="49" s="1"/>
  <c r="E174" i="39"/>
  <c r="V86" i="33"/>
  <c r="V90" i="33"/>
  <c r="X77" i="33"/>
  <c r="C77" i="52" s="1"/>
  <c r="V78" i="36"/>
  <c r="V22" i="37"/>
  <c r="V149" i="37" s="1"/>
  <c r="X22" i="36"/>
  <c r="D22" i="52" s="1"/>
  <c r="V77" i="36"/>
  <c r="Y30" i="36"/>
  <c r="AB78" i="36"/>
  <c r="AB22" i="37"/>
  <c r="AB149" i="37" s="1"/>
  <c r="AB77" i="36"/>
  <c r="AD22" i="36"/>
  <c r="D22" i="51" s="1"/>
  <c r="AE30" i="36"/>
  <c r="J120" i="38"/>
  <c r="L120" i="37"/>
  <c r="E120" i="50" s="1"/>
  <c r="E128" i="50" s="1"/>
  <c r="P121" i="38"/>
  <c r="R121" i="37"/>
  <c r="E121" i="53" s="1"/>
  <c r="P128" i="37"/>
  <c r="P129" i="37" s="1"/>
  <c r="E121" i="39"/>
  <c r="Z170" i="38"/>
  <c r="AD170" i="37"/>
  <c r="E170" i="51" s="1"/>
  <c r="O92" i="36"/>
  <c r="R92" i="36"/>
  <c r="D92" i="53" s="1"/>
  <c r="O86" i="36"/>
  <c r="O124" i="38"/>
  <c r="O128" i="37"/>
  <c r="O129" i="37" s="1"/>
  <c r="R124" i="37"/>
  <c r="E124" i="53" s="1"/>
  <c r="E123" i="39"/>
  <c r="O93" i="36"/>
  <c r="R93" i="36"/>
  <c r="D93" i="53" s="1"/>
  <c r="Z174" i="42"/>
  <c r="AD174" i="42" s="1"/>
  <c r="G174" i="51" s="1"/>
  <c r="AD174" i="38"/>
  <c r="F174" i="51" s="1"/>
  <c r="Z138" i="33"/>
  <c r="Z139" i="33" s="1"/>
  <c r="Z207" i="33" s="1"/>
  <c r="Z220" i="33" s="1"/>
  <c r="Z221" i="33" s="1"/>
  <c r="AD130" i="33"/>
  <c r="C130" i="51" s="1"/>
  <c r="N197" i="38"/>
  <c r="R197" i="37"/>
  <c r="E197" i="53" s="1"/>
  <c r="B199" i="38"/>
  <c r="F199" i="37"/>
  <c r="E199" i="49" s="1"/>
  <c r="E199" i="39"/>
  <c r="I105" i="42"/>
  <c r="I116" i="38"/>
  <c r="L80" i="33"/>
  <c r="I93" i="33"/>
  <c r="AA26" i="37"/>
  <c r="AA81" i="37" s="1"/>
  <c r="AD81" i="37" s="1"/>
  <c r="E81" i="51" s="1"/>
  <c r="AD26" i="36"/>
  <c r="D26" i="51" s="1"/>
  <c r="AB121" i="38"/>
  <c r="AD121" i="37"/>
  <c r="E121" i="51" s="1"/>
  <c r="AD179" i="38"/>
  <c r="F179" i="51" s="1"/>
  <c r="Z179" i="42"/>
  <c r="AD179" i="42" s="1"/>
  <c r="G179" i="51" s="1"/>
  <c r="AA129" i="37"/>
  <c r="J138" i="36"/>
  <c r="J139" i="36" s="1"/>
  <c r="T170" i="38"/>
  <c r="X170" i="37"/>
  <c r="E170" i="52" s="1"/>
  <c r="E176" i="52" s="1"/>
  <c r="C138" i="33"/>
  <c r="C139" i="33" s="1"/>
  <c r="C207" i="33" s="1"/>
  <c r="I23" i="37"/>
  <c r="I79" i="37" s="1"/>
  <c r="L79" i="37" s="1"/>
  <c r="E79" i="50" s="1"/>
  <c r="L23" i="36"/>
  <c r="D23" i="50" s="1"/>
  <c r="AA24" i="37"/>
  <c r="AA80" i="37" s="1"/>
  <c r="AD80" i="37" s="1"/>
  <c r="E80" i="51" s="1"/>
  <c r="AD24" i="36"/>
  <c r="D24" i="51" s="1"/>
  <c r="AD176" i="36"/>
  <c r="AD70" i="33"/>
  <c r="R85" i="30"/>
  <c r="Z138" i="30"/>
  <c r="Z139" i="30" s="1"/>
  <c r="AD130" i="30"/>
  <c r="T167" i="30"/>
  <c r="T207" i="30" s="1"/>
  <c r="L151" i="30"/>
  <c r="L165" i="30"/>
  <c r="B165" i="50" s="1"/>
  <c r="L164" i="30"/>
  <c r="B164" i="50" s="1"/>
  <c r="L163" i="30"/>
  <c r="B163" i="50" s="1"/>
  <c r="AC207" i="30"/>
  <c r="AC220" i="30" s="1"/>
  <c r="AC221" i="30" s="1"/>
  <c r="Z167" i="30"/>
  <c r="AD167" i="30"/>
  <c r="AD70" i="30"/>
  <c r="AB98" i="30"/>
  <c r="AB86" i="30"/>
  <c r="AD85" i="30"/>
  <c r="B85" i="51" s="1"/>
  <c r="AD69" i="30"/>
  <c r="V138" i="30"/>
  <c r="V139" i="30" s="1"/>
  <c r="V207" i="30" s="1"/>
  <c r="W207" i="30"/>
  <c r="W220" i="30" s="1"/>
  <c r="W221" i="30" s="1"/>
  <c r="X167" i="30"/>
  <c r="U220" i="30"/>
  <c r="U221" i="30" s="1"/>
  <c r="V98" i="30"/>
  <c r="V86" i="30"/>
  <c r="X138" i="30"/>
  <c r="X139" i="30" s="1"/>
  <c r="T98" i="30"/>
  <c r="T99" i="30" s="1"/>
  <c r="X85" i="30"/>
  <c r="B85" i="52" s="1"/>
  <c r="B86" i="52" s="1"/>
  <c r="T86" i="30"/>
  <c r="O207" i="30"/>
  <c r="N207" i="30"/>
  <c r="N220" i="30" s="1"/>
  <c r="N221" i="30" s="1"/>
  <c r="R138" i="30"/>
  <c r="R139" i="30" s="1"/>
  <c r="R207" i="30" s="1"/>
  <c r="O98" i="30"/>
  <c r="O99" i="30" s="1"/>
  <c r="O86" i="30"/>
  <c r="P98" i="30"/>
  <c r="P86" i="30"/>
  <c r="L131" i="30"/>
  <c r="B131" i="50" s="1"/>
  <c r="J207" i="30"/>
  <c r="I207" i="30"/>
  <c r="H167" i="30"/>
  <c r="J98" i="30"/>
  <c r="J86" i="30"/>
  <c r="I98" i="30"/>
  <c r="I99" i="30" s="1"/>
  <c r="I86" i="30"/>
  <c r="H138" i="30"/>
  <c r="H139" i="30" s="1"/>
  <c r="L130" i="30"/>
  <c r="B130" i="50" s="1"/>
  <c r="K220" i="30"/>
  <c r="K221" i="30" s="1"/>
  <c r="L85" i="30"/>
  <c r="B85" i="50" s="1"/>
  <c r="AX107" i="38" l="1"/>
  <c r="BB107" i="38" s="1"/>
  <c r="B167" i="50"/>
  <c r="E205" i="52"/>
  <c r="F181" i="52"/>
  <c r="E181" i="49"/>
  <c r="C70" i="49"/>
  <c r="AY124" i="38"/>
  <c r="E128" i="49"/>
  <c r="AZ123" i="38"/>
  <c r="BB123" i="38" s="1"/>
  <c r="D70" i="52"/>
  <c r="AX116" i="37"/>
  <c r="AX129" i="37" s="1"/>
  <c r="C71" i="53"/>
  <c r="D69" i="51"/>
  <c r="D70" i="51"/>
  <c r="BB124" i="38"/>
  <c r="AY128" i="38"/>
  <c r="R116" i="37"/>
  <c r="E107" i="53"/>
  <c r="E116" i="53" s="1"/>
  <c r="D116" i="53"/>
  <c r="D129" i="53" s="1"/>
  <c r="B71" i="52"/>
  <c r="P220" i="30"/>
  <c r="P221" i="30" s="1"/>
  <c r="R98" i="30"/>
  <c r="B85" i="53"/>
  <c r="B86" i="53" s="1"/>
  <c r="L93" i="33"/>
  <c r="C93" i="50" s="1"/>
  <c r="C80" i="50"/>
  <c r="AX196" i="38"/>
  <c r="BB196" i="38" s="1"/>
  <c r="E205" i="49"/>
  <c r="X92" i="33"/>
  <c r="C92" i="52" s="1"/>
  <c r="C79" i="52"/>
  <c r="AX202" i="38"/>
  <c r="BB202" i="38" s="1"/>
  <c r="AD181" i="37"/>
  <c r="E178" i="51"/>
  <c r="E181" i="51" s="1"/>
  <c r="AD93" i="33"/>
  <c r="C93" i="51" s="1"/>
  <c r="C80" i="51"/>
  <c r="R99" i="33"/>
  <c r="C90" i="53"/>
  <c r="C99" i="53" s="1"/>
  <c r="L91" i="33"/>
  <c r="C91" i="50" s="1"/>
  <c r="C78" i="50"/>
  <c r="R151" i="36"/>
  <c r="D149" i="53"/>
  <c r="AX180" i="38"/>
  <c r="BB180" i="38" s="1"/>
  <c r="R91" i="36"/>
  <c r="D91" i="53" s="1"/>
  <c r="D78" i="53"/>
  <c r="D86" i="53" s="1"/>
  <c r="AX178" i="38"/>
  <c r="E205" i="53"/>
  <c r="E116" i="49"/>
  <c r="E129" i="49" s="1"/>
  <c r="E69" i="49" s="1"/>
  <c r="E116" i="51"/>
  <c r="AX170" i="38"/>
  <c r="BB170" i="38" s="1"/>
  <c r="D176" i="53"/>
  <c r="C69" i="52"/>
  <c r="C70" i="52"/>
  <c r="BB178" i="37"/>
  <c r="BB181" i="37" s="1"/>
  <c r="AX181" i="37"/>
  <c r="B167" i="53"/>
  <c r="X94" i="33"/>
  <c r="C94" i="52" s="1"/>
  <c r="C81" i="52"/>
  <c r="L116" i="37"/>
  <c r="E107" i="50"/>
  <c r="E116" i="50" s="1"/>
  <c r="E129" i="50" s="1"/>
  <c r="B71" i="51"/>
  <c r="AX199" i="38"/>
  <c r="BB199" i="38" s="1"/>
  <c r="F199" i="39" s="1"/>
  <c r="E128" i="53"/>
  <c r="J128" i="38"/>
  <c r="J129" i="38" s="1"/>
  <c r="AZ120" i="38"/>
  <c r="AX174" i="38"/>
  <c r="BB174" i="38" s="1"/>
  <c r="F174" i="39" s="1"/>
  <c r="E176" i="51"/>
  <c r="AX197" i="38"/>
  <c r="BB197" i="38" s="1"/>
  <c r="X91" i="33"/>
  <c r="C91" i="52" s="1"/>
  <c r="C78" i="52"/>
  <c r="E70" i="52"/>
  <c r="AX204" i="38"/>
  <c r="BB204" i="38" s="1"/>
  <c r="AD91" i="33"/>
  <c r="C91" i="51" s="1"/>
  <c r="C78" i="51"/>
  <c r="AD94" i="33"/>
  <c r="C94" i="51" s="1"/>
  <c r="C81" i="51"/>
  <c r="AX169" i="38"/>
  <c r="BB169" i="38" s="1"/>
  <c r="L92" i="33"/>
  <c r="C92" i="50" s="1"/>
  <c r="C79" i="50"/>
  <c r="X93" i="33"/>
  <c r="C93" i="52" s="1"/>
  <c r="C80" i="52"/>
  <c r="C151" i="53"/>
  <c r="B151" i="51"/>
  <c r="AZ128" i="37"/>
  <c r="AZ129" i="37" s="1"/>
  <c r="BB120" i="37"/>
  <c r="D70" i="49"/>
  <c r="B192" i="51"/>
  <c r="C138" i="53"/>
  <c r="C139" i="53" s="1"/>
  <c r="C207" i="53" s="1"/>
  <c r="C228" i="53" s="1"/>
  <c r="C237" i="53" s="1"/>
  <c r="AD151" i="33"/>
  <c r="C149" i="51"/>
  <c r="C151" i="51" s="1"/>
  <c r="X151" i="33"/>
  <c r="C149" i="52"/>
  <c r="C151" i="52" s="1"/>
  <c r="F176" i="50"/>
  <c r="L94" i="33"/>
  <c r="C94" i="50" s="1"/>
  <c r="C81" i="50"/>
  <c r="E128" i="51"/>
  <c r="O117" i="48"/>
  <c r="B138" i="50"/>
  <c r="B139" i="50" s="1"/>
  <c r="AD138" i="30"/>
  <c r="AD139" i="30" s="1"/>
  <c r="B130" i="51"/>
  <c r="AZ121" i="38"/>
  <c r="BB121" i="38" s="1"/>
  <c r="F121" i="39" s="1"/>
  <c r="BB194" i="38"/>
  <c r="L90" i="33"/>
  <c r="C90" i="50" s="1"/>
  <c r="C77" i="50"/>
  <c r="AY129" i="38"/>
  <c r="R176" i="37"/>
  <c r="E174" i="53"/>
  <c r="L151" i="33"/>
  <c r="C149" i="50"/>
  <c r="C151" i="50" s="1"/>
  <c r="AX179" i="38"/>
  <c r="BB179" i="38" s="1"/>
  <c r="F179" i="39" s="1"/>
  <c r="AD92" i="33"/>
  <c r="C92" i="51" s="1"/>
  <c r="C79" i="51"/>
  <c r="AX111" i="38"/>
  <c r="BB111" i="38" s="1"/>
  <c r="F111" i="39" s="1"/>
  <c r="AZ130" i="36"/>
  <c r="AX130" i="36"/>
  <c r="R131" i="36"/>
  <c r="D131" i="53" s="1"/>
  <c r="AX205" i="37"/>
  <c r="B139" i="53"/>
  <c r="B207" i="53" s="1"/>
  <c r="B247" i="53" s="1"/>
  <c r="B70" i="53"/>
  <c r="B207" i="52"/>
  <c r="B228" i="52" s="1"/>
  <c r="B237" i="52" s="1"/>
  <c r="B192" i="50"/>
  <c r="BB128" i="36"/>
  <c r="BB129" i="36" s="1"/>
  <c r="J131" i="38"/>
  <c r="J130" i="38"/>
  <c r="P130" i="37"/>
  <c r="P131" i="37"/>
  <c r="V131" i="37"/>
  <c r="V130" i="37"/>
  <c r="D130" i="37"/>
  <c r="D131" i="37"/>
  <c r="F130" i="36"/>
  <c r="AZ131" i="36"/>
  <c r="R130" i="36"/>
  <c r="D130" i="53" s="1"/>
  <c r="F131" i="36"/>
  <c r="D131" i="49" s="1"/>
  <c r="C138" i="51"/>
  <c r="C139" i="51" s="1"/>
  <c r="C207" i="51" s="1"/>
  <c r="C248" i="51" s="1"/>
  <c r="D138" i="50"/>
  <c r="D139" i="50" s="1"/>
  <c r="L138" i="33"/>
  <c r="L139" i="33" s="1"/>
  <c r="L207" i="33" s="1"/>
  <c r="L68" i="33" s="1"/>
  <c r="C130" i="50"/>
  <c r="C131" i="37"/>
  <c r="C130" i="37"/>
  <c r="B130" i="37"/>
  <c r="B131" i="37"/>
  <c r="I131" i="37"/>
  <c r="I130" i="37"/>
  <c r="H131" i="38"/>
  <c r="H130" i="38"/>
  <c r="H131" i="37"/>
  <c r="L131" i="37" s="1"/>
  <c r="E131" i="50" s="1"/>
  <c r="H130" i="37"/>
  <c r="L130" i="37" s="1"/>
  <c r="E130" i="50" s="1"/>
  <c r="N130" i="37"/>
  <c r="N131" i="37"/>
  <c r="R131" i="37" s="1"/>
  <c r="E131" i="53" s="1"/>
  <c r="O131" i="37"/>
  <c r="O130" i="37"/>
  <c r="T130" i="37"/>
  <c r="T131" i="37"/>
  <c r="X130" i="33"/>
  <c r="C130" i="52" s="1"/>
  <c r="U131" i="36"/>
  <c r="X131" i="36" s="1"/>
  <c r="D131" i="52" s="1"/>
  <c r="U130" i="36"/>
  <c r="X130" i="36" s="1"/>
  <c r="D130" i="52" s="1"/>
  <c r="AX131" i="36"/>
  <c r="AX138" i="36" s="1"/>
  <c r="AX139" i="36" s="1"/>
  <c r="BB105" i="38"/>
  <c r="AD107" i="42"/>
  <c r="G107" i="51" s="1"/>
  <c r="BB116" i="37"/>
  <c r="Z131" i="37"/>
  <c r="Z130" i="37"/>
  <c r="AD131" i="36"/>
  <c r="D131" i="51" s="1"/>
  <c r="AD130" i="36"/>
  <c r="D130" i="51" s="1"/>
  <c r="AD129" i="36"/>
  <c r="AD69" i="36" s="1"/>
  <c r="AB130" i="37"/>
  <c r="AB131" i="37"/>
  <c r="AA131" i="37"/>
  <c r="AA130" i="37"/>
  <c r="L138" i="36"/>
  <c r="L70" i="33"/>
  <c r="J220" i="33"/>
  <c r="J221" i="33" s="1"/>
  <c r="E244" i="47"/>
  <c r="F240" i="47"/>
  <c r="F243" i="47" s="1"/>
  <c r="U129" i="37"/>
  <c r="F129" i="36"/>
  <c r="F69" i="36" s="1"/>
  <c r="I220" i="33"/>
  <c r="I221" i="33" s="1"/>
  <c r="Z207" i="30"/>
  <c r="Z220" i="30" s="1"/>
  <c r="Z221" i="30" s="1"/>
  <c r="R69" i="36"/>
  <c r="R70" i="36"/>
  <c r="AD138" i="33"/>
  <c r="AD139" i="33" s="1"/>
  <c r="AD207" i="33" s="1"/>
  <c r="AD68" i="33" s="1"/>
  <c r="X116" i="37"/>
  <c r="AZ138" i="33"/>
  <c r="AZ139" i="33" s="1"/>
  <c r="X129" i="36"/>
  <c r="X69" i="36" s="1"/>
  <c r="P138" i="36"/>
  <c r="P139" i="36" s="1"/>
  <c r="P207" i="36" s="1"/>
  <c r="P220" i="36" s="1"/>
  <c r="P221" i="36" s="1"/>
  <c r="O138" i="36"/>
  <c r="O139" i="36" s="1"/>
  <c r="O207" i="36" s="1"/>
  <c r="O220" i="36" s="1"/>
  <c r="O221" i="36" s="1"/>
  <c r="L205" i="37"/>
  <c r="D138" i="36"/>
  <c r="D139" i="36" s="1"/>
  <c r="X176" i="37"/>
  <c r="L129" i="36"/>
  <c r="L70" i="36" s="1"/>
  <c r="T176" i="38"/>
  <c r="L181" i="37"/>
  <c r="F123" i="39"/>
  <c r="AB138" i="36"/>
  <c r="AB139" i="36" s="1"/>
  <c r="R138" i="33"/>
  <c r="R139" i="33" s="1"/>
  <c r="R207" i="33" s="1"/>
  <c r="R68" i="33" s="1"/>
  <c r="X69" i="33"/>
  <c r="I99" i="33"/>
  <c r="N181" i="38"/>
  <c r="X128" i="37"/>
  <c r="X205" i="37"/>
  <c r="X181" i="38"/>
  <c r="L128" i="37"/>
  <c r="L129" i="37" s="1"/>
  <c r="U99" i="33"/>
  <c r="J138" i="37"/>
  <c r="J139" i="37" s="1"/>
  <c r="AD205" i="37"/>
  <c r="AY138" i="33"/>
  <c r="AY139" i="33" s="1"/>
  <c r="AY207" i="33" s="1"/>
  <c r="I138" i="36"/>
  <c r="I139" i="36" s="1"/>
  <c r="I207" i="36" s="1"/>
  <c r="U24" i="38"/>
  <c r="U80" i="38" s="1"/>
  <c r="X80" i="38" s="1"/>
  <c r="F80" i="52" s="1"/>
  <c r="X24" i="37"/>
  <c r="E24" i="52" s="1"/>
  <c r="B178" i="42"/>
  <c r="F178" i="38"/>
  <c r="F178" i="49" s="1"/>
  <c r="B181" i="38"/>
  <c r="T196" i="42"/>
  <c r="X196" i="42" s="1"/>
  <c r="G196" i="52" s="1"/>
  <c r="X196" i="38"/>
  <c r="F196" i="52" s="1"/>
  <c r="V123" i="42"/>
  <c r="X123" i="42" s="1"/>
  <c r="G123" i="52" s="1"/>
  <c r="X123" i="38"/>
  <c r="F123" i="52" s="1"/>
  <c r="U92" i="36"/>
  <c r="X92" i="36"/>
  <c r="D92" i="52" s="1"/>
  <c r="U86" i="36"/>
  <c r="I116" i="42"/>
  <c r="B199" i="42"/>
  <c r="AX199" i="42" s="1"/>
  <c r="BB199" i="42" s="1"/>
  <c r="F199" i="38"/>
  <c r="F199" i="49" s="1"/>
  <c r="AB151" i="36"/>
  <c r="AD149" i="36"/>
  <c r="AB22" i="38"/>
  <c r="AB149" i="38" s="1"/>
  <c r="AB78" i="37"/>
  <c r="AB77" i="37"/>
  <c r="AD22" i="37"/>
  <c r="E22" i="51" s="1"/>
  <c r="AE30" i="37"/>
  <c r="V86" i="36"/>
  <c r="X77" i="36"/>
  <c r="D77" i="52" s="1"/>
  <c r="V90" i="36"/>
  <c r="X90" i="33"/>
  <c r="X86" i="33"/>
  <c r="F205" i="37"/>
  <c r="B198" i="42"/>
  <c r="F198" i="38"/>
  <c r="F198" i="49" s="1"/>
  <c r="F198" i="39"/>
  <c r="AA86" i="36"/>
  <c r="AA92" i="36"/>
  <c r="AD92" i="36"/>
  <c r="D92" i="51" s="1"/>
  <c r="P90" i="37"/>
  <c r="P86" i="37"/>
  <c r="R77" i="37"/>
  <c r="E77" i="53" s="1"/>
  <c r="F128" i="37"/>
  <c r="AA129" i="38"/>
  <c r="C138" i="36"/>
  <c r="C139" i="36" s="1"/>
  <c r="C207" i="36" s="1"/>
  <c r="Z178" i="42"/>
  <c r="Z181" i="38"/>
  <c r="AD178" i="38"/>
  <c r="V119" i="42"/>
  <c r="X119" i="38"/>
  <c r="F119" i="52" s="1"/>
  <c r="V128" i="38"/>
  <c r="V129" i="38" s="1"/>
  <c r="Z111" i="42"/>
  <c r="AD111" i="42" s="1"/>
  <c r="G111" i="51" s="1"/>
  <c r="AD111" i="38"/>
  <c r="F111" i="51" s="1"/>
  <c r="I24" i="38"/>
  <c r="I80" i="38" s="1"/>
  <c r="L80" i="38" s="1"/>
  <c r="F80" i="50" s="1"/>
  <c r="L24" i="37"/>
  <c r="E24" i="50" s="1"/>
  <c r="L119" i="42"/>
  <c r="G119" i="50" s="1"/>
  <c r="U93" i="36"/>
  <c r="X93" i="36"/>
  <c r="D93" i="52" s="1"/>
  <c r="AB123" i="42"/>
  <c r="AD123" i="42" s="1"/>
  <c r="G123" i="51" s="1"/>
  <c r="AD123" i="38"/>
  <c r="F123" i="51" s="1"/>
  <c r="L178" i="38"/>
  <c r="F178" i="50" s="1"/>
  <c r="H178" i="42"/>
  <c r="H181" i="38"/>
  <c r="T205" i="38"/>
  <c r="AD124" i="42"/>
  <c r="G124" i="51" s="1"/>
  <c r="AA128" i="42"/>
  <c r="AA129" i="42" s="1"/>
  <c r="O116" i="42"/>
  <c r="R106" i="42"/>
  <c r="G106" i="53" s="1"/>
  <c r="R90" i="36"/>
  <c r="R86" i="36"/>
  <c r="V120" i="42"/>
  <c r="X120" i="42" s="1"/>
  <c r="G120" i="52" s="1"/>
  <c r="X120" i="38"/>
  <c r="F120" i="52" s="1"/>
  <c r="B204" i="42"/>
  <c r="F204" i="38"/>
  <c r="F204" i="49" s="1"/>
  <c r="F204" i="39"/>
  <c r="V121" i="42"/>
  <c r="X121" i="42" s="1"/>
  <c r="G121" i="52" s="1"/>
  <c r="X121" i="38"/>
  <c r="F121" i="52" s="1"/>
  <c r="F181" i="37"/>
  <c r="L176" i="38"/>
  <c r="Z202" i="42"/>
  <c r="AD202" i="42" s="1"/>
  <c r="G202" i="51" s="1"/>
  <c r="AD202" i="38"/>
  <c r="F202" i="51" s="1"/>
  <c r="T181" i="42"/>
  <c r="X178" i="42"/>
  <c r="L77" i="36"/>
  <c r="D77" i="50" s="1"/>
  <c r="J86" i="36"/>
  <c r="J90" i="36"/>
  <c r="B111" i="42"/>
  <c r="F111" i="38"/>
  <c r="F111" i="49" s="1"/>
  <c r="B116" i="38"/>
  <c r="B129" i="38" s="1"/>
  <c r="AB119" i="42"/>
  <c r="AB128" i="38"/>
  <c r="AB129" i="38" s="1"/>
  <c r="AD119" i="38"/>
  <c r="F119" i="51" s="1"/>
  <c r="I94" i="36"/>
  <c r="L94" i="36"/>
  <c r="D94" i="50" s="1"/>
  <c r="R169" i="42"/>
  <c r="G169" i="53" s="1"/>
  <c r="B170" i="42"/>
  <c r="F170" i="39"/>
  <c r="F170" i="38"/>
  <c r="F170" i="49" s="1"/>
  <c r="I23" i="38"/>
  <c r="I79" i="38" s="1"/>
  <c r="L79" i="38" s="1"/>
  <c r="F79" i="50" s="1"/>
  <c r="L23" i="37"/>
  <c r="E23" i="50" s="1"/>
  <c r="Z170" i="42"/>
  <c r="AD170" i="42" s="1"/>
  <c r="G170" i="51" s="1"/>
  <c r="AD170" i="38"/>
  <c r="F170" i="51" s="1"/>
  <c r="P121" i="42"/>
  <c r="R121" i="38"/>
  <c r="F121" i="53" s="1"/>
  <c r="P128" i="38"/>
  <c r="P129" i="38" s="1"/>
  <c r="AB86" i="36"/>
  <c r="AB90" i="36"/>
  <c r="AD77" i="36"/>
  <c r="D77" i="51" s="1"/>
  <c r="V91" i="36"/>
  <c r="X78" i="36"/>
  <c r="E124" i="39"/>
  <c r="AA23" i="38"/>
  <c r="AA79" i="38" s="1"/>
  <c r="AD79" i="38" s="1"/>
  <c r="F79" i="51" s="1"/>
  <c r="AD23" i="37"/>
  <c r="E23" i="51" s="1"/>
  <c r="P151" i="37"/>
  <c r="R149" i="37"/>
  <c r="D105" i="39"/>
  <c r="D116" i="39" s="1"/>
  <c r="O92" i="37"/>
  <c r="R92" i="37"/>
  <c r="E92" i="53" s="1"/>
  <c r="O86" i="37"/>
  <c r="L105" i="42"/>
  <c r="G105" i="50" s="1"/>
  <c r="H196" i="42"/>
  <c r="L196" i="42" s="1"/>
  <c r="G196" i="50" s="1"/>
  <c r="L196" i="38"/>
  <c r="F196" i="50" s="1"/>
  <c r="U105" i="42"/>
  <c r="AY105" i="42" s="1"/>
  <c r="AY116" i="42" s="1"/>
  <c r="X105" i="38"/>
  <c r="F105" i="52" s="1"/>
  <c r="U116" i="38"/>
  <c r="F179" i="38"/>
  <c r="F179" i="49" s="1"/>
  <c r="B179" i="42"/>
  <c r="B201" i="42"/>
  <c r="AX201" i="42" s="1"/>
  <c r="BB201" i="42" s="1"/>
  <c r="F201" i="38"/>
  <c r="F201" i="49" s="1"/>
  <c r="F201" i="39"/>
  <c r="J151" i="36"/>
  <c r="J207" i="36" s="1"/>
  <c r="L149" i="36"/>
  <c r="J91" i="36"/>
  <c r="L78" i="36"/>
  <c r="B169" i="42"/>
  <c r="F169" i="38"/>
  <c r="F169" i="49" s="1"/>
  <c r="X169" i="42"/>
  <c r="G169" i="52" s="1"/>
  <c r="AD128" i="37"/>
  <c r="O26" i="42"/>
  <c r="R26" i="38"/>
  <c r="F26" i="53" s="1"/>
  <c r="AA24" i="38"/>
  <c r="AA80" i="38" s="1"/>
  <c r="AD80" i="38" s="1"/>
  <c r="F80" i="51" s="1"/>
  <c r="AD24" i="37"/>
  <c r="E24" i="51" s="1"/>
  <c r="I86" i="36"/>
  <c r="L92" i="36"/>
  <c r="D92" i="50" s="1"/>
  <c r="I92" i="36"/>
  <c r="AA26" i="38"/>
  <c r="AA81" i="38" s="1"/>
  <c r="AD81" i="38" s="1"/>
  <c r="F81" i="51" s="1"/>
  <c r="AD26" i="37"/>
  <c r="E26" i="51" s="1"/>
  <c r="AD93" i="36"/>
  <c r="D93" i="51" s="1"/>
  <c r="AA93" i="36"/>
  <c r="AD94" i="36"/>
  <c r="D94" i="51" s="1"/>
  <c r="AA94" i="36"/>
  <c r="O99" i="36"/>
  <c r="AB91" i="36"/>
  <c r="AD78" i="36"/>
  <c r="B174" i="42"/>
  <c r="F174" i="38"/>
  <c r="F174" i="49" s="1"/>
  <c r="R179" i="38"/>
  <c r="F179" i="53" s="1"/>
  <c r="N179" i="42"/>
  <c r="R179" i="42" s="1"/>
  <c r="G179" i="53" s="1"/>
  <c r="Z196" i="42"/>
  <c r="AD196" i="42" s="1"/>
  <c r="G196" i="51" s="1"/>
  <c r="AD196" i="38"/>
  <c r="F196" i="51" s="1"/>
  <c r="P91" i="37"/>
  <c r="R78" i="37"/>
  <c r="P22" i="42"/>
  <c r="P149" i="42" s="1"/>
  <c r="P78" i="38"/>
  <c r="R22" i="38"/>
  <c r="F22" i="53" s="1"/>
  <c r="P77" i="38"/>
  <c r="S30" i="38"/>
  <c r="AD176" i="37"/>
  <c r="B202" i="42"/>
  <c r="F202" i="38"/>
  <c r="F202" i="49" s="1"/>
  <c r="F202" i="39"/>
  <c r="AP68" i="42"/>
  <c r="AP220" i="42"/>
  <c r="AP221" i="42" s="1"/>
  <c r="B138" i="36"/>
  <c r="B139" i="36" s="1"/>
  <c r="D130" i="49"/>
  <c r="B197" i="42"/>
  <c r="F197" i="38"/>
  <c r="F197" i="49" s="1"/>
  <c r="F197" i="39"/>
  <c r="H205" i="38"/>
  <c r="U26" i="38"/>
  <c r="U81" i="38" s="1"/>
  <c r="X81" i="38" s="1"/>
  <c r="F81" i="52" s="1"/>
  <c r="X26" i="37"/>
  <c r="E26" i="52" s="1"/>
  <c r="L93" i="36"/>
  <c r="D93" i="50" s="1"/>
  <c r="I93" i="36"/>
  <c r="H204" i="42"/>
  <c r="L204" i="42" s="1"/>
  <c r="G204" i="50" s="1"/>
  <c r="L204" i="38"/>
  <c r="F204" i="50" s="1"/>
  <c r="T174" i="42"/>
  <c r="X174" i="42" s="1"/>
  <c r="G174" i="52" s="1"/>
  <c r="X174" i="38"/>
  <c r="F174" i="52" s="1"/>
  <c r="N198" i="42"/>
  <c r="R198" i="42" s="1"/>
  <c r="G198" i="53" s="1"/>
  <c r="R198" i="38"/>
  <c r="F198" i="53" s="1"/>
  <c r="N138" i="36"/>
  <c r="N139" i="36" s="1"/>
  <c r="N207" i="36" s="1"/>
  <c r="N220" i="36" s="1"/>
  <c r="N221" i="36" s="1"/>
  <c r="R71" i="33"/>
  <c r="D169" i="39"/>
  <c r="T107" i="42"/>
  <c r="X107" i="38"/>
  <c r="F107" i="52" s="1"/>
  <c r="T116" i="38"/>
  <c r="T129" i="38" s="1"/>
  <c r="B195" i="42"/>
  <c r="AX195" i="42" s="1"/>
  <c r="BB195" i="42" s="1"/>
  <c r="F195" i="38"/>
  <c r="F195" i="49" s="1"/>
  <c r="F195" i="39"/>
  <c r="N194" i="42"/>
  <c r="R194" i="38"/>
  <c r="F194" i="53" s="1"/>
  <c r="N205" i="38"/>
  <c r="L123" i="42"/>
  <c r="G123" i="50" s="1"/>
  <c r="N202" i="42"/>
  <c r="R202" i="42" s="1"/>
  <c r="G202" i="53" s="1"/>
  <c r="R202" i="38"/>
  <c r="F202" i="53" s="1"/>
  <c r="H107" i="42"/>
  <c r="L107" i="38"/>
  <c r="F107" i="39"/>
  <c r="AA99" i="33"/>
  <c r="X131" i="33"/>
  <c r="L180" i="38"/>
  <c r="F180" i="50" s="1"/>
  <c r="H180" i="42"/>
  <c r="L180" i="42" s="1"/>
  <c r="G180" i="50" s="1"/>
  <c r="D119" i="39"/>
  <c r="H202" i="42"/>
  <c r="L202" i="42" s="1"/>
  <c r="G202" i="50" s="1"/>
  <c r="L202" i="38"/>
  <c r="F202" i="50" s="1"/>
  <c r="AD116" i="37"/>
  <c r="I26" i="38"/>
  <c r="I81" i="38" s="1"/>
  <c r="L81" i="38" s="1"/>
  <c r="F81" i="50" s="1"/>
  <c r="L26" i="37"/>
  <c r="E26" i="50" s="1"/>
  <c r="T170" i="42"/>
  <c r="X170" i="42" s="1"/>
  <c r="G170" i="52" s="1"/>
  <c r="X170" i="38"/>
  <c r="F170" i="52" s="1"/>
  <c r="F176" i="52" s="1"/>
  <c r="V151" i="36"/>
  <c r="X149" i="36"/>
  <c r="D119" i="42"/>
  <c r="D128" i="38"/>
  <c r="D129" i="38" s="1"/>
  <c r="F119" i="38"/>
  <c r="F119" i="49" s="1"/>
  <c r="Z204" i="42"/>
  <c r="AD204" i="42" s="1"/>
  <c r="G204" i="51" s="1"/>
  <c r="AD204" i="38"/>
  <c r="F204" i="51" s="1"/>
  <c r="D178" i="39"/>
  <c r="D181" i="39" s="1"/>
  <c r="N180" i="42"/>
  <c r="R180" i="42" s="1"/>
  <c r="G180" i="53" s="1"/>
  <c r="R180" i="38"/>
  <c r="F180" i="53" s="1"/>
  <c r="N107" i="42"/>
  <c r="R107" i="38"/>
  <c r="F107" i="53" s="1"/>
  <c r="F116" i="53" s="1"/>
  <c r="N116" i="38"/>
  <c r="N129" i="38" s="1"/>
  <c r="V207" i="33"/>
  <c r="V220" i="33" s="1"/>
  <c r="V221" i="33" s="1"/>
  <c r="B180" i="42"/>
  <c r="F180" i="38"/>
  <c r="F180" i="49" s="1"/>
  <c r="F180" i="39"/>
  <c r="AD194" i="42"/>
  <c r="G194" i="51" s="1"/>
  <c r="G205" i="51" s="1"/>
  <c r="R205" i="37"/>
  <c r="T202" i="42"/>
  <c r="X202" i="42" s="1"/>
  <c r="G202" i="52" s="1"/>
  <c r="X202" i="38"/>
  <c r="F202" i="52" s="1"/>
  <c r="D194" i="39"/>
  <c r="D205" i="39" s="1"/>
  <c r="N204" i="42"/>
  <c r="R204" i="42" s="1"/>
  <c r="G204" i="53" s="1"/>
  <c r="R204" i="38"/>
  <c r="F204" i="53" s="1"/>
  <c r="O24" i="42"/>
  <c r="R24" i="38"/>
  <c r="F24" i="53" s="1"/>
  <c r="R86" i="30"/>
  <c r="R71" i="30" s="1"/>
  <c r="AB220" i="30"/>
  <c r="AB221" i="30" s="1"/>
  <c r="AB121" i="42"/>
  <c r="AD121" i="42" s="1"/>
  <c r="G121" i="51" s="1"/>
  <c r="AD121" i="38"/>
  <c r="F121" i="51" s="1"/>
  <c r="N197" i="42"/>
  <c r="R197" i="42" s="1"/>
  <c r="G197" i="53" s="1"/>
  <c r="R197" i="38"/>
  <c r="F197" i="53" s="1"/>
  <c r="O124" i="42"/>
  <c r="O128" i="38"/>
  <c r="O129" i="38" s="1"/>
  <c r="R124" i="38"/>
  <c r="F124" i="53" s="1"/>
  <c r="R128" i="37"/>
  <c r="R129" i="37" s="1"/>
  <c r="J120" i="42"/>
  <c r="AZ120" i="42" s="1"/>
  <c r="BB120" i="42" s="1"/>
  <c r="L120" i="38"/>
  <c r="F120" i="50" s="1"/>
  <c r="V22" i="38"/>
  <c r="V149" i="38" s="1"/>
  <c r="V78" i="37"/>
  <c r="V77" i="37"/>
  <c r="X22" i="37"/>
  <c r="E22" i="52" s="1"/>
  <c r="Y30" i="37"/>
  <c r="B196" i="42"/>
  <c r="F196" i="38"/>
  <c r="F196" i="49" s="1"/>
  <c r="F196" i="39"/>
  <c r="C124" i="42"/>
  <c r="C128" i="38"/>
  <c r="C129" i="38" s="1"/>
  <c r="F124" i="38"/>
  <c r="F124" i="49" s="1"/>
  <c r="B194" i="42"/>
  <c r="AX194" i="42" s="1"/>
  <c r="F194" i="38"/>
  <c r="F194" i="49" s="1"/>
  <c r="B205" i="38"/>
  <c r="H179" i="42"/>
  <c r="L179" i="42" s="1"/>
  <c r="G179" i="50" s="1"/>
  <c r="L179" i="38"/>
  <c r="F179" i="50" s="1"/>
  <c r="Z169" i="42"/>
  <c r="Z176" i="38"/>
  <c r="AD169" i="38"/>
  <c r="F169" i="51" s="1"/>
  <c r="O23" i="42"/>
  <c r="R23" i="38"/>
  <c r="F23" i="53" s="1"/>
  <c r="L194" i="42"/>
  <c r="G194" i="50" s="1"/>
  <c r="U94" i="36"/>
  <c r="X94" i="36"/>
  <c r="D94" i="52" s="1"/>
  <c r="T138" i="36"/>
  <c r="T139" i="36" s="1"/>
  <c r="T207" i="36" s="1"/>
  <c r="T220" i="36" s="1"/>
  <c r="T221" i="36" s="1"/>
  <c r="R178" i="42"/>
  <c r="G178" i="53" s="1"/>
  <c r="T204" i="42"/>
  <c r="X204" i="42" s="1"/>
  <c r="G204" i="52" s="1"/>
  <c r="X204" i="38"/>
  <c r="F204" i="52" s="1"/>
  <c r="Z138" i="36"/>
  <c r="Z139" i="36" s="1"/>
  <c r="Z207" i="36" s="1"/>
  <c r="Z220" i="36" s="1"/>
  <c r="Z221" i="36" s="1"/>
  <c r="AB207" i="33"/>
  <c r="AB220" i="33" s="1"/>
  <c r="AB221" i="33" s="1"/>
  <c r="N174" i="42"/>
  <c r="R174" i="42" s="1"/>
  <c r="G174" i="53" s="1"/>
  <c r="R174" i="38"/>
  <c r="X194" i="42"/>
  <c r="G194" i="52" s="1"/>
  <c r="V138" i="36"/>
  <c r="V139" i="36" s="1"/>
  <c r="R181" i="37"/>
  <c r="U124" i="42"/>
  <c r="U128" i="38"/>
  <c r="X124" i="38"/>
  <c r="F124" i="52" s="1"/>
  <c r="N196" i="42"/>
  <c r="R196" i="42" s="1"/>
  <c r="G196" i="53" s="1"/>
  <c r="R196" i="38"/>
  <c r="F196" i="53" s="1"/>
  <c r="Z205" i="38"/>
  <c r="I124" i="42"/>
  <c r="L124" i="38"/>
  <c r="F124" i="50" s="1"/>
  <c r="F128" i="50" s="1"/>
  <c r="I128" i="38"/>
  <c r="I129" i="38" s="1"/>
  <c r="L169" i="42"/>
  <c r="H176" i="42"/>
  <c r="AD90" i="33"/>
  <c r="AD86" i="33"/>
  <c r="V122" i="42"/>
  <c r="AZ122" i="42" s="1"/>
  <c r="BB122" i="42" s="1"/>
  <c r="X122" i="38"/>
  <c r="F122" i="52" s="1"/>
  <c r="F122" i="39"/>
  <c r="J22" i="38"/>
  <c r="J149" i="38" s="1"/>
  <c r="M22" i="37"/>
  <c r="J78" i="37"/>
  <c r="L22" i="37"/>
  <c r="E22" i="50" s="1"/>
  <c r="J77" i="37"/>
  <c r="M30" i="37"/>
  <c r="U138" i="33"/>
  <c r="U139" i="33" s="1"/>
  <c r="U207" i="33" s="1"/>
  <c r="U220" i="33" s="1"/>
  <c r="U221" i="33" s="1"/>
  <c r="F116" i="37"/>
  <c r="AA138" i="36"/>
  <c r="AA139" i="36" s="1"/>
  <c r="AA207" i="36" s="1"/>
  <c r="R93" i="37"/>
  <c r="E93" i="53" s="1"/>
  <c r="O93" i="37"/>
  <c r="Z105" i="42"/>
  <c r="AX105" i="42" s="1"/>
  <c r="Z116" i="38"/>
  <c r="Z129" i="38" s="1"/>
  <c r="AD105" i="38"/>
  <c r="F105" i="51" s="1"/>
  <c r="N176" i="38"/>
  <c r="O94" i="37"/>
  <c r="R94" i="37"/>
  <c r="E94" i="53" s="1"/>
  <c r="U23" i="38"/>
  <c r="U79" i="38" s="1"/>
  <c r="X79" i="38" s="1"/>
  <c r="F79" i="52" s="1"/>
  <c r="X23" i="37"/>
  <c r="E23" i="52" s="1"/>
  <c r="L167" i="30"/>
  <c r="R68" i="30"/>
  <c r="AD207" i="30"/>
  <c r="AD68" i="30" s="1"/>
  <c r="AD98" i="30"/>
  <c r="AD86" i="30"/>
  <c r="V220" i="30"/>
  <c r="V221" i="30" s="1"/>
  <c r="T220" i="30"/>
  <c r="T221" i="30" s="1"/>
  <c r="X98" i="30"/>
  <c r="X86" i="30"/>
  <c r="X207" i="30"/>
  <c r="O220" i="30"/>
  <c r="O221" i="30" s="1"/>
  <c r="L138" i="30"/>
  <c r="L139" i="30" s="1"/>
  <c r="J220" i="30"/>
  <c r="J221" i="30" s="1"/>
  <c r="I220" i="30"/>
  <c r="I221" i="30" s="1"/>
  <c r="H207" i="30"/>
  <c r="L98" i="30"/>
  <c r="B98" i="50" s="1"/>
  <c r="AX197" i="42" l="1"/>
  <c r="BB197" i="42" s="1"/>
  <c r="F128" i="53"/>
  <c r="AX170" i="42"/>
  <c r="BB170" i="42" s="1"/>
  <c r="C86" i="52"/>
  <c r="C71" i="52" s="1"/>
  <c r="B249" i="53"/>
  <c r="F181" i="53"/>
  <c r="F181" i="50"/>
  <c r="F176" i="51"/>
  <c r="B68" i="52"/>
  <c r="AZ123" i="42"/>
  <c r="BB123" i="42" s="1"/>
  <c r="C86" i="51"/>
  <c r="C71" i="51" s="1"/>
  <c r="C248" i="53"/>
  <c r="F205" i="50"/>
  <c r="G176" i="52"/>
  <c r="F205" i="51"/>
  <c r="F130" i="37"/>
  <c r="E130" i="49" s="1"/>
  <c r="E138" i="49" s="1"/>
  <c r="E139" i="49" s="1"/>
  <c r="BB69" i="36"/>
  <c r="BB70" i="36"/>
  <c r="AX202" i="42"/>
  <c r="BB202" i="42" s="1"/>
  <c r="F129" i="53"/>
  <c r="F128" i="51"/>
  <c r="D71" i="53"/>
  <c r="AD99" i="30"/>
  <c r="B98" i="51"/>
  <c r="B99" i="51" s="1"/>
  <c r="G181" i="53"/>
  <c r="F205" i="53"/>
  <c r="X91" i="36"/>
  <c r="D91" i="52" s="1"/>
  <c r="D78" i="52"/>
  <c r="AZ121" i="42"/>
  <c r="BB121" i="42" s="1"/>
  <c r="G176" i="53"/>
  <c r="F116" i="49"/>
  <c r="AD181" i="38"/>
  <c r="F178" i="51"/>
  <c r="F181" i="51" s="1"/>
  <c r="AY130" i="36"/>
  <c r="BB130" i="36" s="1"/>
  <c r="AX116" i="38"/>
  <c r="AX129" i="38" s="1"/>
  <c r="E176" i="53"/>
  <c r="B138" i="51"/>
  <c r="B139" i="51" s="1"/>
  <c r="B207" i="51" s="1"/>
  <c r="B248" i="51" s="1"/>
  <c r="AZ128" i="38"/>
  <c r="AZ129" i="38" s="1"/>
  <c r="BB120" i="38"/>
  <c r="D69" i="53"/>
  <c r="E129" i="53"/>
  <c r="X151" i="36"/>
  <c r="D149" i="52"/>
  <c r="D151" i="52" s="1"/>
  <c r="AD91" i="36"/>
  <c r="D91" i="51" s="1"/>
  <c r="D78" i="51"/>
  <c r="L91" i="36"/>
  <c r="D91" i="50" s="1"/>
  <c r="D78" i="50"/>
  <c r="D86" i="50" s="1"/>
  <c r="D71" i="50" s="1"/>
  <c r="AX179" i="42"/>
  <c r="BB179" i="42" s="1"/>
  <c r="R99" i="36"/>
  <c r="D90" i="53"/>
  <c r="D99" i="53" s="1"/>
  <c r="D86" i="52"/>
  <c r="D71" i="52" s="1"/>
  <c r="B207" i="50"/>
  <c r="E70" i="50"/>
  <c r="E69" i="50"/>
  <c r="F116" i="51"/>
  <c r="F129" i="51" s="1"/>
  <c r="F69" i="51" s="1"/>
  <c r="L176" i="42"/>
  <c r="G169" i="50"/>
  <c r="G176" i="50" s="1"/>
  <c r="F205" i="49"/>
  <c r="AY124" i="42"/>
  <c r="F181" i="49"/>
  <c r="L151" i="36"/>
  <c r="D149" i="50"/>
  <c r="D151" i="50" s="1"/>
  <c r="D207" i="50" s="1"/>
  <c r="D68" i="50" s="1"/>
  <c r="G205" i="50"/>
  <c r="AX111" i="42"/>
  <c r="BB111" i="42" s="1"/>
  <c r="X181" i="42"/>
  <c r="G178" i="52"/>
  <c r="G181" i="52" s="1"/>
  <c r="X99" i="33"/>
  <c r="C90" i="52"/>
  <c r="C99" i="52" s="1"/>
  <c r="F205" i="52"/>
  <c r="AX178" i="42"/>
  <c r="AZ131" i="37"/>
  <c r="B259" i="52"/>
  <c r="B257" i="52"/>
  <c r="B258" i="52"/>
  <c r="B247" i="52"/>
  <c r="B252" i="52"/>
  <c r="B251" i="52"/>
  <c r="B253" i="52"/>
  <c r="B250" i="52"/>
  <c r="B254" i="52"/>
  <c r="B260" i="52"/>
  <c r="B256" i="52"/>
  <c r="B261" i="52"/>
  <c r="B248" i="52"/>
  <c r="B249" i="52"/>
  <c r="B68" i="53"/>
  <c r="B258" i="53"/>
  <c r="B257" i="53"/>
  <c r="B259" i="53"/>
  <c r="B260" i="53"/>
  <c r="B252" i="53"/>
  <c r="B251" i="53"/>
  <c r="B250" i="53"/>
  <c r="B255" i="53"/>
  <c r="B254" i="53"/>
  <c r="B261" i="53"/>
  <c r="B248" i="53"/>
  <c r="B256" i="53"/>
  <c r="B253" i="53"/>
  <c r="AX205" i="38"/>
  <c r="C68" i="53"/>
  <c r="C258" i="53"/>
  <c r="C257" i="53"/>
  <c r="C259" i="53"/>
  <c r="C261" i="53"/>
  <c r="C249" i="53"/>
  <c r="C251" i="53"/>
  <c r="C250" i="53"/>
  <c r="C256" i="53"/>
  <c r="C260" i="53"/>
  <c r="C254" i="53"/>
  <c r="C255" i="53"/>
  <c r="C247" i="53"/>
  <c r="C252" i="53"/>
  <c r="BB128" i="37"/>
  <c r="BB129" i="37" s="1"/>
  <c r="E120" i="39"/>
  <c r="E129" i="51"/>
  <c r="BB178" i="38"/>
  <c r="BB181" i="38" s="1"/>
  <c r="AX181" i="38"/>
  <c r="B71" i="53"/>
  <c r="B220" i="53"/>
  <c r="B228" i="53"/>
  <c r="B237" i="53" s="1"/>
  <c r="B220" i="52"/>
  <c r="D70" i="53"/>
  <c r="C220" i="53"/>
  <c r="AD99" i="33"/>
  <c r="C90" i="51"/>
  <c r="C99" i="51" s="1"/>
  <c r="R151" i="37"/>
  <c r="E149" i="53"/>
  <c r="AX204" i="42"/>
  <c r="BB204" i="42" s="1"/>
  <c r="X99" i="30"/>
  <c r="B98" i="52"/>
  <c r="B99" i="52" s="1"/>
  <c r="AX196" i="42"/>
  <c r="BB196" i="42" s="1"/>
  <c r="F128" i="49"/>
  <c r="R176" i="38"/>
  <c r="F174" i="53"/>
  <c r="BB194" i="42"/>
  <c r="AX180" i="42"/>
  <c r="BB180" i="42" s="1"/>
  <c r="AX107" i="42"/>
  <c r="BB107" i="42" s="1"/>
  <c r="AZ119" i="42"/>
  <c r="L116" i="38"/>
  <c r="F107" i="50"/>
  <c r="R91" i="37"/>
  <c r="E91" i="53" s="1"/>
  <c r="E78" i="53"/>
  <c r="E86" i="53" s="1"/>
  <c r="AX174" i="42"/>
  <c r="BB174" i="42" s="1"/>
  <c r="AX169" i="42"/>
  <c r="BB169" i="42" s="1"/>
  <c r="F116" i="52"/>
  <c r="D86" i="51"/>
  <c r="D71" i="51" s="1"/>
  <c r="F128" i="52"/>
  <c r="AX198" i="42"/>
  <c r="BB198" i="42" s="1"/>
  <c r="AD151" i="36"/>
  <c r="D149" i="51"/>
  <c r="D151" i="51" s="1"/>
  <c r="G205" i="52"/>
  <c r="U138" i="36"/>
  <c r="U139" i="36" s="1"/>
  <c r="U207" i="36" s="1"/>
  <c r="U220" i="36" s="1"/>
  <c r="U221" i="36" s="1"/>
  <c r="AY131" i="36"/>
  <c r="BB131" i="36" s="1"/>
  <c r="D138" i="53"/>
  <c r="D139" i="53" s="1"/>
  <c r="D207" i="53" s="1"/>
  <c r="B255" i="52"/>
  <c r="BB205" i="38"/>
  <c r="C253" i="53"/>
  <c r="E70" i="49"/>
  <c r="D151" i="53"/>
  <c r="R99" i="30"/>
  <c r="B98" i="53"/>
  <c r="B99" i="53" s="1"/>
  <c r="V130" i="38"/>
  <c r="V131" i="38"/>
  <c r="D131" i="38"/>
  <c r="D130" i="38"/>
  <c r="P131" i="38"/>
  <c r="P130" i="38"/>
  <c r="F131" i="37"/>
  <c r="E131" i="49" s="1"/>
  <c r="AZ130" i="37"/>
  <c r="D138" i="52"/>
  <c r="D139" i="52" s="1"/>
  <c r="X138" i="33"/>
  <c r="X139" i="33" s="1"/>
  <c r="X207" i="33" s="1"/>
  <c r="X68" i="33" s="1"/>
  <c r="C131" i="52"/>
  <c r="C138" i="52" s="1"/>
  <c r="C139" i="52" s="1"/>
  <c r="C207" i="52" s="1"/>
  <c r="C248" i="52" s="1"/>
  <c r="C68" i="51"/>
  <c r="C249" i="51"/>
  <c r="C252" i="51"/>
  <c r="C259" i="51"/>
  <c r="C257" i="51"/>
  <c r="C255" i="51"/>
  <c r="C228" i="51"/>
  <c r="C237" i="51" s="1"/>
  <c r="C253" i="51"/>
  <c r="C258" i="51"/>
  <c r="C247" i="51"/>
  <c r="C256" i="51"/>
  <c r="C250" i="51"/>
  <c r="C260" i="51"/>
  <c r="C220" i="51"/>
  <c r="C254" i="51"/>
  <c r="C261" i="51"/>
  <c r="C251" i="51"/>
  <c r="D138" i="51"/>
  <c r="D139" i="51" s="1"/>
  <c r="D207" i="51" s="1"/>
  <c r="D248" i="51" s="1"/>
  <c r="AD70" i="36"/>
  <c r="E138" i="50"/>
  <c r="E139" i="50" s="1"/>
  <c r="AX130" i="37"/>
  <c r="C138" i="50"/>
  <c r="C139" i="50" s="1"/>
  <c r="C207" i="50" s="1"/>
  <c r="C248" i="50" s="1"/>
  <c r="B131" i="38"/>
  <c r="B130" i="38"/>
  <c r="AX131" i="37"/>
  <c r="C130" i="38"/>
  <c r="C131" i="38"/>
  <c r="I130" i="38"/>
  <c r="L130" i="38" s="1"/>
  <c r="F130" i="50" s="1"/>
  <c r="I131" i="38"/>
  <c r="L131" i="38" s="1"/>
  <c r="F131" i="50" s="1"/>
  <c r="O130" i="38"/>
  <c r="O131" i="38"/>
  <c r="N131" i="38"/>
  <c r="N130" i="38"/>
  <c r="R130" i="37"/>
  <c r="E130" i="53" s="1"/>
  <c r="U131" i="37"/>
  <c r="X131" i="37" s="1"/>
  <c r="E131" i="52" s="1"/>
  <c r="U130" i="37"/>
  <c r="X130" i="37" s="1"/>
  <c r="E130" i="52" s="1"/>
  <c r="T130" i="38"/>
  <c r="T131" i="38"/>
  <c r="BB105" i="42"/>
  <c r="BB116" i="42" s="1"/>
  <c r="AX116" i="42"/>
  <c r="AX129" i="42" s="1"/>
  <c r="BB116" i="38"/>
  <c r="Z131" i="38"/>
  <c r="Z130" i="38"/>
  <c r="AD130" i="37"/>
  <c r="E130" i="51" s="1"/>
  <c r="AY130" i="37"/>
  <c r="AD131" i="37"/>
  <c r="E131" i="51" s="1"/>
  <c r="AY131" i="37"/>
  <c r="AB131" i="38"/>
  <c r="AZ131" i="38" s="1"/>
  <c r="AB130" i="38"/>
  <c r="AA130" i="38"/>
  <c r="AA131" i="38"/>
  <c r="AA131" i="42"/>
  <c r="AA130" i="42"/>
  <c r="D138" i="49"/>
  <c r="D139" i="49" s="1"/>
  <c r="AZ138" i="36"/>
  <c r="AZ139" i="36" s="1"/>
  <c r="L69" i="36"/>
  <c r="AY138" i="36"/>
  <c r="AY139" i="36" s="1"/>
  <c r="AY207" i="36" s="1"/>
  <c r="F70" i="36"/>
  <c r="F244" i="47"/>
  <c r="G240" i="47"/>
  <c r="G243" i="47" s="1"/>
  <c r="G244" i="47" s="1"/>
  <c r="X176" i="38"/>
  <c r="X70" i="36"/>
  <c r="L207" i="30"/>
  <c r="L139" i="36"/>
  <c r="L207" i="36" s="1"/>
  <c r="L68" i="36" s="1"/>
  <c r="I220" i="36"/>
  <c r="I221" i="36" s="1"/>
  <c r="R138" i="36"/>
  <c r="R139" i="36" s="1"/>
  <c r="R207" i="36" s="1"/>
  <c r="R68" i="36" s="1"/>
  <c r="R220" i="33"/>
  <c r="R221" i="33" s="1"/>
  <c r="R220" i="30"/>
  <c r="R221" i="30" s="1"/>
  <c r="X129" i="37"/>
  <c r="X69" i="37" s="1"/>
  <c r="R181" i="38"/>
  <c r="AD129" i="37"/>
  <c r="AD69" i="37" s="1"/>
  <c r="X138" i="36"/>
  <c r="X139" i="36" s="1"/>
  <c r="X207" i="36" s="1"/>
  <c r="X68" i="36" s="1"/>
  <c r="AD205" i="38"/>
  <c r="AB207" i="36"/>
  <c r="AB220" i="36" s="1"/>
  <c r="AB221" i="36" s="1"/>
  <c r="L128" i="38"/>
  <c r="J138" i="38"/>
  <c r="J139" i="38" s="1"/>
  <c r="AD128" i="38"/>
  <c r="L205" i="38"/>
  <c r="AD138" i="36"/>
  <c r="AD139" i="36" s="1"/>
  <c r="AA138" i="37"/>
  <c r="AA139" i="37" s="1"/>
  <c r="AA207" i="37" s="1"/>
  <c r="F181" i="38"/>
  <c r="N181" i="42"/>
  <c r="V207" i="36"/>
  <c r="V220" i="36" s="1"/>
  <c r="V221" i="36" s="1"/>
  <c r="R181" i="42"/>
  <c r="L181" i="38"/>
  <c r="F129" i="37"/>
  <c r="F69" i="37" s="1"/>
  <c r="AD176" i="38"/>
  <c r="R205" i="38"/>
  <c r="X128" i="38"/>
  <c r="AA220" i="36"/>
  <c r="AA221" i="36" s="1"/>
  <c r="O138" i="37"/>
  <c r="O139" i="37" s="1"/>
  <c r="O207" i="37" s="1"/>
  <c r="O220" i="37" s="1"/>
  <c r="O221" i="37" s="1"/>
  <c r="L205" i="42"/>
  <c r="X205" i="38"/>
  <c r="R69" i="37"/>
  <c r="R70" i="37"/>
  <c r="L120" i="42"/>
  <c r="G120" i="50" s="1"/>
  <c r="G128" i="50" s="1"/>
  <c r="G120" i="39"/>
  <c r="O93" i="38"/>
  <c r="R93" i="38"/>
  <c r="F93" i="53" s="1"/>
  <c r="E178" i="39"/>
  <c r="E181" i="39" s="1"/>
  <c r="O79" i="42"/>
  <c r="R23" i="42"/>
  <c r="G23" i="53" s="1"/>
  <c r="D138" i="37"/>
  <c r="D139" i="37" s="1"/>
  <c r="V22" i="42"/>
  <c r="V149" i="42" s="1"/>
  <c r="V77" i="38"/>
  <c r="Y30" i="38"/>
  <c r="V78" i="38"/>
  <c r="X22" i="38"/>
  <c r="F22" i="52" s="1"/>
  <c r="O80" i="42"/>
  <c r="R24" i="42"/>
  <c r="G24" i="53" s="1"/>
  <c r="Z205" i="42"/>
  <c r="G180" i="39"/>
  <c r="F180" i="42"/>
  <c r="G180" i="49" s="1"/>
  <c r="R107" i="42"/>
  <c r="N116" i="42"/>
  <c r="N129" i="42" s="1"/>
  <c r="D128" i="42"/>
  <c r="D129" i="42" s="1"/>
  <c r="F119" i="42"/>
  <c r="G119" i="49" s="1"/>
  <c r="I94" i="37"/>
  <c r="L94" i="37"/>
  <c r="E94" i="50" s="1"/>
  <c r="L107" i="42"/>
  <c r="G107" i="39"/>
  <c r="N205" i="42"/>
  <c r="R194" i="42"/>
  <c r="F138" i="36"/>
  <c r="F139" i="36" s="1"/>
  <c r="F202" i="42"/>
  <c r="G202" i="49" s="1"/>
  <c r="G202" i="39"/>
  <c r="E119" i="39"/>
  <c r="R149" i="38"/>
  <c r="P151" i="38"/>
  <c r="AA94" i="37"/>
  <c r="AD94" i="37"/>
  <c r="E94" i="51" s="1"/>
  <c r="T176" i="42"/>
  <c r="F169" i="42"/>
  <c r="G169" i="49" s="1"/>
  <c r="E105" i="39"/>
  <c r="E116" i="39" s="1"/>
  <c r="H116" i="42"/>
  <c r="H129" i="42" s="1"/>
  <c r="AA92" i="37"/>
  <c r="AD92" i="37"/>
  <c r="E92" i="51" s="1"/>
  <c r="AA86" i="37"/>
  <c r="I23" i="42"/>
  <c r="L23" i="38"/>
  <c r="F23" i="50" s="1"/>
  <c r="N176" i="42"/>
  <c r="Z138" i="37"/>
  <c r="Z139" i="37" s="1"/>
  <c r="Z207" i="37" s="1"/>
  <c r="Z220" i="37" s="1"/>
  <c r="Z221" i="37" s="1"/>
  <c r="AB128" i="42"/>
  <c r="AB129" i="42" s="1"/>
  <c r="AD119" i="42"/>
  <c r="G119" i="51" s="1"/>
  <c r="G128" i="51" s="1"/>
  <c r="G111" i="39"/>
  <c r="F111" i="42"/>
  <c r="G111" i="49" s="1"/>
  <c r="B116" i="42"/>
  <c r="B129" i="42" s="1"/>
  <c r="J220" i="36"/>
  <c r="J221" i="36" s="1"/>
  <c r="V128" i="42"/>
  <c r="V129" i="42" s="1"/>
  <c r="X119" i="42"/>
  <c r="G119" i="52" s="1"/>
  <c r="H138" i="38"/>
  <c r="H139" i="38" s="1"/>
  <c r="H207" i="38" s="1"/>
  <c r="H220" i="38" s="1"/>
  <c r="H221" i="38" s="1"/>
  <c r="X71" i="33"/>
  <c r="AB86" i="37"/>
  <c r="AB90" i="37"/>
  <c r="AD77" i="37"/>
  <c r="E77" i="51" s="1"/>
  <c r="H138" i="37"/>
  <c r="H139" i="37" s="1"/>
  <c r="H207" i="37" s="1"/>
  <c r="H220" i="37" s="1"/>
  <c r="H221" i="37" s="1"/>
  <c r="T138" i="37"/>
  <c r="T139" i="37" s="1"/>
  <c r="T207" i="37" s="1"/>
  <c r="T220" i="37" s="1"/>
  <c r="T221" i="37" s="1"/>
  <c r="E194" i="39"/>
  <c r="E205" i="39" s="1"/>
  <c r="AD105" i="42"/>
  <c r="Z116" i="42"/>
  <c r="Z129" i="42" s="1"/>
  <c r="AD71" i="33"/>
  <c r="AD220" i="33"/>
  <c r="AD221" i="33" s="1"/>
  <c r="AD169" i="42"/>
  <c r="Z176" i="42"/>
  <c r="F124" i="42"/>
  <c r="G124" i="49" s="1"/>
  <c r="C128" i="42"/>
  <c r="C129" i="42" s="1"/>
  <c r="X149" i="37"/>
  <c r="V151" i="37"/>
  <c r="R124" i="42"/>
  <c r="G124" i="53" s="1"/>
  <c r="O128" i="42"/>
  <c r="O129" i="42" s="1"/>
  <c r="B138" i="37"/>
  <c r="B139" i="37" s="1"/>
  <c r="G195" i="39"/>
  <c r="F195" i="42"/>
  <c r="G195" i="49" s="1"/>
  <c r="X107" i="42"/>
  <c r="G107" i="52" s="1"/>
  <c r="T116" i="42"/>
  <c r="T129" i="42" s="1"/>
  <c r="S30" i="42"/>
  <c r="P78" i="42"/>
  <c r="P77" i="42"/>
  <c r="R22" i="42"/>
  <c r="G22" i="53" s="1"/>
  <c r="C138" i="37"/>
  <c r="C139" i="37" s="1"/>
  <c r="C207" i="37" s="1"/>
  <c r="F174" i="42"/>
  <c r="G174" i="49" s="1"/>
  <c r="G174" i="39"/>
  <c r="AA26" i="42"/>
  <c r="AD26" i="38"/>
  <c r="F26" i="51" s="1"/>
  <c r="O94" i="38"/>
  <c r="R94" i="38"/>
  <c r="F94" i="53" s="1"/>
  <c r="AA23" i="42"/>
  <c r="AD23" i="38"/>
  <c r="F23" i="51" s="1"/>
  <c r="I92" i="37"/>
  <c r="I86" i="37"/>
  <c r="L92" i="37"/>
  <c r="E92" i="50" s="1"/>
  <c r="F116" i="38"/>
  <c r="L178" i="42"/>
  <c r="H181" i="42"/>
  <c r="Z181" i="42"/>
  <c r="AD178" i="42"/>
  <c r="R116" i="38"/>
  <c r="L70" i="37"/>
  <c r="L69" i="37"/>
  <c r="U86" i="37"/>
  <c r="X92" i="37"/>
  <c r="E92" i="52" s="1"/>
  <c r="U92" i="37"/>
  <c r="J91" i="37"/>
  <c r="L78" i="37"/>
  <c r="U23" i="42"/>
  <c r="X23" i="38"/>
  <c r="F23" i="52" s="1"/>
  <c r="AD116" i="38"/>
  <c r="L124" i="42"/>
  <c r="G124" i="50" s="1"/>
  <c r="I128" i="42"/>
  <c r="I129" i="42" s="1"/>
  <c r="T205" i="42"/>
  <c r="F105" i="39"/>
  <c r="F116" i="39" s="1"/>
  <c r="F124" i="39"/>
  <c r="AD205" i="42"/>
  <c r="F128" i="38"/>
  <c r="I26" i="42"/>
  <c r="L26" i="38"/>
  <c r="F26" i="50" s="1"/>
  <c r="G123" i="39"/>
  <c r="U94" i="37"/>
  <c r="X94" i="37"/>
  <c r="E94" i="52" s="1"/>
  <c r="I99" i="36"/>
  <c r="AA93" i="37"/>
  <c r="AD93" i="37"/>
  <c r="E93" i="51" s="1"/>
  <c r="R26" i="42"/>
  <c r="G26" i="53" s="1"/>
  <c r="O81" i="42"/>
  <c r="G179" i="39"/>
  <c r="F179" i="42"/>
  <c r="G179" i="49" s="1"/>
  <c r="U129" i="38"/>
  <c r="O99" i="37"/>
  <c r="AD90" i="36"/>
  <c r="AD86" i="36"/>
  <c r="R176" i="42"/>
  <c r="L90" i="36"/>
  <c r="L86" i="36"/>
  <c r="G106" i="39"/>
  <c r="L93" i="37"/>
  <c r="E93" i="50" s="1"/>
  <c r="I93" i="37"/>
  <c r="AD149" i="37"/>
  <c r="AB151" i="37"/>
  <c r="AD78" i="37"/>
  <c r="AB91" i="37"/>
  <c r="U99" i="36"/>
  <c r="X93" i="37"/>
  <c r="E93" i="52" s="1"/>
  <c r="U93" i="37"/>
  <c r="J22" i="42"/>
  <c r="J149" i="42" s="1"/>
  <c r="J77" i="38"/>
  <c r="M30" i="38"/>
  <c r="L22" i="38"/>
  <c r="F22" i="50" s="1"/>
  <c r="M22" i="38"/>
  <c r="J78" i="38"/>
  <c r="F194" i="42"/>
  <c r="G194" i="49" s="1"/>
  <c r="B205" i="42"/>
  <c r="X78" i="37"/>
  <c r="V91" i="37"/>
  <c r="P90" i="38"/>
  <c r="P86" i="38"/>
  <c r="R77" i="38"/>
  <c r="F77" i="53" s="1"/>
  <c r="X176" i="42"/>
  <c r="F201" i="42"/>
  <c r="G201" i="49" s="1"/>
  <c r="G201" i="39"/>
  <c r="X105" i="42"/>
  <c r="G105" i="52" s="1"/>
  <c r="G116" i="52" s="1"/>
  <c r="U116" i="42"/>
  <c r="R121" i="42"/>
  <c r="G121" i="53" s="1"/>
  <c r="G128" i="53" s="1"/>
  <c r="G121" i="39"/>
  <c r="P128" i="42"/>
  <c r="P129" i="42" s="1"/>
  <c r="G170" i="39"/>
  <c r="F170" i="42"/>
  <c r="G170" i="49" s="1"/>
  <c r="X90" i="36"/>
  <c r="X86" i="36"/>
  <c r="X71" i="36" s="1"/>
  <c r="G199" i="39"/>
  <c r="F199" i="42"/>
  <c r="G199" i="49" s="1"/>
  <c r="F178" i="42"/>
  <c r="G178" i="49" s="1"/>
  <c r="G181" i="49" s="1"/>
  <c r="B181" i="42"/>
  <c r="AB138" i="37"/>
  <c r="AB139" i="37" s="1"/>
  <c r="J86" i="37"/>
  <c r="J90" i="37"/>
  <c r="L77" i="37"/>
  <c r="E77" i="50" s="1"/>
  <c r="J151" i="37"/>
  <c r="J207" i="37" s="1"/>
  <c r="L149" i="37"/>
  <c r="X122" i="42"/>
  <c r="G122" i="52" s="1"/>
  <c r="G122" i="39"/>
  <c r="X124" i="42"/>
  <c r="G124" i="52" s="1"/>
  <c r="U128" i="42"/>
  <c r="X205" i="42"/>
  <c r="H205" i="42"/>
  <c r="V138" i="37"/>
  <c r="V139" i="37" s="1"/>
  <c r="R92" i="38"/>
  <c r="F92" i="53" s="1"/>
  <c r="O86" i="38"/>
  <c r="O92" i="38"/>
  <c r="F205" i="38"/>
  <c r="F196" i="42"/>
  <c r="G196" i="49" s="1"/>
  <c r="G196" i="39"/>
  <c r="X77" i="37"/>
  <c r="E77" i="52" s="1"/>
  <c r="V90" i="37"/>
  <c r="V86" i="37"/>
  <c r="D128" i="39"/>
  <c r="D129" i="39" s="1"/>
  <c r="N138" i="37"/>
  <c r="N139" i="37" s="1"/>
  <c r="N207" i="37" s="1"/>
  <c r="N220" i="37" s="1"/>
  <c r="N221" i="37" s="1"/>
  <c r="U26" i="42"/>
  <c r="X26" i="38"/>
  <c r="F26" i="52" s="1"/>
  <c r="F197" i="42"/>
  <c r="G197" i="49" s="1"/>
  <c r="G197" i="39"/>
  <c r="P91" i="38"/>
  <c r="R78" i="38"/>
  <c r="P138" i="37"/>
  <c r="P139" i="37" s="1"/>
  <c r="P207" i="37" s="1"/>
  <c r="P220" i="37" s="1"/>
  <c r="P221" i="37" s="1"/>
  <c r="AA24" i="42"/>
  <c r="AD24" i="38"/>
  <c r="F24" i="51" s="1"/>
  <c r="X116" i="38"/>
  <c r="R128" i="38"/>
  <c r="E169" i="39"/>
  <c r="F204" i="42"/>
  <c r="G204" i="49" s="1"/>
  <c r="G204" i="39"/>
  <c r="R71" i="36"/>
  <c r="J128" i="42"/>
  <c r="J129" i="42" s="1"/>
  <c r="I24" i="42"/>
  <c r="L24" i="38"/>
  <c r="F24" i="50" s="1"/>
  <c r="R90" i="37"/>
  <c r="R86" i="37"/>
  <c r="R71" i="37" s="1"/>
  <c r="AA99" i="36"/>
  <c r="F198" i="42"/>
  <c r="G198" i="49" s="1"/>
  <c r="G198" i="39"/>
  <c r="AB22" i="42"/>
  <c r="AB149" i="42" s="1"/>
  <c r="AD22" i="38"/>
  <c r="F22" i="51" s="1"/>
  <c r="AB77" i="38"/>
  <c r="AB78" i="38"/>
  <c r="AE30" i="38"/>
  <c r="U24" i="42"/>
  <c r="X24" i="38"/>
  <c r="F24" i="52" s="1"/>
  <c r="I138" i="37"/>
  <c r="I139" i="37" s="1"/>
  <c r="I207" i="37" s="1"/>
  <c r="L68" i="30"/>
  <c r="X68" i="30"/>
  <c r="X220" i="30"/>
  <c r="X221" i="30" s="1"/>
  <c r="AD220" i="30"/>
  <c r="AD221" i="30" s="1"/>
  <c r="AD71" i="30"/>
  <c r="X71" i="30"/>
  <c r="AD207" i="36" l="1"/>
  <c r="AD68" i="36" s="1"/>
  <c r="F129" i="52"/>
  <c r="F69" i="52" s="1"/>
  <c r="BB205" i="42"/>
  <c r="AZ130" i="38"/>
  <c r="BB130" i="37"/>
  <c r="BB69" i="37"/>
  <c r="BB70" i="37"/>
  <c r="BB138" i="36"/>
  <c r="BB139" i="36" s="1"/>
  <c r="D131" i="39"/>
  <c r="D68" i="53"/>
  <c r="D259" i="53"/>
  <c r="D257" i="53"/>
  <c r="D258" i="53"/>
  <c r="D251" i="53"/>
  <c r="D250" i="53"/>
  <c r="D249" i="53"/>
  <c r="D256" i="53"/>
  <c r="D261" i="53"/>
  <c r="D260" i="53"/>
  <c r="D254" i="53"/>
  <c r="D252" i="53"/>
  <c r="D255" i="53"/>
  <c r="D247" i="53"/>
  <c r="D253" i="53"/>
  <c r="D228" i="53"/>
  <c r="D237" i="53" s="1"/>
  <c r="D220" i="53"/>
  <c r="D248" i="53"/>
  <c r="E71" i="53"/>
  <c r="R99" i="37"/>
  <c r="E90" i="53"/>
  <c r="E99" i="53" s="1"/>
  <c r="AD91" i="37"/>
  <c r="E91" i="51" s="1"/>
  <c r="E78" i="51"/>
  <c r="E86" i="51" s="1"/>
  <c r="E71" i="51" s="1"/>
  <c r="BB124" i="42"/>
  <c r="AY128" i="42"/>
  <c r="AY129" i="42" s="1"/>
  <c r="F70" i="51"/>
  <c r="R91" i="38"/>
  <c r="F91" i="53" s="1"/>
  <c r="F78" i="53"/>
  <c r="F86" i="53" s="1"/>
  <c r="G205" i="49"/>
  <c r="G128" i="52"/>
  <c r="G129" i="52" s="1"/>
  <c r="G116" i="49"/>
  <c r="R116" i="42"/>
  <c r="G107" i="53"/>
  <c r="L129" i="38"/>
  <c r="L70" i="38" s="1"/>
  <c r="AZ128" i="42"/>
  <c r="AZ129" i="42" s="1"/>
  <c r="BB119" i="42"/>
  <c r="BB128" i="42" s="1"/>
  <c r="BB129" i="42" s="1"/>
  <c r="C225" i="53"/>
  <c r="C221" i="53"/>
  <c r="C242" i="53"/>
  <c r="B225" i="53"/>
  <c r="B221" i="53"/>
  <c r="B242" i="53"/>
  <c r="B243" i="53" s="1"/>
  <c r="E69" i="51"/>
  <c r="E70" i="51"/>
  <c r="C263" i="53"/>
  <c r="F129" i="49"/>
  <c r="X99" i="36"/>
  <c r="D90" i="52"/>
  <c r="D99" i="52" s="1"/>
  <c r="E138" i="53"/>
  <c r="L151" i="37"/>
  <c r="E149" i="50"/>
  <c r="E151" i="50" s="1"/>
  <c r="AD151" i="37"/>
  <c r="E149" i="51"/>
  <c r="E151" i="51" s="1"/>
  <c r="AD99" i="36"/>
  <c r="D90" i="51"/>
  <c r="D99" i="51" s="1"/>
  <c r="L181" i="42"/>
  <c r="G178" i="50"/>
  <c r="G181" i="50" s="1"/>
  <c r="G128" i="49"/>
  <c r="F70" i="52"/>
  <c r="F176" i="53"/>
  <c r="E70" i="53"/>
  <c r="E139" i="53"/>
  <c r="E69" i="53"/>
  <c r="B68" i="51"/>
  <c r="B258" i="51"/>
  <c r="B259" i="51"/>
  <c r="B257" i="51"/>
  <c r="B252" i="51"/>
  <c r="B254" i="51"/>
  <c r="B251" i="51"/>
  <c r="B260" i="51"/>
  <c r="B249" i="51"/>
  <c r="B261" i="51"/>
  <c r="B247" i="51"/>
  <c r="B250" i="51"/>
  <c r="B228" i="51"/>
  <c r="B237" i="51" s="1"/>
  <c r="B256" i="51"/>
  <c r="B253" i="51"/>
  <c r="B220" i="51"/>
  <c r="B255" i="51"/>
  <c r="B263" i="53"/>
  <c r="F69" i="53"/>
  <c r="X151" i="37"/>
  <c r="E149" i="52"/>
  <c r="E151" i="52" s="1"/>
  <c r="AD176" i="42"/>
  <c r="G169" i="51"/>
  <c r="G176" i="51" s="1"/>
  <c r="AD116" i="42"/>
  <c r="G105" i="51"/>
  <c r="R205" i="42"/>
  <c r="G194" i="53"/>
  <c r="G205" i="53" s="1"/>
  <c r="AX205" i="42"/>
  <c r="AX181" i="42"/>
  <c r="BB178" i="42"/>
  <c r="BB181" i="42" s="1"/>
  <c r="X91" i="37"/>
  <c r="E91" i="52" s="1"/>
  <c r="E78" i="52"/>
  <c r="E86" i="52" s="1"/>
  <c r="E71" i="52" s="1"/>
  <c r="L99" i="36"/>
  <c r="D90" i="50"/>
  <c r="D99" i="50" s="1"/>
  <c r="L91" i="37"/>
  <c r="E91" i="50" s="1"/>
  <c r="E78" i="50"/>
  <c r="E86" i="50" s="1"/>
  <c r="E71" i="50" s="1"/>
  <c r="AD181" i="42"/>
  <c r="G178" i="51"/>
  <c r="G181" i="51" s="1"/>
  <c r="R151" i="38"/>
  <c r="F149" i="53"/>
  <c r="L116" i="42"/>
  <c r="G107" i="50"/>
  <c r="G116" i="50" s="1"/>
  <c r="G129" i="50" s="1"/>
  <c r="F116" i="50"/>
  <c r="F129" i="50" s="1"/>
  <c r="F69" i="50" s="1"/>
  <c r="E151" i="53"/>
  <c r="B225" i="52"/>
  <c r="B221" i="52"/>
  <c r="B242" i="52"/>
  <c r="B243" i="52" s="1"/>
  <c r="B263" i="52"/>
  <c r="B68" i="50"/>
  <c r="B258" i="50"/>
  <c r="B259" i="50"/>
  <c r="B257" i="50"/>
  <c r="B254" i="50"/>
  <c r="B247" i="50"/>
  <c r="B252" i="50"/>
  <c r="B251" i="50"/>
  <c r="B253" i="50"/>
  <c r="B260" i="50"/>
  <c r="B249" i="50"/>
  <c r="B250" i="50"/>
  <c r="B248" i="50"/>
  <c r="B256" i="50"/>
  <c r="B261" i="50"/>
  <c r="B255" i="50"/>
  <c r="BB128" i="38"/>
  <c r="BB129" i="38" s="1"/>
  <c r="F120" i="39"/>
  <c r="F70" i="53"/>
  <c r="P131" i="42"/>
  <c r="P130" i="42"/>
  <c r="D130" i="42"/>
  <c r="D131" i="42"/>
  <c r="V130" i="42"/>
  <c r="V131" i="42"/>
  <c r="J130" i="42"/>
  <c r="J131" i="42"/>
  <c r="AX130" i="38"/>
  <c r="R130" i="38"/>
  <c r="F130" i="53" s="1"/>
  <c r="AD129" i="38"/>
  <c r="AD69" i="38" s="1"/>
  <c r="AX131" i="38"/>
  <c r="R131" i="38"/>
  <c r="F131" i="53" s="1"/>
  <c r="F130" i="38"/>
  <c r="F130" i="49" s="1"/>
  <c r="E138" i="52"/>
  <c r="E139" i="52" s="1"/>
  <c r="U138" i="37"/>
  <c r="U139" i="37" s="1"/>
  <c r="U207" i="37" s="1"/>
  <c r="U220" i="37" s="1"/>
  <c r="U221" i="37" s="1"/>
  <c r="D207" i="52"/>
  <c r="D68" i="52" s="1"/>
  <c r="C68" i="52"/>
  <c r="C256" i="52"/>
  <c r="C261" i="52"/>
  <c r="C228" i="52"/>
  <c r="C237" i="52" s="1"/>
  <c r="C257" i="52"/>
  <c r="C252" i="52"/>
  <c r="C254" i="52"/>
  <c r="C255" i="52"/>
  <c r="C250" i="52"/>
  <c r="C249" i="52"/>
  <c r="C259" i="52"/>
  <c r="C260" i="52"/>
  <c r="C258" i="52"/>
  <c r="C253" i="52"/>
  <c r="C220" i="52"/>
  <c r="C247" i="52"/>
  <c r="C251" i="52"/>
  <c r="X220" i="33"/>
  <c r="X221" i="33" s="1"/>
  <c r="C225" i="51"/>
  <c r="C242" i="51"/>
  <c r="C221" i="51"/>
  <c r="C263" i="51"/>
  <c r="E138" i="51"/>
  <c r="E139" i="51" s="1"/>
  <c r="E207" i="51" s="1"/>
  <c r="E248" i="51" s="1"/>
  <c r="D68" i="51"/>
  <c r="D252" i="51"/>
  <c r="D251" i="51"/>
  <c r="D256" i="51"/>
  <c r="D250" i="51"/>
  <c r="D257" i="51"/>
  <c r="D258" i="51"/>
  <c r="D253" i="51"/>
  <c r="D259" i="51"/>
  <c r="D260" i="51"/>
  <c r="D255" i="51"/>
  <c r="D254" i="51"/>
  <c r="D261" i="51"/>
  <c r="D247" i="51"/>
  <c r="D249" i="51"/>
  <c r="D228" i="51"/>
  <c r="D237" i="51" s="1"/>
  <c r="D220" i="51"/>
  <c r="D254" i="50"/>
  <c r="D252" i="50"/>
  <c r="D258" i="50"/>
  <c r="D255" i="50"/>
  <c r="D220" i="50"/>
  <c r="D250" i="50"/>
  <c r="D253" i="50"/>
  <c r="D261" i="50"/>
  <c r="D256" i="50"/>
  <c r="D251" i="50"/>
  <c r="D228" i="50"/>
  <c r="D237" i="50" s="1"/>
  <c r="D259" i="50"/>
  <c r="D249" i="50"/>
  <c r="D257" i="50"/>
  <c r="D260" i="50"/>
  <c r="D247" i="50"/>
  <c r="D248" i="50"/>
  <c r="F138" i="50"/>
  <c r="E207" i="50"/>
  <c r="E68" i="50" s="1"/>
  <c r="C68" i="50"/>
  <c r="C261" i="50"/>
  <c r="C260" i="50"/>
  <c r="C258" i="50"/>
  <c r="C250" i="50"/>
  <c r="C254" i="50"/>
  <c r="C249" i="50"/>
  <c r="C256" i="50"/>
  <c r="C255" i="50"/>
  <c r="C257" i="50"/>
  <c r="C253" i="50"/>
  <c r="C259" i="50"/>
  <c r="C252" i="50"/>
  <c r="C247" i="50"/>
  <c r="C251" i="50"/>
  <c r="BB131" i="37"/>
  <c r="BB138" i="37" s="1"/>
  <c r="BB139" i="37" s="1"/>
  <c r="C131" i="42"/>
  <c r="C130" i="42"/>
  <c r="B130" i="42"/>
  <c r="B131" i="42"/>
  <c r="F131" i="38"/>
  <c r="F131" i="49" s="1"/>
  <c r="H131" i="42"/>
  <c r="H130" i="42"/>
  <c r="I131" i="42"/>
  <c r="I130" i="42"/>
  <c r="O131" i="42"/>
  <c r="O130" i="42"/>
  <c r="N131" i="42"/>
  <c r="N130" i="42"/>
  <c r="U130" i="38"/>
  <c r="X130" i="38" s="1"/>
  <c r="F130" i="52" s="1"/>
  <c r="U131" i="38"/>
  <c r="X131" i="38" s="1"/>
  <c r="F131" i="52" s="1"/>
  <c r="T131" i="42"/>
  <c r="T130" i="42"/>
  <c r="Z130" i="42"/>
  <c r="Z131" i="42"/>
  <c r="AD131" i="38"/>
  <c r="F131" i="51" s="1"/>
  <c r="AY131" i="38"/>
  <c r="AD130" i="38"/>
  <c r="F130" i="51" s="1"/>
  <c r="AB130" i="42"/>
  <c r="AB131" i="42"/>
  <c r="AY138" i="37"/>
  <c r="AY139" i="37" s="1"/>
  <c r="AY207" i="37" s="1"/>
  <c r="AX138" i="37"/>
  <c r="AX139" i="37" s="1"/>
  <c r="R138" i="37"/>
  <c r="R139" i="37" s="1"/>
  <c r="R207" i="37" s="1"/>
  <c r="R220" i="37" s="1"/>
  <c r="R221" i="37" s="1"/>
  <c r="AZ138" i="37"/>
  <c r="AZ139" i="37" s="1"/>
  <c r="AA220" i="37"/>
  <c r="AA221" i="37" s="1"/>
  <c r="O99" i="38"/>
  <c r="X70" i="37"/>
  <c r="R220" i="36"/>
  <c r="R221" i="36" s="1"/>
  <c r="I138" i="38"/>
  <c r="I139" i="38" s="1"/>
  <c r="I207" i="38" s="1"/>
  <c r="D130" i="39"/>
  <c r="AD70" i="37"/>
  <c r="X116" i="42"/>
  <c r="R128" i="42"/>
  <c r="R129" i="42" s="1"/>
  <c r="R69" i="42" s="1"/>
  <c r="L69" i="38"/>
  <c r="V138" i="38"/>
  <c r="V139" i="38" s="1"/>
  <c r="F70" i="37"/>
  <c r="X129" i="38"/>
  <c r="X69" i="38" s="1"/>
  <c r="O138" i="38"/>
  <c r="O139" i="38" s="1"/>
  <c r="O207" i="38" s="1"/>
  <c r="O220" i="38" s="1"/>
  <c r="O221" i="38" s="1"/>
  <c r="AA138" i="42"/>
  <c r="AA139" i="42" s="1"/>
  <c r="AA207" i="42" s="1"/>
  <c r="I99" i="37"/>
  <c r="AB138" i="38"/>
  <c r="AB139" i="38" s="1"/>
  <c r="F138" i="37"/>
  <c r="F139" i="37" s="1"/>
  <c r="U129" i="42"/>
  <c r="P138" i="38"/>
  <c r="P139" i="38" s="1"/>
  <c r="P207" i="38" s="1"/>
  <c r="P220" i="38" s="1"/>
  <c r="P221" i="38" s="1"/>
  <c r="AA138" i="38"/>
  <c r="AA139" i="38" s="1"/>
  <c r="AA207" i="38" s="1"/>
  <c r="J77" i="42"/>
  <c r="L22" i="42"/>
  <c r="G22" i="50" s="1"/>
  <c r="M30" i="42"/>
  <c r="J78" i="42"/>
  <c r="M22" i="42"/>
  <c r="F169" i="39"/>
  <c r="D138" i="38"/>
  <c r="D139" i="38" s="1"/>
  <c r="X128" i="42"/>
  <c r="AD128" i="42"/>
  <c r="AD129" i="42" s="1"/>
  <c r="AD69" i="42" s="1"/>
  <c r="F128" i="42"/>
  <c r="V77" i="42"/>
  <c r="Y30" i="42"/>
  <c r="X22" i="42"/>
  <c r="G22" i="52" s="1"/>
  <c r="V78" i="42"/>
  <c r="R79" i="42"/>
  <c r="O86" i="42"/>
  <c r="O92" i="42"/>
  <c r="U80" i="42"/>
  <c r="X24" i="42"/>
  <c r="G24" i="52" s="1"/>
  <c r="I80" i="42"/>
  <c r="L24" i="42"/>
  <c r="G24" i="50" s="1"/>
  <c r="F119" i="39"/>
  <c r="C138" i="38"/>
  <c r="C139" i="38" s="1"/>
  <c r="C207" i="38" s="1"/>
  <c r="J220" i="37"/>
  <c r="J221" i="37" s="1"/>
  <c r="B138" i="38"/>
  <c r="B139" i="38" s="1"/>
  <c r="F181" i="42"/>
  <c r="O94" i="42"/>
  <c r="R81" i="42"/>
  <c r="T138" i="38"/>
  <c r="T139" i="38" s="1"/>
  <c r="T207" i="38" s="1"/>
  <c r="T220" i="38" s="1"/>
  <c r="T221" i="38" s="1"/>
  <c r="I94" i="38"/>
  <c r="L94" i="38"/>
  <c r="F94" i="50" s="1"/>
  <c r="U92" i="38"/>
  <c r="X92" i="38"/>
  <c r="F92" i="52" s="1"/>
  <c r="U86" i="38"/>
  <c r="U99" i="37"/>
  <c r="F129" i="38"/>
  <c r="AD26" i="42"/>
  <c r="G26" i="51" s="1"/>
  <c r="AA81" i="42"/>
  <c r="I92" i="38"/>
  <c r="L92" i="38"/>
  <c r="F92" i="50" s="1"/>
  <c r="I86" i="38"/>
  <c r="X78" i="38"/>
  <c r="V91" i="38"/>
  <c r="AD77" i="38"/>
  <c r="F77" i="51" s="1"/>
  <c r="AB90" i="38"/>
  <c r="AB86" i="38"/>
  <c r="AD24" i="42"/>
  <c r="G24" i="51" s="1"/>
  <c r="AA80" i="42"/>
  <c r="U81" i="42"/>
  <c r="X26" i="42"/>
  <c r="G26" i="52" s="1"/>
  <c r="Z138" i="38"/>
  <c r="Z139" i="38" s="1"/>
  <c r="Z207" i="38" s="1"/>
  <c r="Z220" i="38" s="1"/>
  <c r="Z221" i="38" s="1"/>
  <c r="D69" i="39"/>
  <c r="E20" i="44"/>
  <c r="E48" i="44" s="1"/>
  <c r="F205" i="42"/>
  <c r="F194" i="39"/>
  <c r="F205" i="39" s="1"/>
  <c r="AA94" i="38"/>
  <c r="AD94" i="38"/>
  <c r="F94" i="51" s="1"/>
  <c r="P91" i="42"/>
  <c r="R78" i="42"/>
  <c r="E128" i="39"/>
  <c r="E129" i="39" s="1"/>
  <c r="X149" i="38"/>
  <c r="V151" i="38"/>
  <c r="AB151" i="38"/>
  <c r="AD149" i="38"/>
  <c r="U94" i="38"/>
  <c r="X94" i="38"/>
  <c r="F94" i="52" s="1"/>
  <c r="D70" i="39"/>
  <c r="N138" i="38"/>
  <c r="N139" i="38" s="1"/>
  <c r="N207" i="38" s="1"/>
  <c r="N220" i="38" s="1"/>
  <c r="N221" i="38" s="1"/>
  <c r="X90" i="37"/>
  <c r="X86" i="37"/>
  <c r="X220" i="36"/>
  <c r="X221" i="36" s="1"/>
  <c r="R90" i="38"/>
  <c r="R86" i="38"/>
  <c r="J91" i="38"/>
  <c r="L78" i="38"/>
  <c r="J151" i="38"/>
  <c r="J207" i="38" s="1"/>
  <c r="L149" i="38"/>
  <c r="F178" i="39"/>
  <c r="F181" i="39" s="1"/>
  <c r="I81" i="42"/>
  <c r="L26" i="42"/>
  <c r="G26" i="50" s="1"/>
  <c r="U79" i="42"/>
  <c r="X23" i="42"/>
  <c r="G23" i="52" s="1"/>
  <c r="R129" i="38"/>
  <c r="AD92" i="38"/>
  <c r="F92" i="51" s="1"/>
  <c r="AA92" i="38"/>
  <c r="AA86" i="38"/>
  <c r="P151" i="42"/>
  <c r="R149" i="42"/>
  <c r="X138" i="37"/>
  <c r="X139" i="37" s="1"/>
  <c r="X207" i="37" s="1"/>
  <c r="X68" i="37" s="1"/>
  <c r="L138" i="38"/>
  <c r="L139" i="38" s="1"/>
  <c r="F116" i="42"/>
  <c r="AD138" i="37"/>
  <c r="AD139" i="37" s="1"/>
  <c r="AD207" i="37" s="1"/>
  <c r="AD68" i="37" s="1"/>
  <c r="AA99" i="37"/>
  <c r="R80" i="42"/>
  <c r="O93" i="42"/>
  <c r="L128" i="42"/>
  <c r="L129" i="42" s="1"/>
  <c r="U93" i="38"/>
  <c r="X93" i="38"/>
  <c r="F93" i="52" s="1"/>
  <c r="AD78" i="38"/>
  <c r="AB91" i="38"/>
  <c r="AB78" i="42"/>
  <c r="AB77" i="42"/>
  <c r="AD22" i="42"/>
  <c r="G22" i="51" s="1"/>
  <c r="AE30" i="42"/>
  <c r="L93" i="38"/>
  <c r="F93" i="50" s="1"/>
  <c r="I93" i="38"/>
  <c r="AA93" i="38"/>
  <c r="AD93" i="38"/>
  <c r="F93" i="51" s="1"/>
  <c r="V207" i="37"/>
  <c r="V220" i="37" s="1"/>
  <c r="V221" i="37" s="1"/>
  <c r="L90" i="37"/>
  <c r="L86" i="37"/>
  <c r="L71" i="37" s="1"/>
  <c r="J90" i="38"/>
  <c r="L77" i="38"/>
  <c r="F77" i="50" s="1"/>
  <c r="J86" i="38"/>
  <c r="AB207" i="37"/>
  <c r="AB220" i="37" s="1"/>
  <c r="AB221" i="37" s="1"/>
  <c r="L71" i="36"/>
  <c r="L220" i="36"/>
  <c r="L221" i="36" s="1"/>
  <c r="AD220" i="36"/>
  <c r="AD221" i="36" s="1"/>
  <c r="AD71" i="36"/>
  <c r="I220" i="37"/>
  <c r="I221" i="37" s="1"/>
  <c r="AD23" i="42"/>
  <c r="G23" i="51" s="1"/>
  <c r="AA79" i="42"/>
  <c r="P90" i="42"/>
  <c r="P86" i="42"/>
  <c r="R77" i="42"/>
  <c r="G77" i="53" s="1"/>
  <c r="G124" i="39"/>
  <c r="L138" i="37"/>
  <c r="L139" i="37" s="1"/>
  <c r="AD90" i="37"/>
  <c r="AD86" i="37"/>
  <c r="I79" i="42"/>
  <c r="L23" i="42"/>
  <c r="G23" i="50" s="1"/>
  <c r="X77" i="38"/>
  <c r="F77" i="52" s="1"/>
  <c r="V86" i="38"/>
  <c r="V90" i="38"/>
  <c r="F223" i="30"/>
  <c r="E223" i="30"/>
  <c r="D223" i="30"/>
  <c r="C223" i="30"/>
  <c r="B223" i="30"/>
  <c r="A223" i="30"/>
  <c r="F218" i="30"/>
  <c r="F217" i="30"/>
  <c r="B217" i="49" s="1"/>
  <c r="B234" i="49" s="1"/>
  <c r="F216" i="30"/>
  <c r="B216" i="49" s="1"/>
  <c r="B233" i="49" s="1"/>
  <c r="F215" i="30"/>
  <c r="B215" i="49" s="1"/>
  <c r="F214" i="30"/>
  <c r="B214" i="49" s="1"/>
  <c r="F213" i="30"/>
  <c r="B213" i="49" s="1"/>
  <c r="B230" i="49" s="1"/>
  <c r="F212" i="30"/>
  <c r="B212" i="49" s="1"/>
  <c r="F211" i="30"/>
  <c r="B211" i="49" s="1"/>
  <c r="B232" i="49" s="1"/>
  <c r="F210" i="30"/>
  <c r="B210" i="49" s="1"/>
  <c r="B231" i="49" s="1"/>
  <c r="F209" i="30"/>
  <c r="B209" i="49" s="1"/>
  <c r="E205" i="30"/>
  <c r="D205" i="30"/>
  <c r="C205" i="30"/>
  <c r="F204" i="30"/>
  <c r="B204" i="49" s="1"/>
  <c r="F203" i="30"/>
  <c r="B203" i="49" s="1"/>
  <c r="F202" i="30"/>
  <c r="B202" i="49" s="1"/>
  <c r="F201" i="30"/>
  <c r="B201" i="49" s="1"/>
  <c r="F199" i="30"/>
  <c r="B199" i="49" s="1"/>
  <c r="F198" i="30"/>
  <c r="B198" i="49" s="1"/>
  <c r="F197" i="30"/>
  <c r="B197" i="49" s="1"/>
  <c r="F196" i="30"/>
  <c r="B196" i="49" s="1"/>
  <c r="F195" i="30"/>
  <c r="B195" i="49" s="1"/>
  <c r="F194" i="30"/>
  <c r="B194" i="49" s="1"/>
  <c r="D192" i="30"/>
  <c r="C192" i="30"/>
  <c r="F191" i="30"/>
  <c r="B191" i="49" s="1"/>
  <c r="F190" i="30"/>
  <c r="B190" i="49" s="1"/>
  <c r="F189" i="30"/>
  <c r="B189" i="49" s="1"/>
  <c r="F188" i="30"/>
  <c r="B188" i="49" s="1"/>
  <c r="F187" i="30"/>
  <c r="B187" i="49" s="1"/>
  <c r="F186" i="30"/>
  <c r="B186" i="49" s="1"/>
  <c r="F185" i="30"/>
  <c r="B185" i="49" s="1"/>
  <c r="F184" i="30"/>
  <c r="B184" i="49" s="1"/>
  <c r="F182" i="30"/>
  <c r="F193" i="30" s="1"/>
  <c r="E182" i="30"/>
  <c r="E193" i="30" s="1"/>
  <c r="D182" i="30"/>
  <c r="D193" i="30" s="1"/>
  <c r="C182" i="30"/>
  <c r="C193" i="30" s="1"/>
  <c r="B182" i="30"/>
  <c r="B193" i="30" s="1"/>
  <c r="E181" i="30"/>
  <c r="D181" i="30"/>
  <c r="C181" i="30"/>
  <c r="B181" i="30"/>
  <c r="F180" i="30"/>
  <c r="B180" i="49" s="1"/>
  <c r="F179" i="30"/>
  <c r="B179" i="49" s="1"/>
  <c r="F178" i="30"/>
  <c r="B178" i="49" s="1"/>
  <c r="E176" i="30"/>
  <c r="D176" i="30"/>
  <c r="C176" i="30"/>
  <c r="F174" i="30"/>
  <c r="B174" i="49" s="1"/>
  <c r="F173" i="30"/>
  <c r="B173" i="49" s="1"/>
  <c r="F172" i="30"/>
  <c r="B172" i="49" s="1"/>
  <c r="F171" i="30"/>
  <c r="B171" i="49" s="1"/>
  <c r="F170" i="30"/>
  <c r="B170" i="49" s="1"/>
  <c r="F169" i="30"/>
  <c r="B169" i="49" s="1"/>
  <c r="F162" i="30"/>
  <c r="B162" i="49" s="1"/>
  <c r="F160" i="30"/>
  <c r="B160" i="49" s="1"/>
  <c r="F159" i="30"/>
  <c r="B159" i="49" s="1"/>
  <c r="F153" i="30"/>
  <c r="B153" i="49" s="1"/>
  <c r="F152" i="30"/>
  <c r="F168" i="30" s="1"/>
  <c r="E152" i="30"/>
  <c r="E168" i="30" s="1"/>
  <c r="D152" i="30"/>
  <c r="D168" i="30" s="1"/>
  <c r="C152" i="30"/>
  <c r="C168" i="30" s="1"/>
  <c r="B152" i="30"/>
  <c r="B168" i="30" s="1"/>
  <c r="E151" i="30"/>
  <c r="F150" i="30"/>
  <c r="B150" i="49" s="1"/>
  <c r="AS149" i="30"/>
  <c r="AS148" i="30"/>
  <c r="AS147" i="30"/>
  <c r="F144" i="30"/>
  <c r="B144" i="49" s="1"/>
  <c r="F143" i="30"/>
  <c r="B143" i="49" s="1"/>
  <c r="F142" i="30"/>
  <c r="B142" i="49" s="1"/>
  <c r="F140" i="30"/>
  <c r="E140" i="30"/>
  <c r="D140" i="30"/>
  <c r="C140" i="30"/>
  <c r="B140" i="30"/>
  <c r="F136" i="30"/>
  <c r="B136" i="49" s="1"/>
  <c r="E128" i="30"/>
  <c r="D128" i="30"/>
  <c r="C128" i="30"/>
  <c r="B128" i="30"/>
  <c r="F127" i="30"/>
  <c r="B127" i="49" s="1"/>
  <c r="F126" i="30"/>
  <c r="B126" i="49" s="1"/>
  <c r="F125" i="30"/>
  <c r="B125" i="49" s="1"/>
  <c r="F124" i="30"/>
  <c r="B124" i="49" s="1"/>
  <c r="F123" i="30"/>
  <c r="B123" i="49" s="1"/>
  <c r="F122" i="30"/>
  <c r="B122" i="49" s="1"/>
  <c r="F121" i="30"/>
  <c r="B121" i="49" s="1"/>
  <c r="F120" i="30"/>
  <c r="B120" i="49" s="1"/>
  <c r="F119" i="30"/>
  <c r="B119" i="49" s="1"/>
  <c r="F118" i="30"/>
  <c r="B118" i="49" s="1"/>
  <c r="F117" i="30"/>
  <c r="E117" i="30"/>
  <c r="D117" i="30"/>
  <c r="C117" i="30"/>
  <c r="B117" i="30"/>
  <c r="C115" i="30"/>
  <c r="F114" i="30"/>
  <c r="B114" i="49" s="1"/>
  <c r="F112" i="30"/>
  <c r="B112" i="49" s="1"/>
  <c r="F111" i="30"/>
  <c r="B111" i="49" s="1"/>
  <c r="F110" i="30"/>
  <c r="B110" i="49" s="1"/>
  <c r="F109" i="30"/>
  <c r="B109" i="49" s="1"/>
  <c r="F107" i="30"/>
  <c r="B107" i="49" s="1"/>
  <c r="F106" i="30"/>
  <c r="B106" i="49" s="1"/>
  <c r="F105" i="30"/>
  <c r="B105" i="49" s="1"/>
  <c r="F104" i="30"/>
  <c r="B104" i="49" s="1"/>
  <c r="F103" i="30"/>
  <c r="B103" i="49" s="1"/>
  <c r="F101" i="30"/>
  <c r="E101" i="30"/>
  <c r="D101" i="30"/>
  <c r="C101" i="30"/>
  <c r="B101" i="30"/>
  <c r="E97" i="30"/>
  <c r="AU97" i="30" s="1"/>
  <c r="D97" i="30"/>
  <c r="AT97" i="30" s="1"/>
  <c r="C97" i="30"/>
  <c r="AS97" i="30" s="1"/>
  <c r="B97" i="30"/>
  <c r="AR97" i="30" s="1"/>
  <c r="E96" i="30"/>
  <c r="AU96" i="30" s="1"/>
  <c r="D96" i="30"/>
  <c r="AT96" i="30" s="1"/>
  <c r="C96" i="30"/>
  <c r="AS96" i="30" s="1"/>
  <c r="B96" i="30"/>
  <c r="AR96" i="30" s="1"/>
  <c r="E95" i="30"/>
  <c r="AU95" i="30" s="1"/>
  <c r="D95" i="30"/>
  <c r="AT95" i="30" s="1"/>
  <c r="C95" i="30"/>
  <c r="AS95" i="30" s="1"/>
  <c r="B95" i="30"/>
  <c r="E94" i="30"/>
  <c r="AU94" i="30" s="1"/>
  <c r="D94" i="30"/>
  <c r="AT94" i="30" s="1"/>
  <c r="C94" i="30"/>
  <c r="AS94" i="30" s="1"/>
  <c r="E93" i="30"/>
  <c r="AU93" i="30" s="1"/>
  <c r="D93" i="30"/>
  <c r="AT93" i="30" s="1"/>
  <c r="C93" i="30"/>
  <c r="AS93" i="30" s="1"/>
  <c r="E92" i="30"/>
  <c r="AU92" i="30" s="1"/>
  <c r="D92" i="30"/>
  <c r="AT92" i="30" s="1"/>
  <c r="C92" i="30"/>
  <c r="AS92" i="30" s="1"/>
  <c r="E91" i="30"/>
  <c r="AU91" i="30" s="1"/>
  <c r="D91" i="30"/>
  <c r="AT91" i="30" s="1"/>
  <c r="E90" i="30"/>
  <c r="AU90" i="30" s="1"/>
  <c r="D89" i="30"/>
  <c r="AT89" i="30" s="1"/>
  <c r="E88" i="30"/>
  <c r="AU88" i="30" s="1"/>
  <c r="D88" i="30"/>
  <c r="AT88" i="30" s="1"/>
  <c r="C88" i="30"/>
  <c r="AS88" i="30" s="1"/>
  <c r="E87" i="30"/>
  <c r="AU87" i="30" s="1"/>
  <c r="D87" i="30"/>
  <c r="AT87" i="30" s="1"/>
  <c r="C87" i="30"/>
  <c r="AS87" i="30" s="1"/>
  <c r="F84" i="30"/>
  <c r="F83" i="30"/>
  <c r="F82" i="30"/>
  <c r="B81" i="30"/>
  <c r="B80" i="30"/>
  <c r="AR80" i="30" s="1"/>
  <c r="B79" i="30"/>
  <c r="C78" i="30"/>
  <c r="B78" i="30"/>
  <c r="D77" i="30"/>
  <c r="AT77" i="30" s="1"/>
  <c r="C77" i="30"/>
  <c r="B77" i="30"/>
  <c r="C76" i="30"/>
  <c r="AS76" i="30" s="1"/>
  <c r="B76" i="30"/>
  <c r="F73" i="30"/>
  <c r="E73" i="30"/>
  <c r="C73" i="30"/>
  <c r="B73" i="30"/>
  <c r="E62" i="30"/>
  <c r="E65" i="30" s="1"/>
  <c r="D62" i="30"/>
  <c r="D65" i="30" s="1"/>
  <c r="C62" i="30"/>
  <c r="C65" i="30" s="1"/>
  <c r="B62" i="30"/>
  <c r="B65" i="30" s="1"/>
  <c r="F61" i="30"/>
  <c r="B61" i="49" s="1"/>
  <c r="F60" i="30"/>
  <c r="B60" i="49" s="1"/>
  <c r="F59" i="30"/>
  <c r="B59" i="49" s="1"/>
  <c r="F58" i="30"/>
  <c r="B58" i="49" s="1"/>
  <c r="F57" i="30"/>
  <c r="B57" i="49" s="1"/>
  <c r="F56" i="30"/>
  <c r="B56" i="49" s="1"/>
  <c r="F55" i="30"/>
  <c r="B55" i="49" s="1"/>
  <c r="F54" i="30"/>
  <c r="B54" i="49" s="1"/>
  <c r="F53" i="30"/>
  <c r="B53" i="49" s="1"/>
  <c r="F52" i="30"/>
  <c r="B52" i="49" s="1"/>
  <c r="F51" i="30"/>
  <c r="B51" i="49" s="1"/>
  <c r="F50" i="30"/>
  <c r="B50" i="49" s="1"/>
  <c r="F49" i="30"/>
  <c r="B49" i="49" s="1"/>
  <c r="F48" i="30"/>
  <c r="B48" i="49" s="1"/>
  <c r="F47" i="30"/>
  <c r="B47" i="49" s="1"/>
  <c r="F46" i="30"/>
  <c r="B46" i="49" s="1"/>
  <c r="F45" i="30"/>
  <c r="B45" i="49" s="1"/>
  <c r="F44" i="30"/>
  <c r="B44" i="49" s="1"/>
  <c r="F43" i="30"/>
  <c r="B43" i="49" s="1"/>
  <c r="F42" i="30"/>
  <c r="B42" i="49" s="1"/>
  <c r="F41" i="30"/>
  <c r="E41" i="30"/>
  <c r="D41" i="30"/>
  <c r="C41" i="30"/>
  <c r="B41" i="30"/>
  <c r="E39" i="30"/>
  <c r="D39" i="30"/>
  <c r="C39" i="30"/>
  <c r="B39" i="30"/>
  <c r="F38" i="30"/>
  <c r="B38" i="49" s="1"/>
  <c r="F37" i="30"/>
  <c r="B37" i="49" s="1"/>
  <c r="F36" i="30"/>
  <c r="B36" i="49" s="1"/>
  <c r="F35" i="30"/>
  <c r="B35" i="49" s="1"/>
  <c r="F34" i="30"/>
  <c r="B34" i="49" s="1"/>
  <c r="F33" i="30"/>
  <c r="B33" i="49" s="1"/>
  <c r="F32" i="30"/>
  <c r="B32" i="49" s="1"/>
  <c r="F31" i="30"/>
  <c r="B31" i="49" s="1"/>
  <c r="F30" i="30"/>
  <c r="B30" i="49" s="1"/>
  <c r="F29" i="30"/>
  <c r="B29" i="49" s="1"/>
  <c r="F27" i="30"/>
  <c r="F26" i="30"/>
  <c r="B26" i="49" s="1"/>
  <c r="F25" i="30"/>
  <c r="B25" i="49" s="1"/>
  <c r="F24" i="30"/>
  <c r="B24" i="49" s="1"/>
  <c r="F23" i="30"/>
  <c r="B23" i="49" s="1"/>
  <c r="F22" i="30"/>
  <c r="B22" i="49" s="1"/>
  <c r="B19" i="30"/>
  <c r="F18" i="30"/>
  <c r="F17" i="30"/>
  <c r="F16" i="30"/>
  <c r="F15" i="30"/>
  <c r="F14" i="30"/>
  <c r="F13" i="30"/>
  <c r="F12" i="30"/>
  <c r="F11" i="30"/>
  <c r="F10" i="30"/>
  <c r="F9" i="30"/>
  <c r="F8" i="30"/>
  <c r="F7" i="30"/>
  <c r="F6" i="30"/>
  <c r="B5" i="30"/>
  <c r="B74" i="30" s="1"/>
  <c r="F3" i="30"/>
  <c r="F2" i="30"/>
  <c r="B2" i="49" s="1"/>
  <c r="J2" i="49" s="1"/>
  <c r="B235" i="49" l="1"/>
  <c r="B263" i="51"/>
  <c r="D138" i="39"/>
  <c r="D139" i="39" s="1"/>
  <c r="E131" i="39"/>
  <c r="BB69" i="42"/>
  <c r="BB70" i="42"/>
  <c r="BB69" i="38"/>
  <c r="BB70" i="38"/>
  <c r="G69" i="52"/>
  <c r="G70" i="52"/>
  <c r="G8" i="30"/>
  <c r="B8" i="49"/>
  <c r="B78" i="34"/>
  <c r="B16" i="49"/>
  <c r="B86" i="34"/>
  <c r="F96" i="30"/>
  <c r="B96" i="49" s="1"/>
  <c r="B83" i="49"/>
  <c r="R93" i="42"/>
  <c r="G93" i="53" s="1"/>
  <c r="G80" i="53"/>
  <c r="F151" i="53"/>
  <c r="G9" i="30"/>
  <c r="B9" i="49"/>
  <c r="B79" i="34"/>
  <c r="B13" i="49"/>
  <c r="B83" i="34"/>
  <c r="B17" i="49"/>
  <c r="B87" i="34"/>
  <c r="C132" i="30"/>
  <c r="C135" i="30"/>
  <c r="AS135" i="30" s="1"/>
  <c r="F97" i="30"/>
  <c r="B97" i="49" s="1"/>
  <c r="B84" i="49"/>
  <c r="B181" i="49"/>
  <c r="L151" i="38"/>
  <c r="F149" i="50"/>
  <c r="F151" i="50" s="1"/>
  <c r="X99" i="37"/>
  <c r="E90" i="52"/>
  <c r="E99" i="52" s="1"/>
  <c r="X151" i="38"/>
  <c r="F149" i="52"/>
  <c r="F151" i="52" s="1"/>
  <c r="X91" i="38"/>
  <c r="F91" i="52" s="1"/>
  <c r="F78" i="52"/>
  <c r="F86" i="52" s="1"/>
  <c r="F71" i="52" s="1"/>
  <c r="F138" i="49"/>
  <c r="F139" i="49" s="1"/>
  <c r="F139" i="50"/>
  <c r="F207" i="50" s="1"/>
  <c r="F248" i="50" s="1"/>
  <c r="F70" i="50"/>
  <c r="E207" i="53"/>
  <c r="L99" i="37"/>
  <c r="E90" i="50"/>
  <c r="E99" i="50" s="1"/>
  <c r="R91" i="42"/>
  <c r="G91" i="53" s="1"/>
  <c r="G78" i="53"/>
  <c r="R92" i="42"/>
  <c r="G92" i="53" s="1"/>
  <c r="G79" i="53"/>
  <c r="G116" i="51"/>
  <c r="G129" i="51" s="1"/>
  <c r="G69" i="51" s="1"/>
  <c r="G10" i="30"/>
  <c r="B10" i="49"/>
  <c r="B80" i="34"/>
  <c r="D135" i="30"/>
  <c r="D132" i="30"/>
  <c r="D137" i="30"/>
  <c r="AT137" i="30" s="1"/>
  <c r="AD99" i="37"/>
  <c r="E90" i="51"/>
  <c r="E99" i="51" s="1"/>
  <c r="R151" i="42"/>
  <c r="G149" i="53"/>
  <c r="R99" i="38"/>
  <c r="F90" i="53"/>
  <c r="F99" i="53" s="1"/>
  <c r="AD151" i="38"/>
  <c r="F149" i="51"/>
  <c r="F151" i="51" s="1"/>
  <c r="G70" i="50"/>
  <c r="G69" i="50"/>
  <c r="F71" i="53"/>
  <c r="G129" i="49"/>
  <c r="D263" i="53"/>
  <c r="B12" i="49"/>
  <c r="B82" i="34"/>
  <c r="B137" i="30"/>
  <c r="AR137" i="30" s="1"/>
  <c r="B135" i="30"/>
  <c r="AR135" i="30" s="1"/>
  <c r="B108" i="30"/>
  <c r="B132" i="30"/>
  <c r="B176" i="49"/>
  <c r="F138" i="53"/>
  <c r="F139" i="53" s="1"/>
  <c r="B263" i="50"/>
  <c r="F69" i="49"/>
  <c r="F70" i="49"/>
  <c r="G116" i="53"/>
  <c r="G129" i="53" s="1"/>
  <c r="G70" i="53" s="1"/>
  <c r="G6" i="30"/>
  <c r="B6" i="49"/>
  <c r="B76" i="34"/>
  <c r="B14" i="49"/>
  <c r="B84" i="34"/>
  <c r="B18" i="49"/>
  <c r="B88" i="34"/>
  <c r="B39" i="49"/>
  <c r="B64" i="49" s="1"/>
  <c r="G7" i="30"/>
  <c r="B7" i="49"/>
  <c r="B77" i="34"/>
  <c r="G11" i="30"/>
  <c r="B11" i="49"/>
  <c r="B81" i="34"/>
  <c r="B15" i="49"/>
  <c r="B85" i="34"/>
  <c r="B145" i="30"/>
  <c r="B148" i="30"/>
  <c r="D154" i="30"/>
  <c r="AT154" i="30" s="1"/>
  <c r="B200" i="30"/>
  <c r="B147" i="30"/>
  <c r="B141" i="30"/>
  <c r="B161" i="30"/>
  <c r="B157" i="30"/>
  <c r="B146" i="30"/>
  <c r="E183" i="30"/>
  <c r="E132" i="30"/>
  <c r="E135" i="30"/>
  <c r="AU135" i="30" s="1"/>
  <c r="E137" i="30"/>
  <c r="AU137" i="30" s="1"/>
  <c r="B62" i="49"/>
  <c r="B65" i="49" s="1"/>
  <c r="F95" i="30"/>
  <c r="B95" i="49" s="1"/>
  <c r="B82" i="49"/>
  <c r="B128" i="49"/>
  <c r="AD91" i="38"/>
  <c r="F91" i="51" s="1"/>
  <c r="F78" i="51"/>
  <c r="F86" i="51" s="1"/>
  <c r="F71" i="51" s="1"/>
  <c r="L91" i="38"/>
  <c r="F91" i="50" s="1"/>
  <c r="F78" i="50"/>
  <c r="F86" i="50" s="1"/>
  <c r="R94" i="42"/>
  <c r="G94" i="53" s="1"/>
  <c r="G81" i="53"/>
  <c r="R130" i="42"/>
  <c r="G130" i="53" s="1"/>
  <c r="E207" i="52"/>
  <c r="E248" i="52" s="1"/>
  <c r="C240" i="52"/>
  <c r="B244" i="52"/>
  <c r="B225" i="51"/>
  <c r="B221" i="51"/>
  <c r="B242" i="51"/>
  <c r="B243" i="51" s="1"/>
  <c r="B244" i="53"/>
  <c r="C240" i="53"/>
  <c r="C243" i="53" s="1"/>
  <c r="D225" i="53"/>
  <c r="D242" i="53"/>
  <c r="D221" i="53"/>
  <c r="BB131" i="38"/>
  <c r="R131" i="42"/>
  <c r="G131" i="53" s="1"/>
  <c r="AZ131" i="42"/>
  <c r="AZ130" i="42"/>
  <c r="F138" i="52"/>
  <c r="F139" i="52" s="1"/>
  <c r="AD70" i="38"/>
  <c r="AY130" i="38"/>
  <c r="BB130" i="38" s="1"/>
  <c r="E257" i="52"/>
  <c r="E258" i="52"/>
  <c r="E259" i="52"/>
  <c r="E261" i="52"/>
  <c r="E255" i="52"/>
  <c r="E256" i="52"/>
  <c r="D260" i="52"/>
  <c r="D253" i="52"/>
  <c r="D251" i="52"/>
  <c r="D254" i="52"/>
  <c r="D257" i="52"/>
  <c r="D250" i="52"/>
  <c r="D259" i="52"/>
  <c r="D256" i="52"/>
  <c r="D261" i="52"/>
  <c r="D258" i="52"/>
  <c r="D255" i="52"/>
  <c r="D228" i="52"/>
  <c r="D237" i="52" s="1"/>
  <c r="D220" i="52"/>
  <c r="D247" i="52"/>
  <c r="D249" i="52"/>
  <c r="D252" i="52"/>
  <c r="D248" i="52"/>
  <c r="C263" i="52"/>
  <c r="C225" i="52"/>
  <c r="C221" i="52"/>
  <c r="C242" i="52"/>
  <c r="F138" i="51"/>
  <c r="F139" i="51" s="1"/>
  <c r="F207" i="51" s="1"/>
  <c r="F248" i="51" s="1"/>
  <c r="E68" i="51"/>
  <c r="E250" i="51"/>
  <c r="E255" i="51"/>
  <c r="E260" i="51"/>
  <c r="E254" i="51"/>
  <c r="E258" i="51"/>
  <c r="E261" i="51"/>
  <c r="E257" i="51"/>
  <c r="E259" i="51"/>
  <c r="E256" i="51"/>
  <c r="E252" i="51"/>
  <c r="E253" i="51"/>
  <c r="E251" i="51"/>
  <c r="E247" i="51"/>
  <c r="E228" i="51"/>
  <c r="E237" i="51" s="1"/>
  <c r="E249" i="51"/>
  <c r="E220" i="51"/>
  <c r="D263" i="51"/>
  <c r="D225" i="51"/>
  <c r="D221" i="51"/>
  <c r="D242" i="51"/>
  <c r="D225" i="50"/>
  <c r="D263" i="50"/>
  <c r="D242" i="50"/>
  <c r="D221" i="50"/>
  <c r="AX131" i="42"/>
  <c r="F68" i="50"/>
  <c r="F260" i="50"/>
  <c r="F259" i="50"/>
  <c r="F251" i="50"/>
  <c r="F255" i="50"/>
  <c r="F261" i="50"/>
  <c r="F254" i="50"/>
  <c r="F257" i="50"/>
  <c r="F249" i="50"/>
  <c r="F258" i="50"/>
  <c r="F250" i="50"/>
  <c r="F256" i="50"/>
  <c r="F253" i="50"/>
  <c r="F252" i="50"/>
  <c r="F247" i="50"/>
  <c r="E220" i="50"/>
  <c r="E249" i="50"/>
  <c r="E253" i="50"/>
  <c r="E254" i="50"/>
  <c r="E255" i="50"/>
  <c r="E258" i="50"/>
  <c r="E252" i="50"/>
  <c r="E256" i="50"/>
  <c r="E260" i="50"/>
  <c r="E250" i="50"/>
  <c r="E259" i="50"/>
  <c r="E228" i="50"/>
  <c r="E237" i="50" s="1"/>
  <c r="E257" i="50"/>
  <c r="E261" i="50"/>
  <c r="E251" i="50"/>
  <c r="E247" i="50"/>
  <c r="E248" i="50"/>
  <c r="C263" i="50"/>
  <c r="F131" i="42"/>
  <c r="G131" i="49" s="1"/>
  <c r="F130" i="42"/>
  <c r="G130" i="49" s="1"/>
  <c r="L130" i="42"/>
  <c r="G130" i="50" s="1"/>
  <c r="L131" i="42"/>
  <c r="G131" i="50" s="1"/>
  <c r="AX130" i="42"/>
  <c r="U131" i="42"/>
  <c r="AY131" i="42" s="1"/>
  <c r="U130" i="42"/>
  <c r="AY130" i="42" s="1"/>
  <c r="AD131" i="42"/>
  <c r="G131" i="51" s="1"/>
  <c r="AD130" i="42"/>
  <c r="G130" i="51" s="1"/>
  <c r="AX138" i="38"/>
  <c r="AX139" i="38" s="1"/>
  <c r="AZ138" i="38"/>
  <c r="AZ139" i="38" s="1"/>
  <c r="I220" i="38"/>
  <c r="I221" i="38" s="1"/>
  <c r="V207" i="38"/>
  <c r="V220" i="38" s="1"/>
  <c r="V221" i="38" s="1"/>
  <c r="X129" i="42"/>
  <c r="X69" i="42" s="1"/>
  <c r="I138" i="42"/>
  <c r="I139" i="42" s="1"/>
  <c r="I207" i="42" s="1"/>
  <c r="R138" i="38"/>
  <c r="R139" i="38" s="1"/>
  <c r="R207" i="38" s="1"/>
  <c r="R68" i="38" s="1"/>
  <c r="AB207" i="38"/>
  <c r="AB220" i="38" s="1"/>
  <c r="AB221" i="38" s="1"/>
  <c r="AD138" i="38"/>
  <c r="AD139" i="38" s="1"/>
  <c r="AD207" i="38" s="1"/>
  <c r="AD68" i="38" s="1"/>
  <c r="X70" i="38"/>
  <c r="AA220" i="38"/>
  <c r="AA221" i="38" s="1"/>
  <c r="L207" i="38"/>
  <c r="L68" i="38" s="1"/>
  <c r="F129" i="42"/>
  <c r="F69" i="42" s="1"/>
  <c r="L69" i="42"/>
  <c r="L70" i="42"/>
  <c r="O138" i="42"/>
  <c r="O139" i="42" s="1"/>
  <c r="O207" i="42" s="1"/>
  <c r="O220" i="42" s="1"/>
  <c r="O221" i="42" s="1"/>
  <c r="J138" i="42"/>
  <c r="J139" i="42" s="1"/>
  <c r="U138" i="38"/>
  <c r="U139" i="38" s="1"/>
  <c r="U207" i="38" s="1"/>
  <c r="U220" i="38" s="1"/>
  <c r="U221" i="38" s="1"/>
  <c r="F138" i="38"/>
  <c r="F139" i="38" s="1"/>
  <c r="R68" i="37"/>
  <c r="AA99" i="38"/>
  <c r="J220" i="38"/>
  <c r="J221" i="38" s="1"/>
  <c r="E69" i="39"/>
  <c r="F20" i="44"/>
  <c r="F48" i="44" s="1"/>
  <c r="E70" i="39"/>
  <c r="X90" i="38"/>
  <c r="X86" i="38"/>
  <c r="AA92" i="42"/>
  <c r="AD79" i="42"/>
  <c r="AA86" i="42"/>
  <c r="AA220" i="42" s="1"/>
  <c r="AA221" i="42" s="1"/>
  <c r="R70" i="42"/>
  <c r="C138" i="42"/>
  <c r="C139" i="42" s="1"/>
  <c r="C207" i="42" s="1"/>
  <c r="X79" i="42"/>
  <c r="U92" i="42"/>
  <c r="U86" i="42"/>
  <c r="AV96" i="30"/>
  <c r="B96" i="39" s="1"/>
  <c r="AD220" i="37"/>
  <c r="AD221" i="37" s="1"/>
  <c r="AD71" i="37"/>
  <c r="R90" i="42"/>
  <c r="R86" i="42"/>
  <c r="AB90" i="42"/>
  <c r="AD77" i="42"/>
  <c r="G77" i="51" s="1"/>
  <c r="AB86" i="42"/>
  <c r="G178" i="39"/>
  <c r="G181" i="39" s="1"/>
  <c r="X71" i="37"/>
  <c r="X220" i="37"/>
  <c r="X221" i="37" s="1"/>
  <c r="AA93" i="42"/>
  <c r="AD80" i="42"/>
  <c r="AB138" i="42"/>
  <c r="AB139" i="42" s="1"/>
  <c r="V138" i="42"/>
  <c r="V139" i="42" s="1"/>
  <c r="AD81" i="42"/>
  <c r="AA94" i="42"/>
  <c r="P138" i="42"/>
  <c r="P139" i="42" s="1"/>
  <c r="P207" i="42" s="1"/>
  <c r="P220" i="42" s="1"/>
  <c r="P221" i="42" s="1"/>
  <c r="F128" i="39"/>
  <c r="F129" i="39" s="1"/>
  <c r="F70" i="39" s="1"/>
  <c r="I93" i="42"/>
  <c r="L80" i="42"/>
  <c r="O99" i="42"/>
  <c r="J151" i="42"/>
  <c r="L149" i="42"/>
  <c r="G105" i="39"/>
  <c r="G116" i="39" s="1"/>
  <c r="L90" i="38"/>
  <c r="L86" i="38"/>
  <c r="X81" i="42"/>
  <c r="U94" i="42"/>
  <c r="G194" i="39"/>
  <c r="G205" i="39" s="1"/>
  <c r="V91" i="42"/>
  <c r="X78" i="42"/>
  <c r="AV97" i="30"/>
  <c r="B97" i="39" s="1"/>
  <c r="B93" i="30"/>
  <c r="AR93" i="30" s="1"/>
  <c r="AV93" i="30" s="1"/>
  <c r="B93" i="39" s="1"/>
  <c r="G169" i="39"/>
  <c r="AB91" i="42"/>
  <c r="AD78" i="42"/>
  <c r="G119" i="39"/>
  <c r="E130" i="39"/>
  <c r="R69" i="38"/>
  <c r="R70" i="38"/>
  <c r="R71" i="38"/>
  <c r="N138" i="42"/>
  <c r="N139" i="42" s="1"/>
  <c r="N207" i="42" s="1"/>
  <c r="N220" i="42" s="1"/>
  <c r="N221" i="42" s="1"/>
  <c r="E49" i="44"/>
  <c r="E50" i="44" s="1"/>
  <c r="E53" i="44" s="1"/>
  <c r="AD90" i="38"/>
  <c r="AD86" i="38"/>
  <c r="D138" i="42"/>
  <c r="D139" i="42" s="1"/>
  <c r="V151" i="42"/>
  <c r="X149" i="42"/>
  <c r="AD70" i="42"/>
  <c r="F175" i="30"/>
  <c r="B175" i="49" s="1"/>
  <c r="H138" i="42"/>
  <c r="H139" i="42" s="1"/>
  <c r="H207" i="42" s="1"/>
  <c r="H220" i="42" s="1"/>
  <c r="H221" i="42" s="1"/>
  <c r="AB151" i="42"/>
  <c r="AD149" i="42"/>
  <c r="I99" i="38"/>
  <c r="Z138" i="42"/>
  <c r="Z139" i="42" s="1"/>
  <c r="Z207" i="42" s="1"/>
  <c r="Z220" i="42" s="1"/>
  <c r="Z221" i="42" s="1"/>
  <c r="U93" i="42"/>
  <c r="X80" i="42"/>
  <c r="V86" i="42"/>
  <c r="X77" i="42"/>
  <c r="G77" i="52" s="1"/>
  <c r="V90" i="42"/>
  <c r="I86" i="42"/>
  <c r="I92" i="42"/>
  <c r="L79" i="42"/>
  <c r="L207" i="37"/>
  <c r="L220" i="37" s="1"/>
  <c r="L221" i="37" s="1"/>
  <c r="L81" i="42"/>
  <c r="I94" i="42"/>
  <c r="B138" i="42"/>
  <c r="B139" i="42" s="1"/>
  <c r="T138" i="42"/>
  <c r="T139" i="42" s="1"/>
  <c r="T207" i="42" s="1"/>
  <c r="T220" i="42" s="1"/>
  <c r="T221" i="42" s="1"/>
  <c r="F69" i="38"/>
  <c r="F70" i="38"/>
  <c r="U99" i="38"/>
  <c r="X138" i="38"/>
  <c r="X139" i="38" s="1"/>
  <c r="X207" i="38" s="1"/>
  <c r="X68" i="38" s="1"/>
  <c r="L78" i="42"/>
  <c r="J91" i="42"/>
  <c r="L77" i="42"/>
  <c r="G77" i="50" s="1"/>
  <c r="J90" i="42"/>
  <c r="J86" i="42"/>
  <c r="C23" i="33"/>
  <c r="C24" i="33"/>
  <c r="D22" i="33"/>
  <c r="C26" i="33"/>
  <c r="C64" i="30"/>
  <c r="AS137" i="30"/>
  <c r="B89" i="30"/>
  <c r="AR89" i="30" s="1"/>
  <c r="AR76" i="30"/>
  <c r="AV80" i="30"/>
  <c r="B80" i="39" s="1"/>
  <c r="F149" i="30"/>
  <c r="B149" i="49" s="1"/>
  <c r="AR149" i="30"/>
  <c r="B192" i="30"/>
  <c r="AR183" i="30"/>
  <c r="C90" i="30"/>
  <c r="AS90" i="30" s="1"/>
  <c r="AS77" i="30"/>
  <c r="B176" i="30"/>
  <c r="AR175" i="30"/>
  <c r="B87" i="30"/>
  <c r="AR5" i="30"/>
  <c r="F78" i="30"/>
  <c r="AR78" i="30"/>
  <c r="F80" i="30"/>
  <c r="F115" i="30"/>
  <c r="B115" i="49" s="1"/>
  <c r="AS115" i="30"/>
  <c r="AV115" i="30" s="1"/>
  <c r="B115" i="39" s="1"/>
  <c r="C151" i="30"/>
  <c r="AS145" i="30"/>
  <c r="AS151" i="30" s="1"/>
  <c r="F79" i="30"/>
  <c r="AR79" i="30"/>
  <c r="E76" i="30"/>
  <c r="AU76" i="30" s="1"/>
  <c r="AR141" i="30"/>
  <c r="AR19" i="30"/>
  <c r="AV19" i="30" s="1"/>
  <c r="AX24" i="30" s="1"/>
  <c r="E64" i="30"/>
  <c r="E66" i="30" s="1"/>
  <c r="B90" i="30"/>
  <c r="AR90" i="30" s="1"/>
  <c r="AR77" i="30"/>
  <c r="C91" i="30"/>
  <c r="AS91" i="30" s="1"/>
  <c r="AS78" i="30"/>
  <c r="B94" i="30"/>
  <c r="AR94" i="30" s="1"/>
  <c r="AV94" i="30" s="1"/>
  <c r="B94" i="39" s="1"/>
  <c r="AR81" i="30"/>
  <c r="F113" i="30"/>
  <c r="B113" i="49" s="1"/>
  <c r="AR113" i="30"/>
  <c r="AV113" i="30" s="1"/>
  <c r="B113" i="39" s="1"/>
  <c r="D151" i="30"/>
  <c r="AT149" i="30"/>
  <c r="AT151" i="30" s="1"/>
  <c r="F181" i="30"/>
  <c r="F176" i="30"/>
  <c r="F128" i="30"/>
  <c r="C66" i="30"/>
  <c r="F62" i="30"/>
  <c r="F65" i="30" s="1"/>
  <c r="B64" i="30"/>
  <c r="B66" i="30" s="1"/>
  <c r="F39" i="30"/>
  <c r="F64" i="30" s="1"/>
  <c r="B75" i="30"/>
  <c r="B92" i="30"/>
  <c r="AR92" i="30" s="1"/>
  <c r="AV92" i="30" s="1"/>
  <c r="B92" i="39" s="1"/>
  <c r="D64" i="30"/>
  <c r="D66" i="30" s="1"/>
  <c r="F77" i="30"/>
  <c r="F81" i="30"/>
  <c r="C89" i="30"/>
  <c r="AS89" i="30" s="1"/>
  <c r="F19" i="30"/>
  <c r="S3" i="48" s="1"/>
  <c r="B91" i="30"/>
  <c r="AR91" i="30" s="1"/>
  <c r="F156" i="30"/>
  <c r="B156" i="49" s="1"/>
  <c r="D90" i="30"/>
  <c r="AT90" i="30" s="1"/>
  <c r="F5" i="30"/>
  <c r="F88" i="30" s="1"/>
  <c r="B88" i="49" s="1"/>
  <c r="B88" i="30"/>
  <c r="AU183" i="30"/>
  <c r="AU192" i="30" s="1"/>
  <c r="D116" i="30"/>
  <c r="D129" i="30" s="1"/>
  <c r="G86" i="53" l="1"/>
  <c r="E250" i="52"/>
  <c r="E252" i="52"/>
  <c r="E68" i="52"/>
  <c r="E253" i="52"/>
  <c r="E254" i="52"/>
  <c r="E249" i="52"/>
  <c r="E260" i="52"/>
  <c r="E263" i="52" s="1"/>
  <c r="E228" i="52"/>
  <c r="E237" i="52" s="1"/>
  <c r="E247" i="52"/>
  <c r="E251" i="52"/>
  <c r="E220" i="52"/>
  <c r="E138" i="39"/>
  <c r="E139" i="39" s="1"/>
  <c r="BB138" i="38"/>
  <c r="BB139" i="38" s="1"/>
  <c r="B158" i="30"/>
  <c r="B133" i="30"/>
  <c r="AR133" i="30" s="1"/>
  <c r="F71" i="50"/>
  <c r="F228" i="50"/>
  <c r="F237" i="50" s="1"/>
  <c r="F220" i="50"/>
  <c r="G71" i="53"/>
  <c r="AS132" i="30"/>
  <c r="C158" i="30"/>
  <c r="C133" i="30"/>
  <c r="AS133" i="30" s="1"/>
  <c r="X93" i="42"/>
  <c r="G93" i="52" s="1"/>
  <c r="G80" i="52"/>
  <c r="AD151" i="42"/>
  <c r="G149" i="51"/>
  <c r="G151" i="51" s="1"/>
  <c r="AY24" i="33"/>
  <c r="C80" i="33"/>
  <c r="AY80" i="33" s="1"/>
  <c r="L92" i="42"/>
  <c r="G92" i="50" s="1"/>
  <c r="G79" i="50"/>
  <c r="X151" i="42"/>
  <c r="G149" i="52"/>
  <c r="G151" i="52" s="1"/>
  <c r="AD99" i="38"/>
  <c r="F90" i="51"/>
  <c r="F99" i="51" s="1"/>
  <c r="X91" i="42"/>
  <c r="G91" i="52" s="1"/>
  <c r="G78" i="52"/>
  <c r="X94" i="42"/>
  <c r="G94" i="52" s="1"/>
  <c r="G81" i="52"/>
  <c r="B244" i="51"/>
  <c r="C240" i="51"/>
  <c r="C243" i="51" s="1"/>
  <c r="I11" i="39"/>
  <c r="I11" i="49"/>
  <c r="I6" i="39"/>
  <c r="I6" i="49"/>
  <c r="E258" i="53"/>
  <c r="E259" i="53"/>
  <c r="E257" i="53"/>
  <c r="E251" i="53"/>
  <c r="E250" i="53"/>
  <c r="E261" i="53"/>
  <c r="E256" i="53"/>
  <c r="E249" i="53"/>
  <c r="E260" i="53"/>
  <c r="E254" i="53"/>
  <c r="E255" i="53"/>
  <c r="E252" i="53"/>
  <c r="E228" i="53"/>
  <c r="E237" i="53" s="1"/>
  <c r="E253" i="53"/>
  <c r="E248" i="53"/>
  <c r="E247" i="53"/>
  <c r="E220" i="53"/>
  <c r="F94" i="30"/>
  <c r="B94" i="49" s="1"/>
  <c r="B81" i="49"/>
  <c r="AU132" i="30"/>
  <c r="E158" i="30"/>
  <c r="E85" i="30" s="1"/>
  <c r="E133" i="30"/>
  <c r="AU133" i="30" s="1"/>
  <c r="C79" i="33"/>
  <c r="AY79" i="33" s="1"/>
  <c r="AY23" i="33"/>
  <c r="X99" i="38"/>
  <c r="F90" i="52"/>
  <c r="F99" i="52" s="1"/>
  <c r="B66" i="49"/>
  <c r="G151" i="53"/>
  <c r="I10" i="39"/>
  <c r="I10" i="49"/>
  <c r="B5" i="49"/>
  <c r="S9" i="48"/>
  <c r="T22" i="48" s="1"/>
  <c r="T16" i="48"/>
  <c r="T25" i="48" s="1"/>
  <c r="F93" i="30"/>
  <c r="B93" i="49" s="1"/>
  <c r="B80" i="49"/>
  <c r="B163" i="30"/>
  <c r="B165" i="30"/>
  <c r="B164" i="30"/>
  <c r="AD91" i="42"/>
  <c r="G91" i="51" s="1"/>
  <c r="G78" i="51"/>
  <c r="L151" i="42"/>
  <c r="G149" i="50"/>
  <c r="G151" i="50" s="1"/>
  <c r="AD94" i="42"/>
  <c r="G94" i="51" s="1"/>
  <c r="G81" i="51"/>
  <c r="R99" i="42"/>
  <c r="G90" i="53"/>
  <c r="G99" i="53" s="1"/>
  <c r="F90" i="30"/>
  <c r="B90" i="49" s="1"/>
  <c r="B77" i="49"/>
  <c r="AV91" i="30"/>
  <c r="B91" i="39" s="1"/>
  <c r="F91" i="30"/>
  <c r="B91" i="49" s="1"/>
  <c r="B78" i="49"/>
  <c r="AY26" i="33"/>
  <c r="C81" i="33"/>
  <c r="AY81" i="33" s="1"/>
  <c r="L91" i="42"/>
  <c r="G91" i="50" s="1"/>
  <c r="G78" i="50"/>
  <c r="L94" i="42"/>
  <c r="G94" i="50" s="1"/>
  <c r="G81" i="50"/>
  <c r="L99" i="38"/>
  <c r="F90" i="50"/>
  <c r="F99" i="50" s="1"/>
  <c r="X92" i="42"/>
  <c r="G92" i="52" s="1"/>
  <c r="G79" i="52"/>
  <c r="AD92" i="42"/>
  <c r="G92" i="51" s="1"/>
  <c r="G79" i="51"/>
  <c r="BB131" i="42"/>
  <c r="G131" i="39" s="1"/>
  <c r="G138" i="49"/>
  <c r="G139" i="49" s="1"/>
  <c r="C243" i="52"/>
  <c r="C244" i="53"/>
  <c r="D240" i="53"/>
  <c r="D243" i="53" s="1"/>
  <c r="B89" i="34"/>
  <c r="G69" i="53"/>
  <c r="G69" i="49"/>
  <c r="G70" i="49"/>
  <c r="F135" i="30"/>
  <c r="B135" i="49" s="1"/>
  <c r="AT135" i="30"/>
  <c r="AV135" i="30" s="1"/>
  <c r="B135" i="39" s="1"/>
  <c r="G70" i="51"/>
  <c r="I9" i="39"/>
  <c r="I9" i="49"/>
  <c r="I8" i="39"/>
  <c r="I8" i="49"/>
  <c r="F92" i="30"/>
  <c r="B92" i="49" s="1"/>
  <c r="B79" i="49"/>
  <c r="D149" i="33"/>
  <c r="AZ149" i="33" s="1"/>
  <c r="AZ22" i="33"/>
  <c r="BB22" i="33" s="1"/>
  <c r="C22" i="39" s="1"/>
  <c r="L93" i="42"/>
  <c r="G93" i="50" s="1"/>
  <c r="G80" i="50"/>
  <c r="AD93" i="42"/>
  <c r="G93" i="51" s="1"/>
  <c r="G80" i="51"/>
  <c r="G86" i="51" s="1"/>
  <c r="G71" i="51" s="1"/>
  <c r="G138" i="53"/>
  <c r="G139" i="53" s="1"/>
  <c r="I7" i="39"/>
  <c r="I7" i="49"/>
  <c r="B19" i="49"/>
  <c r="F207" i="53"/>
  <c r="E68" i="53"/>
  <c r="AY138" i="38"/>
  <c r="AY139" i="38" s="1"/>
  <c r="AY207" i="38" s="1"/>
  <c r="U138" i="42"/>
  <c r="U139" i="42" s="1"/>
  <c r="U207" i="42" s="1"/>
  <c r="F207" i="52"/>
  <c r="E225" i="52"/>
  <c r="E221" i="52"/>
  <c r="E242" i="52"/>
  <c r="D225" i="52"/>
  <c r="D242" i="52"/>
  <c r="D221" i="52"/>
  <c r="D263" i="52"/>
  <c r="D240" i="52"/>
  <c r="D243" i="52" s="1"/>
  <c r="C244" i="52"/>
  <c r="G138" i="51"/>
  <c r="G139" i="51" s="1"/>
  <c r="F68" i="51"/>
  <c r="F251" i="51"/>
  <c r="F261" i="51"/>
  <c r="F256" i="51"/>
  <c r="F252" i="51"/>
  <c r="F258" i="51"/>
  <c r="F259" i="51"/>
  <c r="F260" i="51"/>
  <c r="F257" i="51"/>
  <c r="F255" i="51"/>
  <c r="F250" i="51"/>
  <c r="F254" i="51"/>
  <c r="F253" i="51"/>
  <c r="F247" i="51"/>
  <c r="F249" i="51"/>
  <c r="F220" i="51"/>
  <c r="F228" i="51"/>
  <c r="F237" i="51" s="1"/>
  <c r="E263" i="51"/>
  <c r="E225" i="51"/>
  <c r="E242" i="51"/>
  <c r="E221" i="51"/>
  <c r="E225" i="50"/>
  <c r="G138" i="50"/>
  <c r="G139" i="50" s="1"/>
  <c r="G207" i="50" s="1"/>
  <c r="G248" i="50" s="1"/>
  <c r="I248" i="50" s="1"/>
  <c r="F242" i="50"/>
  <c r="F221" i="50"/>
  <c r="F263" i="50"/>
  <c r="E221" i="50"/>
  <c r="E242" i="50"/>
  <c r="E263" i="50"/>
  <c r="BB130" i="42"/>
  <c r="X131" i="42"/>
  <c r="G131" i="52" s="1"/>
  <c r="X130" i="42"/>
  <c r="G130" i="52" s="1"/>
  <c r="AX138" i="42"/>
  <c r="AX139" i="42" s="1"/>
  <c r="AZ138" i="42"/>
  <c r="AZ139" i="42" s="1"/>
  <c r="F131" i="39"/>
  <c r="F138" i="42"/>
  <c r="F139" i="42" s="1"/>
  <c r="I220" i="42"/>
  <c r="I221" i="42" s="1"/>
  <c r="X70" i="42"/>
  <c r="D131" i="30"/>
  <c r="AT131" i="30" s="1"/>
  <c r="D133" i="30"/>
  <c r="D158" i="30"/>
  <c r="AT158" i="30" s="1"/>
  <c r="AT167" i="30" s="1"/>
  <c r="U220" i="42"/>
  <c r="U221" i="42" s="1"/>
  <c r="J207" i="42"/>
  <c r="J220" i="42" s="1"/>
  <c r="J221" i="42" s="1"/>
  <c r="AU25" i="30"/>
  <c r="AV25" i="30" s="1"/>
  <c r="B25" i="39" s="1"/>
  <c r="L138" i="42"/>
  <c r="L139" i="42" s="1"/>
  <c r="F70" i="42"/>
  <c r="AD138" i="42"/>
  <c r="AD139" i="42" s="1"/>
  <c r="AD207" i="42" s="1"/>
  <c r="AD68" i="42" s="1"/>
  <c r="AB207" i="42"/>
  <c r="AB220" i="42" s="1"/>
  <c r="AB221" i="42" s="1"/>
  <c r="R220" i="38"/>
  <c r="R221" i="38" s="1"/>
  <c r="V207" i="42"/>
  <c r="V220" i="42" s="1"/>
  <c r="V221" i="42" s="1"/>
  <c r="X90" i="42"/>
  <c r="X86" i="42"/>
  <c r="L71" i="38"/>
  <c r="L220" i="38"/>
  <c r="L221" i="38" s="1"/>
  <c r="G20" i="44"/>
  <c r="G48" i="44" s="1"/>
  <c r="F69" i="39"/>
  <c r="R71" i="42"/>
  <c r="I99" i="42"/>
  <c r="G128" i="39"/>
  <c r="G129" i="39" s="1"/>
  <c r="AA99" i="42"/>
  <c r="AV137" i="30"/>
  <c r="B137" i="39" s="1"/>
  <c r="L90" i="42"/>
  <c r="L86" i="42"/>
  <c r="L68" i="37"/>
  <c r="F176" i="33"/>
  <c r="B176" i="33"/>
  <c r="AD220" i="38"/>
  <c r="AD221" i="38" s="1"/>
  <c r="AD71" i="38"/>
  <c r="R138" i="42"/>
  <c r="R139" i="42" s="1"/>
  <c r="R207" i="42" s="1"/>
  <c r="R68" i="42" s="1"/>
  <c r="AD90" i="42"/>
  <c r="AD86" i="42"/>
  <c r="U99" i="42"/>
  <c r="X71" i="38"/>
  <c r="X220" i="38"/>
  <c r="X221" i="38" s="1"/>
  <c r="F49" i="44"/>
  <c r="F50" i="44" s="1"/>
  <c r="F53" i="44" s="1"/>
  <c r="F137" i="30"/>
  <c r="B137" i="49" s="1"/>
  <c r="AV90" i="30"/>
  <c r="B90" i="39" s="1"/>
  <c r="AW19" i="30"/>
  <c r="C24" i="36"/>
  <c r="F24" i="33"/>
  <c r="C24" i="49" s="1"/>
  <c r="BB24" i="33"/>
  <c r="C24" i="39" s="1"/>
  <c r="C26" i="36"/>
  <c r="F26" i="33"/>
  <c r="C26" i="49" s="1"/>
  <c r="BB26" i="33"/>
  <c r="C26" i="39" s="1"/>
  <c r="C23" i="36"/>
  <c r="F23" i="33"/>
  <c r="C23" i="49" s="1"/>
  <c r="J23" i="49" s="1"/>
  <c r="BB23" i="33"/>
  <c r="C23" i="39" s="1"/>
  <c r="G30" i="33"/>
  <c r="D22" i="36"/>
  <c r="D78" i="33"/>
  <c r="AZ78" i="33" s="1"/>
  <c r="D77" i="33"/>
  <c r="AZ77" i="33" s="1"/>
  <c r="F22" i="33"/>
  <c r="C22" i="49" s="1"/>
  <c r="J22" i="49" s="1"/>
  <c r="AR200" i="30"/>
  <c r="F200" i="30"/>
  <c r="B205" i="30"/>
  <c r="F165" i="30"/>
  <c r="B165" i="49" s="1"/>
  <c r="AR88" i="30"/>
  <c r="AV88" i="30" s="1"/>
  <c r="B88" i="39" s="1"/>
  <c r="F74" i="30"/>
  <c r="B74" i="49" s="1"/>
  <c r="F157" i="30"/>
  <c r="B157" i="49" s="1"/>
  <c r="AR157" i="30"/>
  <c r="F146" i="30"/>
  <c r="B146" i="49" s="1"/>
  <c r="AR146" i="30"/>
  <c r="AV146" i="30" s="1"/>
  <c r="B146" i="39" s="1"/>
  <c r="F147" i="30"/>
  <c r="B147" i="49" s="1"/>
  <c r="AR147" i="30"/>
  <c r="AV147" i="30" s="1"/>
  <c r="B147" i="39" s="1"/>
  <c r="F154" i="30"/>
  <c r="B154" i="49" s="1"/>
  <c r="AV81" i="30"/>
  <c r="B81" i="39" s="1"/>
  <c r="AV77" i="30"/>
  <c r="B77" i="39" s="1"/>
  <c r="AV79" i="30"/>
  <c r="B79" i="39" s="1"/>
  <c r="AV78" i="30"/>
  <c r="B78" i="39" s="1"/>
  <c r="AV5" i="30"/>
  <c r="AV149" i="30"/>
  <c r="B149" i="39" s="1"/>
  <c r="AS108" i="30"/>
  <c r="AS116" i="30" s="1"/>
  <c r="AS129" i="30" s="1"/>
  <c r="C116" i="30"/>
  <c r="C129" i="30" s="1"/>
  <c r="C131" i="30" s="1"/>
  <c r="AV154" i="30"/>
  <c r="B154" i="39" s="1"/>
  <c r="F148" i="30"/>
  <c r="B148" i="49" s="1"/>
  <c r="AR148" i="30"/>
  <c r="AV148" i="30" s="1"/>
  <c r="B148" i="39" s="1"/>
  <c r="F108" i="30"/>
  <c r="AR108" i="30"/>
  <c r="AV141" i="30"/>
  <c r="F161" i="30"/>
  <c r="B161" i="49" s="1"/>
  <c r="AR161" i="30"/>
  <c r="AV161" i="30" s="1"/>
  <c r="B161" i="39" s="1"/>
  <c r="F145" i="30"/>
  <c r="B145" i="49" s="1"/>
  <c r="AR145" i="30"/>
  <c r="AV145" i="30" s="1"/>
  <c r="B145" i="39" s="1"/>
  <c r="F75" i="30"/>
  <c r="B75" i="49" s="1"/>
  <c r="AR75" i="30"/>
  <c r="AV75" i="30" s="1"/>
  <c r="B75" i="39" s="1"/>
  <c r="AU108" i="30"/>
  <c r="AU116" i="30" s="1"/>
  <c r="AU129" i="30" s="1"/>
  <c r="E116" i="30"/>
  <c r="E129" i="30" s="1"/>
  <c r="E131" i="30" s="1"/>
  <c r="AV175" i="30"/>
  <c r="AR176" i="30"/>
  <c r="AR192" i="30"/>
  <c r="AV183" i="30"/>
  <c r="AV76" i="30"/>
  <c r="B76" i="39" s="1"/>
  <c r="F66" i="30"/>
  <c r="B116" i="30"/>
  <c r="B129" i="30" s="1"/>
  <c r="E86" i="30"/>
  <c r="F76" i="30"/>
  <c r="B76" i="49" s="1"/>
  <c r="E89" i="30"/>
  <c r="D130" i="30"/>
  <c r="AT130" i="30" s="1"/>
  <c r="F87" i="30"/>
  <c r="B87" i="49" s="1"/>
  <c r="AT132" i="30"/>
  <c r="F141" i="30"/>
  <c r="B151" i="30"/>
  <c r="F183" i="30"/>
  <c r="E192" i="30"/>
  <c r="F155" i="30"/>
  <c r="B155" i="49" s="1"/>
  <c r="AR158" i="30"/>
  <c r="AR132" i="30"/>
  <c r="X138" i="42" l="1"/>
  <c r="X139" i="42" s="1"/>
  <c r="X207" i="42" s="1"/>
  <c r="X68" i="42" s="1"/>
  <c r="G86" i="52"/>
  <c r="G71" i="52" s="1"/>
  <c r="G86" i="50"/>
  <c r="G71" i="50" s="1"/>
  <c r="BB138" i="42"/>
  <c r="BB139" i="42" s="1"/>
  <c r="G207" i="53"/>
  <c r="G68" i="53" s="1"/>
  <c r="L99" i="42"/>
  <c r="G90" i="50"/>
  <c r="G99" i="50" s="1"/>
  <c r="I19" i="49"/>
  <c r="I29" i="49" s="1"/>
  <c r="F192" i="30"/>
  <c r="B183" i="49"/>
  <c r="D149" i="36"/>
  <c r="AZ149" i="36" s="1"/>
  <c r="AZ22" i="36"/>
  <c r="BB22" i="36" s="1"/>
  <c r="C79" i="36"/>
  <c r="AY23" i="36"/>
  <c r="BB23" i="36" s="1"/>
  <c r="D23" i="39" s="1"/>
  <c r="L207" i="42"/>
  <c r="L68" i="42" s="1"/>
  <c r="E240" i="53"/>
  <c r="D244" i="53"/>
  <c r="H27" i="48"/>
  <c r="T31" i="48"/>
  <c r="AU85" i="30"/>
  <c r="AU86" i="30" s="1"/>
  <c r="E98" i="30"/>
  <c r="AU98" i="30" s="1"/>
  <c r="C75" i="45"/>
  <c r="C85" i="45" s="1"/>
  <c r="C129" i="45" s="1"/>
  <c r="C137" i="45" s="1"/>
  <c r="C138" i="45" s="1"/>
  <c r="I19" i="39"/>
  <c r="I29" i="39" s="1"/>
  <c r="D240" i="51"/>
  <c r="D243" i="51" s="1"/>
  <c r="C244" i="51"/>
  <c r="F68" i="53"/>
  <c r="F257" i="53"/>
  <c r="F258" i="53"/>
  <c r="F259" i="53"/>
  <c r="F251" i="53"/>
  <c r="F261" i="53"/>
  <c r="F249" i="53"/>
  <c r="F250" i="53"/>
  <c r="F256" i="53"/>
  <c r="F260" i="53"/>
  <c r="F254" i="53"/>
  <c r="F252" i="53"/>
  <c r="F247" i="53"/>
  <c r="F255" i="53"/>
  <c r="F253" i="53"/>
  <c r="F248" i="53"/>
  <c r="F220" i="53"/>
  <c r="F228" i="53"/>
  <c r="F237" i="53" s="1"/>
  <c r="E225" i="53"/>
  <c r="E221" i="53"/>
  <c r="E242" i="53"/>
  <c r="B131" i="30"/>
  <c r="AR131" i="30" s="1"/>
  <c r="F116" i="30"/>
  <c r="F129" i="30" s="1"/>
  <c r="F70" i="30" s="1"/>
  <c r="B108" i="49"/>
  <c r="C81" i="36"/>
  <c r="AY26" i="36"/>
  <c r="BB26" i="36" s="1"/>
  <c r="AD99" i="42"/>
  <c r="G90" i="51"/>
  <c r="G99" i="51" s="1"/>
  <c r="F151" i="30"/>
  <c r="B141" i="49"/>
  <c r="F205" i="30"/>
  <c r="B200" i="49"/>
  <c r="B205" i="49" s="1"/>
  <c r="C80" i="36"/>
  <c r="AY24" i="36"/>
  <c r="BB24" i="36" s="1"/>
  <c r="X99" i="42"/>
  <c r="G90" i="52"/>
  <c r="G99" i="52" s="1"/>
  <c r="E263" i="53"/>
  <c r="G138" i="52"/>
  <c r="G139" i="52" s="1"/>
  <c r="G207" i="52" s="1"/>
  <c r="G248" i="52" s="1"/>
  <c r="F220" i="52"/>
  <c r="F252" i="52"/>
  <c r="F250" i="52"/>
  <c r="F253" i="52"/>
  <c r="F251" i="52"/>
  <c r="F261" i="52"/>
  <c r="F257" i="52"/>
  <c r="F259" i="52"/>
  <c r="F228" i="52"/>
  <c r="F237" i="52" s="1"/>
  <c r="F249" i="52"/>
  <c r="F255" i="52"/>
  <c r="F247" i="52"/>
  <c r="F256" i="52"/>
  <c r="F254" i="52"/>
  <c r="F258" i="52"/>
  <c r="F260" i="52"/>
  <c r="F248" i="52"/>
  <c r="F68" i="52"/>
  <c r="E240" i="52"/>
  <c r="E243" i="52" s="1"/>
  <c r="D244" i="52"/>
  <c r="G207" i="51"/>
  <c r="F263" i="51"/>
  <c r="F225" i="51"/>
  <c r="F242" i="51"/>
  <c r="F221" i="51"/>
  <c r="F225" i="50"/>
  <c r="G68" i="50"/>
  <c r="G249" i="50"/>
  <c r="I249" i="50" s="1"/>
  <c r="G251" i="50"/>
  <c r="I251" i="50" s="1"/>
  <c r="G259" i="50"/>
  <c r="I259" i="50" s="1"/>
  <c r="G258" i="50"/>
  <c r="I258" i="50" s="1"/>
  <c r="G252" i="50"/>
  <c r="I252" i="50" s="1"/>
  <c r="G220" i="50"/>
  <c r="G255" i="50"/>
  <c r="I255" i="50" s="1"/>
  <c r="G256" i="50"/>
  <c r="I256" i="50" s="1"/>
  <c r="G253" i="50"/>
  <c r="I253" i="50" s="1"/>
  <c r="G257" i="50"/>
  <c r="I257" i="50" s="1"/>
  <c r="G261" i="50"/>
  <c r="I261" i="50" s="1"/>
  <c r="G228" i="50"/>
  <c r="G237" i="50" s="1"/>
  <c r="G260" i="50"/>
  <c r="I260" i="50" s="1"/>
  <c r="G250" i="50"/>
  <c r="I250" i="50" s="1"/>
  <c r="G254" i="50"/>
  <c r="I254" i="50" s="1"/>
  <c r="G247" i="50"/>
  <c r="BB176" i="36"/>
  <c r="AX176" i="36"/>
  <c r="AX207" i="36" s="1"/>
  <c r="AX220" i="36" s="1"/>
  <c r="AX221" i="36" s="1"/>
  <c r="AY138" i="42"/>
  <c r="AY139" i="42" s="1"/>
  <c r="AY207" i="42" s="1"/>
  <c r="F133" i="30"/>
  <c r="B133" i="49" s="1"/>
  <c r="AT133" i="30"/>
  <c r="AV133" i="30" s="1"/>
  <c r="B133" i="39" s="1"/>
  <c r="F130" i="39"/>
  <c r="AV132" i="30"/>
  <c r="B132" i="39" s="1"/>
  <c r="G69" i="39"/>
  <c r="H20" i="44"/>
  <c r="H48" i="44" s="1"/>
  <c r="G70" i="39"/>
  <c r="AV176" i="30"/>
  <c r="B175" i="39"/>
  <c r="B176" i="39" s="1"/>
  <c r="L71" i="42"/>
  <c r="G130" i="39"/>
  <c r="AD71" i="42"/>
  <c r="AD220" i="42"/>
  <c r="AD221" i="42" s="1"/>
  <c r="B176" i="36"/>
  <c r="B207" i="36" s="1"/>
  <c r="B220" i="36" s="1"/>
  <c r="B221" i="36" s="1"/>
  <c r="R220" i="42"/>
  <c r="R221" i="42" s="1"/>
  <c r="X71" i="42"/>
  <c r="X220" i="42"/>
  <c r="X221" i="42" s="1"/>
  <c r="BB175" i="33"/>
  <c r="AX176" i="33"/>
  <c r="AR151" i="30"/>
  <c r="C24" i="37"/>
  <c r="F24" i="36"/>
  <c r="D24" i="49" s="1"/>
  <c r="D24" i="39"/>
  <c r="F77" i="33"/>
  <c r="C77" i="49" s="1"/>
  <c r="D90" i="33"/>
  <c r="D86" i="33"/>
  <c r="AV192" i="30"/>
  <c r="B183" i="39"/>
  <c r="B192" i="39" s="1"/>
  <c r="D91" i="33"/>
  <c r="F78" i="33"/>
  <c r="BB78" i="33"/>
  <c r="C78" i="39" s="1"/>
  <c r="C23" i="37"/>
  <c r="F23" i="36"/>
  <c r="D23" i="49" s="1"/>
  <c r="C94" i="33"/>
  <c r="F81" i="33"/>
  <c r="BB81" i="33"/>
  <c r="C81" i="39" s="1"/>
  <c r="AV151" i="30"/>
  <c r="B141" i="39"/>
  <c r="AV200" i="30"/>
  <c r="AR205" i="30"/>
  <c r="E99" i="30"/>
  <c r="AU89" i="30"/>
  <c r="I154" i="39"/>
  <c r="D151" i="33"/>
  <c r="D207" i="33" s="1"/>
  <c r="F149" i="33"/>
  <c r="D78" i="36"/>
  <c r="AZ78" i="36" s="1"/>
  <c r="BB78" i="36" s="1"/>
  <c r="G30" i="36"/>
  <c r="D22" i="37"/>
  <c r="D77" i="36"/>
  <c r="AZ77" i="36" s="1"/>
  <c r="F22" i="36"/>
  <c r="D22" i="49" s="1"/>
  <c r="D22" i="39"/>
  <c r="C92" i="33"/>
  <c r="AY92" i="33" s="1"/>
  <c r="F79" i="33"/>
  <c r="C86" i="33"/>
  <c r="C220" i="33" s="1"/>
  <c r="C221" i="33" s="1"/>
  <c r="C26" i="37"/>
  <c r="F26" i="36"/>
  <c r="D26" i="49" s="1"/>
  <c r="D26" i="39"/>
  <c r="C93" i="33"/>
  <c r="F80" i="33"/>
  <c r="BB80" i="33"/>
  <c r="C80" i="39" s="1"/>
  <c r="F163" i="30"/>
  <c r="B163" i="49" s="1"/>
  <c r="F164" i="30"/>
  <c r="B164" i="49" s="1"/>
  <c r="AU131" i="30"/>
  <c r="E130" i="30"/>
  <c r="AS131" i="30"/>
  <c r="C130" i="30"/>
  <c r="AV157" i="30"/>
  <c r="B157" i="39" s="1"/>
  <c r="C85" i="30"/>
  <c r="AS85" i="30" s="1"/>
  <c r="AS158" i="30"/>
  <c r="AS167" i="30" s="1"/>
  <c r="E167" i="30"/>
  <c r="AU158" i="30"/>
  <c r="AU167" i="30" s="1"/>
  <c r="AR116" i="30"/>
  <c r="AR129" i="30" s="1"/>
  <c r="AV108" i="30"/>
  <c r="B108" i="39" s="1"/>
  <c r="C167" i="30"/>
  <c r="F132" i="30"/>
  <c r="B132" i="49" s="1"/>
  <c r="B130" i="30"/>
  <c r="F89" i="30"/>
  <c r="B89" i="49" s="1"/>
  <c r="D138" i="30"/>
  <c r="D139" i="30" s="1"/>
  <c r="B85" i="30"/>
  <c r="AR85" i="30" s="1"/>
  <c r="F158" i="30"/>
  <c r="B158" i="49" s="1"/>
  <c r="B167" i="49" s="1"/>
  <c r="D85" i="30"/>
  <c r="AT85" i="30" s="1"/>
  <c r="D167" i="30"/>
  <c r="B167" i="30"/>
  <c r="AT138" i="30" l="1"/>
  <c r="AT139" i="30" s="1"/>
  <c r="AT207" i="30" s="1"/>
  <c r="F138" i="39"/>
  <c r="F139" i="39" s="1"/>
  <c r="G138" i="39"/>
  <c r="G139" i="39" s="1"/>
  <c r="AZ91" i="33"/>
  <c r="BB91" i="33" s="1"/>
  <c r="C91" i="39" s="1"/>
  <c r="AZ90" i="33"/>
  <c r="BB90" i="33" s="1"/>
  <c r="C90" i="39" s="1"/>
  <c r="C80" i="37"/>
  <c r="AY24" i="37"/>
  <c r="BB24" i="37" s="1"/>
  <c r="E24" i="39" s="1"/>
  <c r="L220" i="42"/>
  <c r="L221" i="42" s="1"/>
  <c r="F225" i="53"/>
  <c r="F242" i="53"/>
  <c r="F221" i="53"/>
  <c r="F263" i="53"/>
  <c r="E240" i="51"/>
  <c r="E243" i="51" s="1"/>
  <c r="E244" i="51" s="1"/>
  <c r="D244" i="51"/>
  <c r="H28" i="48"/>
  <c r="H38" i="48"/>
  <c r="O38" i="48" s="1"/>
  <c r="Q18" i="48" s="1"/>
  <c r="H40" i="48"/>
  <c r="O40" i="48" s="1"/>
  <c r="Q20" i="48" s="1"/>
  <c r="H41" i="48"/>
  <c r="O41" i="48" s="1"/>
  <c r="Q21" i="48" s="1"/>
  <c r="H37" i="48"/>
  <c r="H39" i="48"/>
  <c r="O39" i="48" s="1"/>
  <c r="Q19" i="48" s="1"/>
  <c r="BB77" i="36"/>
  <c r="AZ86" i="36"/>
  <c r="F91" i="33"/>
  <c r="C91" i="49" s="1"/>
  <c r="C78" i="49"/>
  <c r="AZ151" i="36"/>
  <c r="AZ207" i="36" s="1"/>
  <c r="BB149" i="36"/>
  <c r="BB151" i="36" s="1"/>
  <c r="BB207" i="36" s="1"/>
  <c r="BB68" i="36" s="1"/>
  <c r="D149" i="37"/>
  <c r="AZ149" i="37" s="1"/>
  <c r="AZ22" i="37"/>
  <c r="BB22" i="37" s="1"/>
  <c r="F93" i="33"/>
  <c r="C93" i="49" s="1"/>
  <c r="C80" i="49"/>
  <c r="C81" i="37"/>
  <c r="AY26" i="37"/>
  <c r="BB26" i="37" s="1"/>
  <c r="P154" i="39"/>
  <c r="F94" i="33"/>
  <c r="C94" i="49" s="1"/>
  <c r="C81" i="49"/>
  <c r="C79" i="37"/>
  <c r="AY23" i="37"/>
  <c r="BB23" i="37" s="1"/>
  <c r="F80" i="36"/>
  <c r="D80" i="49" s="1"/>
  <c r="AY80" i="36"/>
  <c r="BB80" i="36" s="1"/>
  <c r="B151" i="49"/>
  <c r="F81" i="36"/>
  <c r="D81" i="49" s="1"/>
  <c r="AY81" i="36"/>
  <c r="BB81" i="36" s="1"/>
  <c r="D81" i="39" s="1"/>
  <c r="AY79" i="36"/>
  <c r="F79" i="36"/>
  <c r="D79" i="49" s="1"/>
  <c r="F92" i="33"/>
  <c r="C92" i="49" s="1"/>
  <c r="C79" i="49"/>
  <c r="F69" i="30"/>
  <c r="AY93" i="33"/>
  <c r="BB93" i="33" s="1"/>
  <c r="C93" i="39" s="1"/>
  <c r="AY94" i="33"/>
  <c r="BB94" i="33" s="1"/>
  <c r="C94" i="39" s="1"/>
  <c r="B116" i="49"/>
  <c r="B129" i="49" s="1"/>
  <c r="E243" i="53"/>
  <c r="B192" i="49"/>
  <c r="G257" i="53"/>
  <c r="I257" i="53" s="1"/>
  <c r="G258" i="53"/>
  <c r="I258" i="53" s="1"/>
  <c r="G250" i="53"/>
  <c r="I250" i="53" s="1"/>
  <c r="G261" i="53"/>
  <c r="I261" i="53" s="1"/>
  <c r="G249" i="53"/>
  <c r="I249" i="53" s="1"/>
  <c r="G256" i="53"/>
  <c r="I256" i="53" s="1"/>
  <c r="G259" i="53"/>
  <c r="I259" i="53" s="1"/>
  <c r="G251" i="53"/>
  <c r="I251" i="53" s="1"/>
  <c r="G260" i="53"/>
  <c r="I260" i="53" s="1"/>
  <c r="G252" i="53"/>
  <c r="I252" i="53" s="1"/>
  <c r="G254" i="53"/>
  <c r="I254" i="53" s="1"/>
  <c r="G255" i="53"/>
  <c r="I255" i="53" s="1"/>
  <c r="G220" i="53"/>
  <c r="G253" i="53"/>
  <c r="I253" i="53" s="1"/>
  <c r="G228" i="53"/>
  <c r="G237" i="53" s="1"/>
  <c r="G248" i="53"/>
  <c r="I248" i="53" s="1"/>
  <c r="G247" i="53"/>
  <c r="I248" i="52"/>
  <c r="G68" i="52"/>
  <c r="G220" i="52"/>
  <c r="G253" i="52"/>
  <c r="I253" i="52" s="1"/>
  <c r="G228" i="52"/>
  <c r="G237" i="52" s="1"/>
  <c r="G247" i="52"/>
  <c r="G257" i="52"/>
  <c r="I257" i="52" s="1"/>
  <c r="G249" i="52"/>
  <c r="I249" i="52" s="1"/>
  <c r="G250" i="52"/>
  <c r="I250" i="52" s="1"/>
  <c r="G252" i="52"/>
  <c r="I252" i="52" s="1"/>
  <c r="G255" i="52"/>
  <c r="I255" i="52" s="1"/>
  <c r="G258" i="52"/>
  <c r="I258" i="52" s="1"/>
  <c r="G260" i="52"/>
  <c r="I260" i="52" s="1"/>
  <c r="G259" i="52"/>
  <c r="I259" i="52" s="1"/>
  <c r="G261" i="52"/>
  <c r="I261" i="52" s="1"/>
  <c r="G251" i="52"/>
  <c r="I251" i="52" s="1"/>
  <c r="G256" i="52"/>
  <c r="I256" i="52" s="1"/>
  <c r="G254" i="52"/>
  <c r="I254" i="52" s="1"/>
  <c r="F263" i="52"/>
  <c r="F225" i="52"/>
  <c r="F221" i="52"/>
  <c r="F242" i="52"/>
  <c r="E244" i="52"/>
  <c r="F240" i="52"/>
  <c r="G260" i="51"/>
  <c r="I260" i="51" s="1"/>
  <c r="G254" i="51"/>
  <c r="I254" i="51" s="1"/>
  <c r="G255" i="51"/>
  <c r="I255" i="51" s="1"/>
  <c r="G256" i="51"/>
  <c r="I256" i="51" s="1"/>
  <c r="G250" i="51"/>
  <c r="I250" i="51" s="1"/>
  <c r="G257" i="51"/>
  <c r="I257" i="51" s="1"/>
  <c r="G253" i="51"/>
  <c r="I253" i="51" s="1"/>
  <c r="G252" i="51"/>
  <c r="I252" i="51" s="1"/>
  <c r="G259" i="51"/>
  <c r="I259" i="51" s="1"/>
  <c r="G258" i="51"/>
  <c r="I258" i="51" s="1"/>
  <c r="G261" i="51"/>
  <c r="I261" i="51" s="1"/>
  <c r="G251" i="51"/>
  <c r="I251" i="51" s="1"/>
  <c r="G247" i="51"/>
  <c r="G249" i="51"/>
  <c r="I249" i="51" s="1"/>
  <c r="G228" i="51"/>
  <c r="G237" i="51" s="1"/>
  <c r="G220" i="51"/>
  <c r="G248" i="51"/>
  <c r="I248" i="51" s="1"/>
  <c r="G68" i="51"/>
  <c r="F240" i="51"/>
  <c r="F243" i="51" s="1"/>
  <c r="F244" i="51" s="1"/>
  <c r="G225" i="50"/>
  <c r="G221" i="50"/>
  <c r="G242" i="50"/>
  <c r="G263" i="50"/>
  <c r="I247" i="50"/>
  <c r="I263" i="50" s="1"/>
  <c r="F176" i="36"/>
  <c r="D175" i="49"/>
  <c r="D176" i="49" s="1"/>
  <c r="BB176" i="37"/>
  <c r="AX176" i="37"/>
  <c r="AX207" i="37" s="1"/>
  <c r="AX220" i="37" s="1"/>
  <c r="AX221" i="37" s="1"/>
  <c r="F151" i="33"/>
  <c r="C149" i="49"/>
  <c r="G49" i="44"/>
  <c r="G50" i="44" s="1"/>
  <c r="G53" i="44" s="1"/>
  <c r="AV131" i="30"/>
  <c r="H49" i="44"/>
  <c r="H50" i="44" s="1"/>
  <c r="H53" i="44" s="1"/>
  <c r="C175" i="39"/>
  <c r="C176" i="39" s="1"/>
  <c r="BB176" i="33"/>
  <c r="C98" i="30"/>
  <c r="AS98" i="30" s="1"/>
  <c r="AS99" i="30" s="1"/>
  <c r="F131" i="30"/>
  <c r="B131" i="49" s="1"/>
  <c r="D220" i="33"/>
  <c r="D221" i="33" s="1"/>
  <c r="B176" i="37"/>
  <c r="B207" i="37" s="1"/>
  <c r="B220" i="37" s="1"/>
  <c r="B221" i="37" s="1"/>
  <c r="C86" i="30"/>
  <c r="AV158" i="30"/>
  <c r="B158" i="39" s="1"/>
  <c r="B116" i="39"/>
  <c r="B129" i="39" s="1"/>
  <c r="B69" i="39" s="1"/>
  <c r="D22" i="38"/>
  <c r="G30" i="37"/>
  <c r="E22" i="39"/>
  <c r="D78" i="37"/>
  <c r="AZ78" i="37" s="1"/>
  <c r="BB78" i="37" s="1"/>
  <c r="F22" i="37"/>
  <c r="E22" i="49" s="1"/>
  <c r="D77" i="37"/>
  <c r="AZ77" i="37" s="1"/>
  <c r="AV89" i="30"/>
  <c r="B89" i="39" s="1"/>
  <c r="AU99" i="30"/>
  <c r="C23" i="38"/>
  <c r="F23" i="37"/>
  <c r="E23" i="49" s="1"/>
  <c r="E23" i="39"/>
  <c r="C24" i="38"/>
  <c r="F24" i="37"/>
  <c r="E24" i="49" s="1"/>
  <c r="F167" i="30"/>
  <c r="C26" i="38"/>
  <c r="E26" i="39"/>
  <c r="F26" i="37"/>
  <c r="E26" i="49" s="1"/>
  <c r="F149" i="36"/>
  <c r="D151" i="36"/>
  <c r="D207" i="36" s="1"/>
  <c r="F78" i="36"/>
  <c r="D91" i="36"/>
  <c r="D78" i="39"/>
  <c r="F92" i="36"/>
  <c r="D92" i="49" s="1"/>
  <c r="C92" i="36"/>
  <c r="AY92" i="36" s="1"/>
  <c r="C86" i="36"/>
  <c r="C220" i="36" s="1"/>
  <c r="C221" i="36" s="1"/>
  <c r="F90" i="33"/>
  <c r="F86" i="33"/>
  <c r="F71" i="33" s="1"/>
  <c r="C93" i="36"/>
  <c r="D80" i="39"/>
  <c r="B151" i="39"/>
  <c r="BB79" i="33"/>
  <c r="C79" i="39" s="1"/>
  <c r="AY86" i="33"/>
  <c r="AY220" i="33" s="1"/>
  <c r="AY221" i="33" s="1"/>
  <c r="F94" i="36"/>
  <c r="D94" i="49" s="1"/>
  <c r="C94" i="36"/>
  <c r="AY94" i="36" s="1"/>
  <c r="BB94" i="36" s="1"/>
  <c r="C99" i="33"/>
  <c r="F77" i="36"/>
  <c r="D77" i="49" s="1"/>
  <c r="D90" i="36"/>
  <c r="D86" i="36"/>
  <c r="AZ151" i="33"/>
  <c r="AZ207" i="33" s="1"/>
  <c r="BB149" i="33"/>
  <c r="B200" i="39"/>
  <c r="B205" i="39" s="1"/>
  <c r="AV205" i="30"/>
  <c r="AZ86" i="33"/>
  <c r="BB77" i="33"/>
  <c r="C77" i="39" s="1"/>
  <c r="AU130" i="30"/>
  <c r="AU138" i="30" s="1"/>
  <c r="AU139" i="30" s="1"/>
  <c r="AU207" i="30" s="1"/>
  <c r="AU220" i="30" s="1"/>
  <c r="E138" i="30"/>
  <c r="E139" i="30" s="1"/>
  <c r="E207" i="30" s="1"/>
  <c r="E220" i="30" s="1"/>
  <c r="E221" i="30" s="1"/>
  <c r="AT86" i="30"/>
  <c r="AT220" i="30" s="1"/>
  <c r="B138" i="30"/>
  <c r="B139" i="30" s="1"/>
  <c r="B207" i="30" s="1"/>
  <c r="AR130" i="30"/>
  <c r="AV116" i="30"/>
  <c r="AV129" i="30" s="1"/>
  <c r="AV70" i="30" s="1"/>
  <c r="AS86" i="30"/>
  <c r="AS130" i="30"/>
  <c r="AS138" i="30" s="1"/>
  <c r="AS139" i="30" s="1"/>
  <c r="AS207" i="30" s="1"/>
  <c r="C138" i="30"/>
  <c r="C139" i="30" s="1"/>
  <c r="C207" i="30" s="1"/>
  <c r="C220" i="30" s="1"/>
  <c r="C221" i="30" s="1"/>
  <c r="AV85" i="30"/>
  <c r="B85" i="39" s="1"/>
  <c r="F130" i="30"/>
  <c r="B130" i="49" s="1"/>
  <c r="B98" i="30"/>
  <c r="F85" i="30"/>
  <c r="B85" i="49" s="1"/>
  <c r="B86" i="49" s="1"/>
  <c r="B86" i="30"/>
  <c r="D98" i="30"/>
  <c r="AT98" i="30" s="1"/>
  <c r="D86" i="30"/>
  <c r="D207" i="30"/>
  <c r="F45" i="45"/>
  <c r="N45" i="45" s="1"/>
  <c r="E45" i="45"/>
  <c r="M45" i="45" s="1"/>
  <c r="C99" i="30" l="1"/>
  <c r="F93" i="36"/>
  <c r="D93" i="49" s="1"/>
  <c r="AZ220" i="36"/>
  <c r="AZ221" i="36" s="1"/>
  <c r="B138" i="49"/>
  <c r="AZ91" i="36"/>
  <c r="BB91" i="36" s="1"/>
  <c r="D91" i="39" s="1"/>
  <c r="BB77" i="37"/>
  <c r="AZ86" i="37"/>
  <c r="E244" i="53"/>
  <c r="F240" i="53"/>
  <c r="F243" i="53" s="1"/>
  <c r="O37" i="48"/>
  <c r="Q17" i="48" s="1"/>
  <c r="H144" i="48"/>
  <c r="F99" i="33"/>
  <c r="C90" i="49"/>
  <c r="C99" i="49" s="1"/>
  <c r="AZ151" i="37"/>
  <c r="AZ207" i="37" s="1"/>
  <c r="BB149" i="37"/>
  <c r="BB151" i="37" s="1"/>
  <c r="BB207" i="37" s="1"/>
  <c r="BB68" i="37" s="1"/>
  <c r="F91" i="36"/>
  <c r="D91" i="49" s="1"/>
  <c r="D78" i="49"/>
  <c r="D86" i="49" s="1"/>
  <c r="D71" i="49" s="1"/>
  <c r="C79" i="38"/>
  <c r="AY23" i="38"/>
  <c r="BB23" i="38" s="1"/>
  <c r="D149" i="38"/>
  <c r="AZ149" i="38" s="1"/>
  <c r="AZ22" i="38"/>
  <c r="BB22" i="38" s="1"/>
  <c r="F22" i="39" s="1"/>
  <c r="B131" i="39"/>
  <c r="AW131" i="30"/>
  <c r="F243" i="52"/>
  <c r="G263" i="53"/>
  <c r="I247" i="53"/>
  <c r="I263" i="53" s="1"/>
  <c r="G225" i="53"/>
  <c r="G242" i="53"/>
  <c r="G221" i="53"/>
  <c r="B139" i="49"/>
  <c r="B70" i="49"/>
  <c r="F81" i="37"/>
  <c r="E81" i="49" s="1"/>
  <c r="AY81" i="37"/>
  <c r="BB81" i="37" s="1"/>
  <c r="E81" i="39" s="1"/>
  <c r="B71" i="49"/>
  <c r="AZ90" i="36"/>
  <c r="BB90" i="36" s="1"/>
  <c r="D90" i="39" s="1"/>
  <c r="C81" i="38"/>
  <c r="AY26" i="38"/>
  <c r="BB26" i="38" s="1"/>
  <c r="C80" i="38"/>
  <c r="AY24" i="38"/>
  <c r="BB24" i="38" s="1"/>
  <c r="B69" i="49"/>
  <c r="BB79" i="36"/>
  <c r="D79" i="39" s="1"/>
  <c r="AY86" i="36"/>
  <c r="AY220" i="36" s="1"/>
  <c r="AY221" i="36" s="1"/>
  <c r="F79" i="37"/>
  <c r="E79" i="49" s="1"/>
  <c r="AY79" i="37"/>
  <c r="C86" i="49"/>
  <c r="C71" i="49" s="1"/>
  <c r="F80" i="37"/>
  <c r="E80" i="49" s="1"/>
  <c r="AY80" i="37"/>
  <c r="BB80" i="37" s="1"/>
  <c r="G263" i="52"/>
  <c r="G225" i="52"/>
  <c r="G221" i="52"/>
  <c r="G242" i="52"/>
  <c r="I247" i="52"/>
  <c r="I263" i="52" s="1"/>
  <c r="G240" i="51"/>
  <c r="G243" i="51" s="1"/>
  <c r="G244" i="51" s="1"/>
  <c r="F244" i="52"/>
  <c r="G240" i="52"/>
  <c r="G225" i="51"/>
  <c r="G242" i="51"/>
  <c r="G221" i="51"/>
  <c r="G263" i="51"/>
  <c r="I247" i="51"/>
  <c r="I263" i="51" s="1"/>
  <c r="AY93" i="36"/>
  <c r="BB93" i="36" s="1"/>
  <c r="D93" i="39" s="1"/>
  <c r="BB92" i="36"/>
  <c r="D92" i="39" s="1"/>
  <c r="F176" i="37"/>
  <c r="E175" i="49"/>
  <c r="E176" i="49" s="1"/>
  <c r="BB176" i="38"/>
  <c r="AX176" i="38"/>
  <c r="AX207" i="38" s="1"/>
  <c r="AX220" i="38" s="1"/>
  <c r="AX221" i="38" s="1"/>
  <c r="F151" i="36"/>
  <c r="F207" i="36" s="1"/>
  <c r="F68" i="36" s="1"/>
  <c r="D149" i="49"/>
  <c r="C151" i="49"/>
  <c r="D220" i="36"/>
  <c r="D221" i="36" s="1"/>
  <c r="F138" i="30"/>
  <c r="F139" i="30" s="1"/>
  <c r="B176" i="38"/>
  <c r="B207" i="38" s="1"/>
  <c r="B220" i="38" s="1"/>
  <c r="B221" i="38" s="1"/>
  <c r="D175" i="39"/>
  <c r="D176" i="39" s="1"/>
  <c r="B99" i="30"/>
  <c r="AR98" i="30"/>
  <c r="AV98" i="30" s="1"/>
  <c r="B98" i="39" s="1"/>
  <c r="B70" i="39"/>
  <c r="C20" i="44"/>
  <c r="C48" i="44" s="1"/>
  <c r="AZ220" i="33"/>
  <c r="AZ221" i="33" s="1"/>
  <c r="F90" i="36"/>
  <c r="F86" i="36"/>
  <c r="E80" i="39"/>
  <c r="C93" i="37"/>
  <c r="C24" i="42"/>
  <c r="AY24" i="42" s="1"/>
  <c r="BB24" i="42" s="1"/>
  <c r="F24" i="39"/>
  <c r="F24" i="38"/>
  <c r="F24" i="49" s="1"/>
  <c r="C23" i="42"/>
  <c r="AY23" i="42" s="1"/>
  <c r="BB23" i="42" s="1"/>
  <c r="F23" i="39"/>
  <c r="F23" i="38"/>
  <c r="F23" i="49" s="1"/>
  <c r="F77" i="37"/>
  <c r="E77" i="49" s="1"/>
  <c r="D90" i="37"/>
  <c r="D86" i="37"/>
  <c r="D151" i="37"/>
  <c r="D207" i="37" s="1"/>
  <c r="F149" i="37"/>
  <c r="C99" i="36"/>
  <c r="D94" i="39"/>
  <c r="BB92" i="33"/>
  <c r="C92" i="39" s="1"/>
  <c r="AY99" i="33"/>
  <c r="C92" i="37"/>
  <c r="AY92" i="37" s="1"/>
  <c r="F92" i="37"/>
  <c r="E92" i="49" s="1"/>
  <c r="C86" i="37"/>
  <c r="C220" i="37" s="1"/>
  <c r="C221" i="37" s="1"/>
  <c r="C94" i="37"/>
  <c r="F94" i="37"/>
  <c r="E94" i="49" s="1"/>
  <c r="F207" i="30"/>
  <c r="F68" i="30" s="1"/>
  <c r="BB151" i="33"/>
  <c r="C149" i="39"/>
  <c r="C26" i="42"/>
  <c r="AY26" i="42" s="1"/>
  <c r="BB26" i="42" s="1"/>
  <c r="F26" i="39"/>
  <c r="F26" i="38"/>
  <c r="F26" i="49" s="1"/>
  <c r="D91" i="37"/>
  <c r="F78" i="37"/>
  <c r="E78" i="39"/>
  <c r="D22" i="42"/>
  <c r="D78" i="38"/>
  <c r="AZ78" i="38" s="1"/>
  <c r="BB78" i="38" s="1"/>
  <c r="G30" i="38"/>
  <c r="D77" i="38"/>
  <c r="AZ77" i="38" s="1"/>
  <c r="F22" i="38"/>
  <c r="F22" i="49" s="1"/>
  <c r="E24" i="40"/>
  <c r="E68" i="40"/>
  <c r="F64" i="40"/>
  <c r="F20" i="40"/>
  <c r="G18" i="40"/>
  <c r="G62" i="40"/>
  <c r="E21" i="40"/>
  <c r="E65" i="40"/>
  <c r="E25" i="40"/>
  <c r="E69" i="40"/>
  <c r="E29" i="40"/>
  <c r="E73" i="40"/>
  <c r="F17" i="40"/>
  <c r="F61" i="40"/>
  <c r="F51" i="40"/>
  <c r="L51" i="40" s="1"/>
  <c r="F65" i="40"/>
  <c r="F21" i="40"/>
  <c r="F25" i="40"/>
  <c r="F69" i="40"/>
  <c r="F29" i="40"/>
  <c r="F73" i="40"/>
  <c r="G63" i="40"/>
  <c r="G19" i="40"/>
  <c r="G23" i="40"/>
  <c r="G67" i="40"/>
  <c r="G71" i="40"/>
  <c r="G27" i="40"/>
  <c r="E20" i="40"/>
  <c r="E64" i="40"/>
  <c r="F24" i="40"/>
  <c r="F68" i="40"/>
  <c r="G26" i="40"/>
  <c r="G70" i="40"/>
  <c r="E18" i="40"/>
  <c r="E62" i="40"/>
  <c r="E66" i="40"/>
  <c r="E22" i="40"/>
  <c r="E26" i="40"/>
  <c r="E70" i="40"/>
  <c r="F18" i="40"/>
  <c r="F62" i="40"/>
  <c r="F22" i="40"/>
  <c r="F66" i="40"/>
  <c r="F26" i="40"/>
  <c r="F70" i="40"/>
  <c r="G20" i="40"/>
  <c r="G64" i="40"/>
  <c r="G24" i="40"/>
  <c r="G68" i="40"/>
  <c r="G28" i="40"/>
  <c r="G72" i="40"/>
  <c r="E72" i="40"/>
  <c r="E28" i="40"/>
  <c r="F72" i="40"/>
  <c r="F28" i="40"/>
  <c r="G22" i="40"/>
  <c r="G66" i="40"/>
  <c r="E51" i="40"/>
  <c r="K51" i="40" s="1"/>
  <c r="E17" i="40"/>
  <c r="E61" i="40"/>
  <c r="E19" i="40"/>
  <c r="E63" i="40"/>
  <c r="E23" i="40"/>
  <c r="E67" i="40"/>
  <c r="E27" i="40"/>
  <c r="E71" i="40"/>
  <c r="F63" i="40"/>
  <c r="F19" i="40"/>
  <c r="F67" i="40"/>
  <c r="F23" i="40"/>
  <c r="F27" i="40"/>
  <c r="F71" i="40"/>
  <c r="G17" i="40"/>
  <c r="G61" i="40"/>
  <c r="G51" i="40"/>
  <c r="M51" i="40" s="1"/>
  <c r="G65" i="40"/>
  <c r="G21" i="40"/>
  <c r="G25" i="40"/>
  <c r="G69" i="40"/>
  <c r="G73" i="40"/>
  <c r="G29" i="40"/>
  <c r="AS220" i="30"/>
  <c r="G45" i="45"/>
  <c r="O45" i="45" s="1"/>
  <c r="AV130" i="30"/>
  <c r="AR138" i="30"/>
  <c r="AR139" i="30" s="1"/>
  <c r="AV69" i="30"/>
  <c r="B220" i="30"/>
  <c r="B221" i="30" s="1"/>
  <c r="D220" i="30"/>
  <c r="D221" i="30" s="1"/>
  <c r="F98" i="30"/>
  <c r="F86" i="30"/>
  <c r="F93" i="37" l="1"/>
  <c r="E93" i="49" s="1"/>
  <c r="G243" i="52"/>
  <c r="G244" i="52" s="1"/>
  <c r="AZ220" i="37"/>
  <c r="AZ221" i="37" s="1"/>
  <c r="F99" i="36"/>
  <c r="D90" i="49"/>
  <c r="D99" i="49" s="1"/>
  <c r="BB79" i="37"/>
  <c r="AY86" i="37"/>
  <c r="AY220" i="37" s="1"/>
  <c r="AY221" i="37" s="1"/>
  <c r="AZ151" i="38"/>
  <c r="AZ207" i="38" s="1"/>
  <c r="BB149" i="38"/>
  <c r="BB151" i="38" s="1"/>
  <c r="BB207" i="38" s="1"/>
  <c r="BB68" i="38" s="1"/>
  <c r="D149" i="42"/>
  <c r="AZ149" i="42" s="1"/>
  <c r="AZ22" i="42"/>
  <c r="BB22" i="42" s="1"/>
  <c r="AZ90" i="37"/>
  <c r="BB90" i="37" s="1"/>
  <c r="E90" i="39" s="1"/>
  <c r="F80" i="38"/>
  <c r="F80" i="49" s="1"/>
  <c r="AY80" i="38"/>
  <c r="BB80" i="38" s="1"/>
  <c r="F244" i="53"/>
  <c r="G240" i="53"/>
  <c r="G243" i="53" s="1"/>
  <c r="G244" i="53" s="1"/>
  <c r="F99" i="30"/>
  <c r="B98" i="49"/>
  <c r="B99" i="49" s="1"/>
  <c r="F91" i="37"/>
  <c r="E91" i="49" s="1"/>
  <c r="E78" i="49"/>
  <c r="E86" i="49" s="1"/>
  <c r="E71" i="49" s="1"/>
  <c r="F81" i="38"/>
  <c r="F81" i="49" s="1"/>
  <c r="AY81" i="38"/>
  <c r="BB81" i="38" s="1"/>
  <c r="F81" i="39" s="1"/>
  <c r="BB77" i="38"/>
  <c r="AZ86" i="38"/>
  <c r="BB86" i="36"/>
  <c r="AZ91" i="37"/>
  <c r="BB91" i="37" s="1"/>
  <c r="E91" i="39" s="1"/>
  <c r="B207" i="49"/>
  <c r="AY79" i="38"/>
  <c r="F79" i="38"/>
  <c r="F79" i="49" s="1"/>
  <c r="BB86" i="37"/>
  <c r="BB99" i="36"/>
  <c r="AY99" i="36"/>
  <c r="AY94" i="37"/>
  <c r="BB94" i="37" s="1"/>
  <c r="E94" i="39" s="1"/>
  <c r="BB92" i="37"/>
  <c r="AY93" i="37"/>
  <c r="BB93" i="37" s="1"/>
  <c r="E93" i="39" s="1"/>
  <c r="BB176" i="42"/>
  <c r="AX176" i="42"/>
  <c r="AX207" i="42" s="1"/>
  <c r="AX220" i="42" s="1"/>
  <c r="AX221" i="42" s="1"/>
  <c r="F176" i="38"/>
  <c r="F175" i="49"/>
  <c r="F176" i="49" s="1"/>
  <c r="F151" i="37"/>
  <c r="F207" i="37" s="1"/>
  <c r="F68" i="37" s="1"/>
  <c r="E149" i="49"/>
  <c r="D151" i="49"/>
  <c r="D207" i="49" s="1"/>
  <c r="D253" i="49" s="1"/>
  <c r="E175" i="39"/>
  <c r="E176" i="39" s="1"/>
  <c r="B176" i="42"/>
  <c r="B207" i="42" s="1"/>
  <c r="B220" i="42" s="1"/>
  <c r="B221" i="42" s="1"/>
  <c r="C94" i="38"/>
  <c r="F94" i="38"/>
  <c r="F94" i="49" s="1"/>
  <c r="D149" i="39"/>
  <c r="C79" i="42"/>
  <c r="AY79" i="42" s="1"/>
  <c r="F23" i="42"/>
  <c r="G23" i="49" s="1"/>
  <c r="G23" i="39"/>
  <c r="F24" i="42"/>
  <c r="G24" i="49" s="1"/>
  <c r="G24" i="39"/>
  <c r="C80" i="42"/>
  <c r="AY80" i="42" s="1"/>
  <c r="BB80" i="42" s="1"/>
  <c r="F71" i="36"/>
  <c r="F220" i="36"/>
  <c r="D77" i="39"/>
  <c r="D86" i="39" s="1"/>
  <c r="F220" i="30"/>
  <c r="F221" i="30" s="1"/>
  <c r="D151" i="38"/>
  <c r="D207" i="38" s="1"/>
  <c r="F149" i="38"/>
  <c r="F78" i="38"/>
  <c r="D91" i="38"/>
  <c r="F78" i="39"/>
  <c r="C81" i="42"/>
  <c r="AY81" i="42" s="1"/>
  <c r="BB81" i="42" s="1"/>
  <c r="F26" i="42"/>
  <c r="G26" i="49" s="1"/>
  <c r="G26" i="39"/>
  <c r="C151" i="39"/>
  <c r="C99" i="37"/>
  <c r="D220" i="37"/>
  <c r="D221" i="37" s="1"/>
  <c r="F90" i="37"/>
  <c r="F86" i="37"/>
  <c r="C92" i="38"/>
  <c r="AY92" i="38" s="1"/>
  <c r="C86" i="38"/>
  <c r="C220" i="38" s="1"/>
  <c r="C221" i="38" s="1"/>
  <c r="F92" i="38"/>
  <c r="F92" i="49" s="1"/>
  <c r="C93" i="38"/>
  <c r="F80" i="39"/>
  <c r="F93" i="38"/>
  <c r="F93" i="49" s="1"/>
  <c r="F77" i="38"/>
  <c r="F77" i="49" s="1"/>
  <c r="D90" i="38"/>
  <c r="D86" i="38"/>
  <c r="D78" i="42"/>
  <c r="AZ78" i="42" s="1"/>
  <c r="BB78" i="42" s="1"/>
  <c r="G30" i="42"/>
  <c r="F22" i="42"/>
  <c r="G22" i="49" s="1"/>
  <c r="D77" i="42"/>
  <c r="AZ77" i="42" s="1"/>
  <c r="G22" i="39"/>
  <c r="E79" i="39"/>
  <c r="G74" i="40"/>
  <c r="M74" i="40" s="1"/>
  <c r="E74" i="40"/>
  <c r="K74" i="40" s="1"/>
  <c r="G30" i="40"/>
  <c r="M30" i="40" s="1"/>
  <c r="F74" i="40"/>
  <c r="L74" i="40" s="1"/>
  <c r="E30" i="40"/>
  <c r="K30" i="40" s="1"/>
  <c r="F30" i="40"/>
  <c r="L30" i="40" s="1"/>
  <c r="AV138" i="30"/>
  <c r="AV139" i="30" s="1"/>
  <c r="B130" i="39"/>
  <c r="F71" i="30"/>
  <c r="D45" i="45"/>
  <c r="L45" i="45" s="1"/>
  <c r="B11" i="24"/>
  <c r="L7" i="24"/>
  <c r="I11" i="24"/>
  <c r="I16" i="24" s="1"/>
  <c r="K7" i="24"/>
  <c r="J7" i="24"/>
  <c r="K6" i="24"/>
  <c r="L6" i="24"/>
  <c r="J6" i="24"/>
  <c r="D7" i="24"/>
  <c r="E7" i="24"/>
  <c r="C7" i="24"/>
  <c r="D6" i="24"/>
  <c r="E6" i="24"/>
  <c r="C6" i="24"/>
  <c r="B8" i="24"/>
  <c r="L8" i="24"/>
  <c r="L9" i="24" s="1"/>
  <c r="K8" i="24"/>
  <c r="K9" i="24" s="1"/>
  <c r="J8" i="24"/>
  <c r="J9" i="24" s="1"/>
  <c r="I8" i="24"/>
  <c r="I9" i="24" s="1"/>
  <c r="E8" i="24"/>
  <c r="E9" i="24" s="1"/>
  <c r="D8" i="24"/>
  <c r="D9" i="24" s="1"/>
  <c r="C8" i="24"/>
  <c r="C9" i="24" s="1"/>
  <c r="B9" i="24"/>
  <c r="BB71" i="37" l="1"/>
  <c r="BB220" i="37"/>
  <c r="BB221" i="37" s="1"/>
  <c r="F99" i="37"/>
  <c r="E90" i="49"/>
  <c r="E99" i="49" s="1"/>
  <c r="AZ91" i="38"/>
  <c r="BB91" i="38" s="1"/>
  <c r="F91" i="39" s="1"/>
  <c r="AZ220" i="38"/>
  <c r="AZ221" i="38" s="1"/>
  <c r="AZ90" i="38"/>
  <c r="BB90" i="38" s="1"/>
  <c r="F90" i="39" s="1"/>
  <c r="B257" i="49"/>
  <c r="B258" i="49"/>
  <c r="B259" i="49"/>
  <c r="B252" i="49"/>
  <c r="B254" i="49"/>
  <c r="B251" i="49"/>
  <c r="B260" i="49"/>
  <c r="B250" i="49"/>
  <c r="B261" i="49"/>
  <c r="B253" i="49"/>
  <c r="B249" i="49"/>
  <c r="B256" i="49"/>
  <c r="B255" i="49"/>
  <c r="B228" i="49"/>
  <c r="B237" i="49" s="1"/>
  <c r="B248" i="49"/>
  <c r="B247" i="49"/>
  <c r="B220" i="49"/>
  <c r="F91" i="38"/>
  <c r="F91" i="49" s="1"/>
  <c r="F78" i="49"/>
  <c r="BB79" i="42"/>
  <c r="AY86" i="42"/>
  <c r="AY220" i="42" s="1"/>
  <c r="AY221" i="42" s="1"/>
  <c r="BB79" i="38"/>
  <c r="F79" i="39" s="1"/>
  <c r="AY86" i="38"/>
  <c r="AY220" i="38" s="1"/>
  <c r="AY221" i="38" s="1"/>
  <c r="AZ86" i="42"/>
  <c r="BB77" i="42"/>
  <c r="B68" i="49"/>
  <c r="BB71" i="36"/>
  <c r="BB220" i="36"/>
  <c r="BB221" i="36" s="1"/>
  <c r="F86" i="49"/>
  <c r="F71" i="49" s="1"/>
  <c r="AZ151" i="42"/>
  <c r="AZ207" i="42" s="1"/>
  <c r="BB149" i="42"/>
  <c r="BB151" i="42" s="1"/>
  <c r="BB207" i="42" s="1"/>
  <c r="BB68" i="42" s="1"/>
  <c r="AY99" i="37"/>
  <c r="BB92" i="38"/>
  <c r="AY93" i="38"/>
  <c r="BB93" i="38" s="1"/>
  <c r="F93" i="39" s="1"/>
  <c r="AY94" i="38"/>
  <c r="BB94" i="38" s="1"/>
  <c r="F94" i="39" s="1"/>
  <c r="BB99" i="37"/>
  <c r="F176" i="42"/>
  <c r="G175" i="49"/>
  <c r="G176" i="49" s="1"/>
  <c r="F151" i="38"/>
  <c r="F207" i="38" s="1"/>
  <c r="F68" i="38" s="1"/>
  <c r="F149" i="49"/>
  <c r="E151" i="49"/>
  <c r="E207" i="49" s="1"/>
  <c r="E253" i="49" s="1"/>
  <c r="D248" i="49"/>
  <c r="D261" i="49"/>
  <c r="D259" i="49"/>
  <c r="D249" i="49"/>
  <c r="D68" i="49"/>
  <c r="D257" i="49"/>
  <c r="D260" i="49"/>
  <c r="D220" i="49"/>
  <c r="D225" i="49" s="1"/>
  <c r="D247" i="49"/>
  <c r="D256" i="49"/>
  <c r="D254" i="49"/>
  <c r="D250" i="49"/>
  <c r="D258" i="49"/>
  <c r="D252" i="49"/>
  <c r="D228" i="49"/>
  <c r="D237" i="49" s="1"/>
  <c r="D255" i="49"/>
  <c r="D251" i="49"/>
  <c r="F221" i="36"/>
  <c r="F175" i="39"/>
  <c r="F176" i="39" s="1"/>
  <c r="D220" i="38"/>
  <c r="D221" i="38" s="1"/>
  <c r="C99" i="38"/>
  <c r="E92" i="39"/>
  <c r="E77" i="39"/>
  <c r="E86" i="39" s="1"/>
  <c r="C92" i="42"/>
  <c r="AY92" i="42" s="1"/>
  <c r="F79" i="42"/>
  <c r="C86" i="42"/>
  <c r="C220" i="42" s="1"/>
  <c r="C221" i="42" s="1"/>
  <c r="D151" i="42"/>
  <c r="D207" i="42" s="1"/>
  <c r="F149" i="42"/>
  <c r="D91" i="42"/>
  <c r="F78" i="42"/>
  <c r="G78" i="39"/>
  <c r="F90" i="38"/>
  <c r="F86" i="38"/>
  <c r="F220" i="37"/>
  <c r="F71" i="37"/>
  <c r="C94" i="42"/>
  <c r="F81" i="42"/>
  <c r="G81" i="39"/>
  <c r="E149" i="39"/>
  <c r="D90" i="42"/>
  <c r="AZ90" i="42" s="1"/>
  <c r="BB90" i="42" s="1"/>
  <c r="D86" i="42"/>
  <c r="F77" i="42"/>
  <c r="G77" i="49" s="1"/>
  <c r="D71" i="39"/>
  <c r="F80" i="42"/>
  <c r="C93" i="42"/>
  <c r="G80" i="39"/>
  <c r="D151" i="39"/>
  <c r="D207" i="39" s="1"/>
  <c r="B138" i="39"/>
  <c r="C49" i="44"/>
  <c r="C50" i="44" s="1"/>
  <c r="C53" i="44" s="1"/>
  <c r="D17" i="40"/>
  <c r="D51" i="40"/>
  <c r="J51" i="40" s="1"/>
  <c r="D61" i="40"/>
  <c r="D21" i="40"/>
  <c r="D65" i="40"/>
  <c r="D18" i="40"/>
  <c r="D62" i="40"/>
  <c r="D66" i="40"/>
  <c r="D22" i="40"/>
  <c r="D26" i="40"/>
  <c r="D70" i="40"/>
  <c r="D25" i="40"/>
  <c r="D69" i="40"/>
  <c r="D19" i="40"/>
  <c r="D63" i="40"/>
  <c r="D67" i="40"/>
  <c r="D23" i="40"/>
  <c r="D27" i="40"/>
  <c r="D71" i="40"/>
  <c r="D29" i="40"/>
  <c r="D73" i="40"/>
  <c r="D20" i="40"/>
  <c r="D64" i="40"/>
  <c r="D68" i="40"/>
  <c r="D24" i="40"/>
  <c r="D72" i="40"/>
  <c r="D28" i="40"/>
  <c r="K11" i="24"/>
  <c r="J11" i="24"/>
  <c r="B12" i="24"/>
  <c r="B13" i="24" s="1"/>
  <c r="B16" i="24"/>
  <c r="K16" i="24"/>
  <c r="K17" i="24" s="1"/>
  <c r="K18" i="24" s="1"/>
  <c r="J16" i="24"/>
  <c r="L16" i="24"/>
  <c r="I21" i="24"/>
  <c r="I17" i="24"/>
  <c r="I18" i="24" s="1"/>
  <c r="I12" i="24"/>
  <c r="I13" i="24" s="1"/>
  <c r="L11" i="24"/>
  <c r="J17" i="24" l="1"/>
  <c r="J18" i="24" s="1"/>
  <c r="BB86" i="42"/>
  <c r="BB71" i="42" s="1"/>
  <c r="BB86" i="38"/>
  <c r="BB220" i="38" s="1"/>
  <c r="BB221" i="38" s="1"/>
  <c r="AZ220" i="42"/>
  <c r="AZ221" i="42" s="1"/>
  <c r="D248" i="39"/>
  <c r="D255" i="39"/>
  <c r="AY94" i="42"/>
  <c r="BB94" i="42" s="1"/>
  <c r="G94" i="39" s="1"/>
  <c r="F99" i="38"/>
  <c r="F90" i="49"/>
  <c r="F99" i="49" s="1"/>
  <c r="BB220" i="42"/>
  <c r="BB221" i="42" s="1"/>
  <c r="B263" i="49"/>
  <c r="BB92" i="42"/>
  <c r="B225" i="49"/>
  <c r="B221" i="49"/>
  <c r="B242" i="49"/>
  <c r="B243" i="49" s="1"/>
  <c r="BB71" i="38"/>
  <c r="F91" i="42"/>
  <c r="G91" i="49" s="1"/>
  <c r="G78" i="49"/>
  <c r="F93" i="42"/>
  <c r="G93" i="49" s="1"/>
  <c r="G80" i="49"/>
  <c r="G93" i="39"/>
  <c r="AY93" i="42"/>
  <c r="BB93" i="42" s="1"/>
  <c r="F94" i="42"/>
  <c r="G94" i="49" s="1"/>
  <c r="G81" i="49"/>
  <c r="AZ91" i="42"/>
  <c r="BB91" i="42" s="1"/>
  <c r="F92" i="42"/>
  <c r="G92" i="49" s="1"/>
  <c r="G79" i="49"/>
  <c r="BB99" i="38"/>
  <c r="D220" i="39"/>
  <c r="D225" i="39" s="1"/>
  <c r="D261" i="39"/>
  <c r="AY99" i="38"/>
  <c r="F151" i="42"/>
  <c r="F207" i="42" s="1"/>
  <c r="F68" i="42" s="1"/>
  <c r="G149" i="49"/>
  <c r="F151" i="49"/>
  <c r="F207" i="49" s="1"/>
  <c r="F253" i="49" s="1"/>
  <c r="E261" i="49"/>
  <c r="E251" i="49"/>
  <c r="E228" i="49"/>
  <c r="E237" i="49" s="1"/>
  <c r="E254" i="49"/>
  <c r="E260" i="49"/>
  <c r="E255" i="49"/>
  <c r="E248" i="49"/>
  <c r="E249" i="49"/>
  <c r="E257" i="49"/>
  <c r="E256" i="49"/>
  <c r="E250" i="49"/>
  <c r="E68" i="49"/>
  <c r="E247" i="49"/>
  <c r="E252" i="49"/>
  <c r="E259" i="49"/>
  <c r="E258" i="49"/>
  <c r="E220" i="49"/>
  <c r="E225" i="49" s="1"/>
  <c r="D263" i="49"/>
  <c r="D221" i="49"/>
  <c r="D242" i="49"/>
  <c r="F221" i="37"/>
  <c r="D253" i="39"/>
  <c r="D228" i="39"/>
  <c r="D237" i="39" s="1"/>
  <c r="G175" i="39"/>
  <c r="G176" i="39" s="1"/>
  <c r="E151" i="39"/>
  <c r="E207" i="39" s="1"/>
  <c r="F149" i="39"/>
  <c r="E71" i="39"/>
  <c r="G90" i="39"/>
  <c r="G79" i="39"/>
  <c r="F90" i="42"/>
  <c r="F86" i="42"/>
  <c r="F77" i="39"/>
  <c r="F86" i="39" s="1"/>
  <c r="F220" i="38"/>
  <c r="F71" i="38"/>
  <c r="D251" i="39"/>
  <c r="D250" i="39"/>
  <c r="D247" i="39"/>
  <c r="D249" i="39"/>
  <c r="D252" i="39"/>
  <c r="D254" i="39"/>
  <c r="D256" i="39"/>
  <c r="D257" i="39"/>
  <c r="D258" i="39"/>
  <c r="D259" i="39"/>
  <c r="D260" i="39"/>
  <c r="D68" i="39"/>
  <c r="D220" i="42"/>
  <c r="D221" i="42" s="1"/>
  <c r="C99" i="42"/>
  <c r="F92" i="39"/>
  <c r="B139" i="39"/>
  <c r="D74" i="40"/>
  <c r="J74" i="40" s="1"/>
  <c r="D30" i="40"/>
  <c r="J30" i="40" s="1"/>
  <c r="L12" i="24"/>
  <c r="L13" i="24" s="1"/>
  <c r="E11" i="24"/>
  <c r="E12" i="24" s="1"/>
  <c r="E13" i="24" s="1"/>
  <c r="L17" i="24"/>
  <c r="L18" i="24" s="1"/>
  <c r="J21" i="24"/>
  <c r="J22" i="24" s="1"/>
  <c r="J23" i="24" s="1"/>
  <c r="I26" i="24"/>
  <c r="I22" i="24"/>
  <c r="I23" i="24" s="1"/>
  <c r="L21" i="24"/>
  <c r="L22" i="24" s="1"/>
  <c r="L23" i="24" s="1"/>
  <c r="K21" i="24"/>
  <c r="K22" i="24" s="1"/>
  <c r="K23" i="24" s="1"/>
  <c r="J12" i="24"/>
  <c r="J13" i="24" s="1"/>
  <c r="C11" i="24"/>
  <c r="C12" i="24" s="1"/>
  <c r="C13" i="24" s="1"/>
  <c r="D16" i="24"/>
  <c r="E16" i="24"/>
  <c r="E17" i="24" s="1"/>
  <c r="E18" i="24" s="1"/>
  <c r="C16" i="24"/>
  <c r="C17" i="24" s="1"/>
  <c r="C18" i="24" s="1"/>
  <c r="B17" i="24"/>
  <c r="B18" i="24" s="1"/>
  <c r="B21" i="24"/>
  <c r="D11" i="24"/>
  <c r="D12" i="24" s="1"/>
  <c r="D13" i="24" s="1"/>
  <c r="K12" i="24"/>
  <c r="K13" i="24" s="1"/>
  <c r="G86" i="49" l="1"/>
  <c r="G71" i="49" s="1"/>
  <c r="BB99" i="42"/>
  <c r="G91" i="39"/>
  <c r="E261" i="39"/>
  <c r="E255" i="39"/>
  <c r="E248" i="39"/>
  <c r="F99" i="42"/>
  <c r="G90" i="49"/>
  <c r="G99" i="49" s="1"/>
  <c r="B244" i="49"/>
  <c r="C240" i="49"/>
  <c r="AY99" i="42"/>
  <c r="D221" i="39"/>
  <c r="D242" i="39"/>
  <c r="E220" i="39"/>
  <c r="E221" i="39" s="1"/>
  <c r="G151" i="49"/>
  <c r="G207" i="49" s="1"/>
  <c r="G253" i="49" s="1"/>
  <c r="F261" i="49"/>
  <c r="F254" i="49"/>
  <c r="F250" i="49"/>
  <c r="F68" i="49"/>
  <c r="F260" i="49"/>
  <c r="F257" i="49"/>
  <c r="F258" i="49"/>
  <c r="F255" i="49"/>
  <c r="F251" i="49"/>
  <c r="F248" i="49"/>
  <c r="F247" i="49"/>
  <c r="F259" i="49"/>
  <c r="F256" i="49"/>
  <c r="F228" i="49"/>
  <c r="F237" i="49" s="1"/>
  <c r="F252" i="49"/>
  <c r="F220" i="49"/>
  <c r="F225" i="49" s="1"/>
  <c r="F249" i="49"/>
  <c r="E263" i="49"/>
  <c r="E242" i="49"/>
  <c r="E221" i="49"/>
  <c r="F221" i="38"/>
  <c r="E253" i="39"/>
  <c r="E228" i="39"/>
  <c r="E237" i="39" s="1"/>
  <c r="E251" i="39"/>
  <c r="E250" i="39"/>
  <c r="E247" i="39"/>
  <c r="E249" i="39"/>
  <c r="E252" i="39"/>
  <c r="E254" i="39"/>
  <c r="E256" i="39"/>
  <c r="E257" i="39"/>
  <c r="E258" i="39"/>
  <c r="E259" i="39"/>
  <c r="E260" i="39"/>
  <c r="E68" i="39"/>
  <c r="G149" i="39"/>
  <c r="D263" i="39"/>
  <c r="F71" i="42"/>
  <c r="F220" i="42"/>
  <c r="F71" i="39"/>
  <c r="F151" i="39"/>
  <c r="F207" i="39" s="1"/>
  <c r="G77" i="39"/>
  <c r="G86" i="39" s="1"/>
  <c r="L26" i="24"/>
  <c r="L27" i="24" s="1"/>
  <c r="L28" i="24" s="1"/>
  <c r="J26" i="24"/>
  <c r="J27" i="24" s="1"/>
  <c r="J28" i="24" s="1"/>
  <c r="I27" i="24"/>
  <c r="I28" i="24" s="1"/>
  <c r="K26" i="24"/>
  <c r="K27" i="24" s="1"/>
  <c r="K28" i="24" s="1"/>
  <c r="B26" i="24"/>
  <c r="D21" i="24"/>
  <c r="D22" i="24" s="1"/>
  <c r="D23" i="24" s="1"/>
  <c r="C21" i="24"/>
  <c r="C22" i="24" s="1"/>
  <c r="C23" i="24" s="1"/>
  <c r="B22" i="24"/>
  <c r="B23" i="24" s="1"/>
  <c r="E21" i="24"/>
  <c r="E22" i="24" s="1"/>
  <c r="E23" i="24" s="1"/>
  <c r="D17" i="24"/>
  <c r="D18" i="24" s="1"/>
  <c r="F255" i="39" l="1"/>
  <c r="F248" i="39"/>
  <c r="E242" i="39"/>
  <c r="E225" i="39"/>
  <c r="F253" i="39"/>
  <c r="F261" i="39"/>
  <c r="F220" i="39"/>
  <c r="F242" i="39" s="1"/>
  <c r="F263" i="49"/>
  <c r="G261" i="49"/>
  <c r="G251" i="49"/>
  <c r="G250" i="49"/>
  <c r="G248" i="49"/>
  <c r="G68" i="49"/>
  <c r="G228" i="49"/>
  <c r="G237" i="49" s="1"/>
  <c r="G260" i="49"/>
  <c r="G255" i="49"/>
  <c r="G254" i="49"/>
  <c r="G256" i="49"/>
  <c r="G247" i="49"/>
  <c r="G252" i="49"/>
  <c r="G257" i="49"/>
  <c r="G258" i="49"/>
  <c r="G259" i="49"/>
  <c r="G220" i="49"/>
  <c r="G249" i="49"/>
  <c r="F221" i="49"/>
  <c r="F242" i="49"/>
  <c r="F221" i="42"/>
  <c r="G92" i="39"/>
  <c r="G99" i="39" s="1"/>
  <c r="G151" i="39"/>
  <c r="G207" i="39" s="1"/>
  <c r="G71" i="39"/>
  <c r="E263" i="39"/>
  <c r="F250" i="39"/>
  <c r="F251" i="39"/>
  <c r="F247" i="39"/>
  <c r="F249" i="39"/>
  <c r="F252" i="39"/>
  <c r="F254" i="39"/>
  <c r="F256" i="39"/>
  <c r="F257" i="39"/>
  <c r="F258" i="39"/>
  <c r="F259" i="39"/>
  <c r="F260" i="39"/>
  <c r="F68" i="39"/>
  <c r="F228" i="39"/>
  <c r="F237" i="39" s="1"/>
  <c r="D26" i="24"/>
  <c r="D27" i="24" s="1"/>
  <c r="D28" i="24" s="1"/>
  <c r="C26" i="24"/>
  <c r="C27" i="24" s="1"/>
  <c r="C28" i="24" s="1"/>
  <c r="B27" i="24"/>
  <c r="B28" i="24" s="1"/>
  <c r="E26" i="24"/>
  <c r="E27" i="24" s="1"/>
  <c r="E28" i="24" s="1"/>
  <c r="G261" i="39" l="1"/>
  <c r="G255" i="39"/>
  <c r="G248" i="39"/>
  <c r="G220" i="39"/>
  <c r="G242" i="49"/>
  <c r="G221" i="49"/>
  <c r="G225" i="49"/>
  <c r="G263" i="49"/>
  <c r="AV226" i="38"/>
  <c r="F221" i="39"/>
  <c r="F225" i="39"/>
  <c r="G251" i="39"/>
  <c r="G250" i="39"/>
  <c r="G259" i="39"/>
  <c r="G254" i="39"/>
  <c r="G247" i="39"/>
  <c r="G258" i="39"/>
  <c r="G252" i="39"/>
  <c r="G68" i="39"/>
  <c r="G257" i="39"/>
  <c r="G256" i="39"/>
  <c r="G249" i="39"/>
  <c r="G260" i="39"/>
  <c r="F263" i="39"/>
  <c r="G228" i="39"/>
  <c r="G237" i="39" s="1"/>
  <c r="G253" i="39"/>
  <c r="G263" i="39" l="1"/>
  <c r="G221" i="39"/>
  <c r="G225" i="39"/>
  <c r="G242" i="39"/>
  <c r="AV226" i="37"/>
  <c r="AV226" i="36"/>
  <c r="C45" i="45" l="1"/>
  <c r="K45" i="45" s="1"/>
  <c r="C24" i="40" l="1"/>
  <c r="C68" i="40"/>
  <c r="C61" i="40"/>
  <c r="C51" i="40"/>
  <c r="C65" i="40"/>
  <c r="C21" i="40"/>
  <c r="C25" i="40"/>
  <c r="C69" i="40"/>
  <c r="C29" i="40"/>
  <c r="C73" i="40"/>
  <c r="C20" i="40"/>
  <c r="C64" i="40"/>
  <c r="C28" i="40"/>
  <c r="C72" i="40"/>
  <c r="C18" i="40"/>
  <c r="C62" i="40"/>
  <c r="C22" i="40"/>
  <c r="C66" i="40"/>
  <c r="C26" i="40"/>
  <c r="C70" i="40"/>
  <c r="C19" i="40"/>
  <c r="C63" i="40"/>
  <c r="C23" i="40"/>
  <c r="C67" i="40"/>
  <c r="C71" i="40"/>
  <c r="C27" i="40"/>
  <c r="C111" i="21"/>
  <c r="C105" i="21"/>
  <c r="C30" i="40" l="1"/>
  <c r="C74" i="40"/>
  <c r="C103" i="14"/>
  <c r="C105" i="16"/>
  <c r="H105" i="16"/>
  <c r="F126" i="16"/>
  <c r="D124" i="16"/>
  <c r="E123" i="16"/>
  <c r="E122" i="16"/>
  <c r="E121" i="16"/>
  <c r="E120" i="16"/>
  <c r="E119" i="16"/>
  <c r="C114" i="16"/>
  <c r="E113" i="16"/>
  <c r="D113" i="16"/>
  <c r="C112" i="16"/>
  <c r="C111" i="16"/>
  <c r="E110" i="16"/>
  <c r="C107" i="16"/>
  <c r="C104" i="16"/>
  <c r="C103" i="16"/>
  <c r="F126" i="17"/>
  <c r="D124" i="17"/>
  <c r="E123" i="17"/>
  <c r="E122" i="17"/>
  <c r="E121" i="17"/>
  <c r="E120" i="17"/>
  <c r="E119" i="17"/>
  <c r="C114" i="17"/>
  <c r="E113" i="17"/>
  <c r="D113" i="17"/>
  <c r="C113" i="17"/>
  <c r="C112" i="17"/>
  <c r="C111" i="17"/>
  <c r="E110" i="17"/>
  <c r="C107" i="17"/>
  <c r="C105" i="17"/>
  <c r="C104" i="17"/>
  <c r="C103" i="17"/>
  <c r="F126" i="14"/>
  <c r="E120" i="13"/>
  <c r="D124" i="14"/>
  <c r="E121" i="14"/>
  <c r="C114" i="14"/>
  <c r="E113" i="14"/>
  <c r="D113" i="14"/>
  <c r="C112" i="14"/>
  <c r="C111" i="14"/>
  <c r="E110" i="14"/>
  <c r="C107" i="14"/>
  <c r="D106" i="14"/>
  <c r="C104" i="14"/>
  <c r="F126" i="13"/>
  <c r="D124" i="13"/>
  <c r="E123" i="13"/>
  <c r="E119" i="13"/>
  <c r="C114" i="13"/>
  <c r="E113" i="13"/>
  <c r="D113" i="13"/>
  <c r="C112" i="13"/>
  <c r="C111" i="13"/>
  <c r="E110" i="13"/>
  <c r="C107" i="13"/>
  <c r="C105" i="13"/>
  <c r="C104" i="13"/>
  <c r="C103" i="13"/>
  <c r="F126" i="10"/>
  <c r="D124" i="10"/>
  <c r="E119" i="10"/>
  <c r="C114" i="10"/>
  <c r="E113" i="10"/>
  <c r="D113" i="10"/>
  <c r="C112" i="10"/>
  <c r="C111" i="10"/>
  <c r="E110" i="10"/>
  <c r="C107" i="10"/>
  <c r="C104" i="10"/>
  <c r="C103" i="10"/>
  <c r="I105" i="13" l="1"/>
  <c r="AR82" i="30" l="1"/>
  <c r="H95" i="30"/>
  <c r="L82" i="30"/>
  <c r="B82" i="50" s="1"/>
  <c r="B86" i="50" s="1"/>
  <c r="H86" i="30"/>
  <c r="H220" i="30" s="1"/>
  <c r="H221" i="30" s="1"/>
  <c r="H95" i="33"/>
  <c r="AX95" i="33" s="1"/>
  <c r="L82" i="33"/>
  <c r="C82" i="50" s="1"/>
  <c r="C86" i="50" s="1"/>
  <c r="H86" i="33"/>
  <c r="H220" i="33" s="1"/>
  <c r="H221" i="33" s="1"/>
  <c r="C71" i="50" l="1"/>
  <c r="C220" i="50"/>
  <c r="C228" i="50"/>
  <c r="C237" i="50" s="1"/>
  <c r="B71" i="50"/>
  <c r="B220" i="50"/>
  <c r="B228" i="50"/>
  <c r="B237" i="50" s="1"/>
  <c r="H99" i="33"/>
  <c r="BB95" i="33"/>
  <c r="C95" i="39" s="1"/>
  <c r="H99" i="30"/>
  <c r="AR95" i="30"/>
  <c r="AV95" i="30" s="1"/>
  <c r="B95" i="39" s="1"/>
  <c r="L95" i="33"/>
  <c r="L86" i="33"/>
  <c r="BB82" i="33"/>
  <c r="C82" i="39" s="1"/>
  <c r="C86" i="39" s="1"/>
  <c r="AX86" i="33"/>
  <c r="L95" i="30"/>
  <c r="L86" i="30"/>
  <c r="AV82" i="30"/>
  <c r="B82" i="39" s="1"/>
  <c r="M108" i="16"/>
  <c r="I131" i="16"/>
  <c r="J107" i="16"/>
  <c r="K107" i="16"/>
  <c r="L99" i="30" l="1"/>
  <c r="B95" i="50"/>
  <c r="B99" i="50" s="1"/>
  <c r="L99" i="33"/>
  <c r="C95" i="50"/>
  <c r="C99" i="50" s="1"/>
  <c r="C221" i="50"/>
  <c r="C242" i="50"/>
  <c r="B242" i="50"/>
  <c r="B243" i="50" s="1"/>
  <c r="B221" i="50"/>
  <c r="C71" i="39"/>
  <c r="L220" i="33"/>
  <c r="L71" i="33"/>
  <c r="BB86" i="33"/>
  <c r="BB71" i="33" s="1"/>
  <c r="L220" i="30"/>
  <c r="L221" i="30" s="1"/>
  <c r="L71" i="30"/>
  <c r="C15" i="16"/>
  <c r="B225" i="50" l="1"/>
  <c r="B244" i="50"/>
  <c r="C240" i="50"/>
  <c r="C243" i="50"/>
  <c r="L221" i="33"/>
  <c r="C225" i="50"/>
  <c r="E78" i="17"/>
  <c r="E78" i="16"/>
  <c r="E78" i="14"/>
  <c r="E78" i="13"/>
  <c r="E78" i="10"/>
  <c r="C244" i="50" l="1"/>
  <c r="D240" i="50"/>
  <c r="D243" i="50" s="1"/>
  <c r="H66" i="15"/>
  <c r="I66" i="15" s="1"/>
  <c r="C9" i="13"/>
  <c r="C10" i="13"/>
  <c r="C11" i="13"/>
  <c r="C18" i="13"/>
  <c r="D244" i="50" l="1"/>
  <c r="E240" i="50"/>
  <c r="E243" i="50" s="1"/>
  <c r="F111" i="21"/>
  <c r="C141" i="13"/>
  <c r="C16" i="16"/>
  <c r="C17" i="16"/>
  <c r="C14" i="16"/>
  <c r="C13" i="16"/>
  <c r="C12" i="16"/>
  <c r="C11" i="16"/>
  <c r="C10" i="16"/>
  <c r="C9" i="16"/>
  <c r="C8" i="16"/>
  <c r="C11" i="17"/>
  <c r="C10" i="17"/>
  <c r="C9" i="17"/>
  <c r="C8" i="17"/>
  <c r="D41" i="13"/>
  <c r="E41" i="13"/>
  <c r="F41" i="13"/>
  <c r="G41" i="13"/>
  <c r="C41" i="13"/>
  <c r="C15" i="13"/>
  <c r="C14" i="13"/>
  <c r="C12" i="13"/>
  <c r="F240" i="50" l="1"/>
  <c r="F243" i="50" s="1"/>
  <c r="E244" i="50"/>
  <c r="C19" i="16"/>
  <c r="K16" i="13"/>
  <c r="K17" i="13"/>
  <c r="K18" i="13"/>
  <c r="K15" i="13"/>
  <c r="F244" i="50" l="1"/>
  <c r="G240" i="50"/>
  <c r="G243" i="50" s="1"/>
  <c r="G244" i="50" s="1"/>
  <c r="K19" i="13"/>
  <c r="L19" i="13" s="1"/>
  <c r="B96" i="15"/>
  <c r="B97" i="15"/>
  <c r="B98" i="15"/>
  <c r="B95" i="15"/>
  <c r="C196" i="16" l="1"/>
  <c r="C194" i="16"/>
  <c r="C193" i="16"/>
  <c r="C196" i="17"/>
  <c r="C201" i="17"/>
  <c r="C193" i="14"/>
  <c r="C194" i="13"/>
  <c r="C193" i="13"/>
  <c r="C199" i="13"/>
  <c r="C194" i="10" l="1"/>
  <c r="C191" i="10"/>
  <c r="C196" i="10"/>
  <c r="C198" i="10"/>
  <c r="D81" i="17" l="1"/>
  <c r="D80" i="17"/>
  <c r="D79" i="17"/>
  <c r="D81" i="16"/>
  <c r="D80" i="16"/>
  <c r="D79" i="16"/>
  <c r="D81" i="14"/>
  <c r="D80" i="14"/>
  <c r="D79" i="14"/>
  <c r="D81" i="13"/>
  <c r="D80" i="13"/>
  <c r="D79" i="13"/>
  <c r="D81" i="10"/>
  <c r="D80" i="10"/>
  <c r="D79" i="10"/>
  <c r="C177" i="17" l="1"/>
  <c r="C177" i="16"/>
  <c r="C177" i="14"/>
  <c r="C177" i="13"/>
  <c r="C177" i="10"/>
  <c r="H11" i="20"/>
  <c r="I9" i="20" s="1"/>
  <c r="J9" i="20" s="1"/>
  <c r="I8" i="20" l="1"/>
  <c r="J8" i="20" s="1"/>
  <c r="I7" i="20"/>
  <c r="J7" i="20" s="1"/>
  <c r="I5" i="20"/>
  <c r="J5" i="20" s="1"/>
  <c r="I6" i="20"/>
  <c r="J6" i="20" s="1"/>
  <c r="B88" i="15"/>
  <c r="C201" i="10" l="1"/>
  <c r="C194" i="15"/>
  <c r="C192" i="10"/>
  <c r="C192" i="15" s="1"/>
  <c r="C191" i="15"/>
  <c r="C207" i="15"/>
  <c r="D207" i="15"/>
  <c r="E207" i="15"/>
  <c r="F207" i="15"/>
  <c r="C208" i="15"/>
  <c r="D208" i="15"/>
  <c r="E208" i="15"/>
  <c r="F208" i="15"/>
  <c r="C209" i="15"/>
  <c r="D209" i="15"/>
  <c r="E209" i="15"/>
  <c r="F209" i="15"/>
  <c r="C210" i="15"/>
  <c r="D210" i="15"/>
  <c r="E210" i="15"/>
  <c r="F210" i="15"/>
  <c r="C211" i="15"/>
  <c r="D211" i="15"/>
  <c r="E211" i="15"/>
  <c r="F211" i="15"/>
  <c r="C212" i="15"/>
  <c r="D212" i="15"/>
  <c r="E212" i="15"/>
  <c r="F212" i="15"/>
  <c r="C213" i="15"/>
  <c r="D213" i="15"/>
  <c r="E213" i="15"/>
  <c r="F213" i="15"/>
  <c r="C214" i="15"/>
  <c r="D214" i="15"/>
  <c r="E214" i="15"/>
  <c r="F214" i="15"/>
  <c r="C215" i="15"/>
  <c r="D215" i="15"/>
  <c r="E215" i="15"/>
  <c r="F215" i="15"/>
  <c r="D206" i="15"/>
  <c r="E206" i="15"/>
  <c r="F206" i="15"/>
  <c r="C206" i="15"/>
  <c r="D192" i="15"/>
  <c r="E192" i="15"/>
  <c r="F192" i="15"/>
  <c r="D193" i="15"/>
  <c r="E193" i="15"/>
  <c r="F193" i="15"/>
  <c r="D194" i="15"/>
  <c r="E194" i="15"/>
  <c r="F194" i="15"/>
  <c r="C195" i="15"/>
  <c r="D195" i="15"/>
  <c r="E195" i="15"/>
  <c r="F195" i="15"/>
  <c r="D196" i="15"/>
  <c r="E196" i="15"/>
  <c r="F196" i="15"/>
  <c r="D197" i="15"/>
  <c r="E197" i="15"/>
  <c r="F197" i="15"/>
  <c r="C198" i="15"/>
  <c r="D198" i="15"/>
  <c r="E198" i="15"/>
  <c r="F198" i="15"/>
  <c r="D199" i="15"/>
  <c r="E199" i="15"/>
  <c r="F199" i="15"/>
  <c r="C200" i="15"/>
  <c r="D200" i="15"/>
  <c r="E200" i="15"/>
  <c r="F200" i="15"/>
  <c r="D201" i="15"/>
  <c r="E201" i="15"/>
  <c r="F201" i="15"/>
  <c r="D191" i="15"/>
  <c r="E191" i="15"/>
  <c r="F191" i="15"/>
  <c r="C181" i="15"/>
  <c r="D181" i="15"/>
  <c r="E181" i="15"/>
  <c r="F181" i="15"/>
  <c r="C182" i="15"/>
  <c r="D182" i="15"/>
  <c r="E182" i="15"/>
  <c r="F182" i="15"/>
  <c r="D183" i="15"/>
  <c r="E183" i="15"/>
  <c r="F183" i="15"/>
  <c r="D184" i="15"/>
  <c r="E184" i="15"/>
  <c r="F184" i="15"/>
  <c r="C185" i="15"/>
  <c r="D185" i="15"/>
  <c r="E185" i="15"/>
  <c r="F185" i="15"/>
  <c r="C186" i="15"/>
  <c r="D186" i="15"/>
  <c r="E186" i="15"/>
  <c r="F186" i="15"/>
  <c r="C187" i="15"/>
  <c r="D187" i="15"/>
  <c r="E187" i="15"/>
  <c r="F187" i="15"/>
  <c r="C188" i="15"/>
  <c r="D188" i="15"/>
  <c r="E188" i="15"/>
  <c r="F188" i="15"/>
  <c r="D180" i="15"/>
  <c r="E180" i="15"/>
  <c r="D176" i="15"/>
  <c r="E176" i="15"/>
  <c r="F176" i="15"/>
  <c r="C177" i="15"/>
  <c r="D177" i="15"/>
  <c r="E177" i="15"/>
  <c r="F177" i="15"/>
  <c r="D175" i="15"/>
  <c r="E175" i="15"/>
  <c r="F175" i="15"/>
  <c r="C167" i="15"/>
  <c r="D167" i="15"/>
  <c r="E167" i="15"/>
  <c r="F167" i="15"/>
  <c r="C168" i="15"/>
  <c r="D168" i="15"/>
  <c r="E168" i="15"/>
  <c r="F168" i="15"/>
  <c r="C169" i="15"/>
  <c r="D169" i="15"/>
  <c r="E169" i="15"/>
  <c r="F169" i="15"/>
  <c r="C170" i="15"/>
  <c r="D170" i="15"/>
  <c r="E170" i="15"/>
  <c r="F170" i="15"/>
  <c r="C171" i="15"/>
  <c r="D171" i="15"/>
  <c r="E171" i="15"/>
  <c r="F171" i="15"/>
  <c r="D172" i="15"/>
  <c r="E172" i="15"/>
  <c r="F172" i="15"/>
  <c r="D166" i="15"/>
  <c r="E166" i="15"/>
  <c r="F166" i="15"/>
  <c r="C166" i="15"/>
  <c r="C152" i="15"/>
  <c r="D152" i="15"/>
  <c r="F152" i="15"/>
  <c r="C153" i="15"/>
  <c r="D153" i="15"/>
  <c r="E153" i="15"/>
  <c r="F153" i="15"/>
  <c r="D154" i="15"/>
  <c r="E154" i="15"/>
  <c r="F154" i="15"/>
  <c r="C156" i="15"/>
  <c r="D156" i="15"/>
  <c r="E156" i="15"/>
  <c r="F156" i="15"/>
  <c r="C157" i="15"/>
  <c r="D157" i="15"/>
  <c r="E157" i="15"/>
  <c r="F157" i="15"/>
  <c r="D158" i="15"/>
  <c r="E158" i="15"/>
  <c r="F158" i="15"/>
  <c r="C159" i="15"/>
  <c r="D159" i="15"/>
  <c r="E159" i="15"/>
  <c r="F159" i="15"/>
  <c r="D160" i="15"/>
  <c r="E160" i="15"/>
  <c r="F160" i="15"/>
  <c r="D161" i="15"/>
  <c r="E161" i="15"/>
  <c r="F161" i="15"/>
  <c r="D162" i="15"/>
  <c r="E162" i="15"/>
  <c r="F162" i="15"/>
  <c r="D151" i="15"/>
  <c r="E151" i="15"/>
  <c r="F151" i="15"/>
  <c r="C140" i="15"/>
  <c r="D140" i="15"/>
  <c r="E140" i="15"/>
  <c r="F140" i="15"/>
  <c r="C141" i="15"/>
  <c r="D141" i="15"/>
  <c r="E141" i="15"/>
  <c r="F141" i="15"/>
  <c r="C142" i="15"/>
  <c r="D142" i="15"/>
  <c r="E142" i="15"/>
  <c r="F142" i="15"/>
  <c r="E143" i="15"/>
  <c r="F143" i="15"/>
  <c r="D144" i="15"/>
  <c r="E144" i="15"/>
  <c r="F144" i="15"/>
  <c r="E145" i="15"/>
  <c r="F145" i="15"/>
  <c r="E146" i="15"/>
  <c r="F146" i="15"/>
  <c r="F147" i="15"/>
  <c r="C148" i="15"/>
  <c r="D148" i="15"/>
  <c r="E148" i="15"/>
  <c r="F148" i="15"/>
  <c r="D139" i="15"/>
  <c r="E139" i="15"/>
  <c r="F139" i="15"/>
  <c r="C133" i="15"/>
  <c r="D133" i="15"/>
  <c r="E133" i="15"/>
  <c r="F133" i="15"/>
  <c r="C134" i="15"/>
  <c r="D134" i="15"/>
  <c r="E134" i="15"/>
  <c r="F134" i="15"/>
  <c r="D135" i="15"/>
  <c r="C119" i="15"/>
  <c r="D119" i="15"/>
  <c r="F119" i="15"/>
  <c r="C120" i="15"/>
  <c r="D120" i="15"/>
  <c r="F120" i="15"/>
  <c r="C121" i="15"/>
  <c r="D121" i="15"/>
  <c r="F121" i="15"/>
  <c r="C122" i="15"/>
  <c r="D122" i="15"/>
  <c r="F122" i="15"/>
  <c r="C123" i="15"/>
  <c r="D123" i="15"/>
  <c r="E123" i="15"/>
  <c r="F123" i="15"/>
  <c r="C124" i="15"/>
  <c r="E124" i="15"/>
  <c r="F124" i="15"/>
  <c r="C125" i="15"/>
  <c r="D125" i="15"/>
  <c r="E125" i="15"/>
  <c r="F125" i="15"/>
  <c r="C126" i="15"/>
  <c r="E126" i="15"/>
  <c r="D127" i="15"/>
  <c r="E127" i="15"/>
  <c r="F127" i="15"/>
  <c r="D118" i="15"/>
  <c r="E118" i="15"/>
  <c r="F118" i="15"/>
  <c r="C118" i="15"/>
  <c r="D104" i="15"/>
  <c r="E104" i="15"/>
  <c r="F104" i="15"/>
  <c r="D105" i="15"/>
  <c r="E105" i="15"/>
  <c r="F105" i="15"/>
  <c r="C106" i="15"/>
  <c r="D106" i="15"/>
  <c r="E106" i="15"/>
  <c r="F106" i="15"/>
  <c r="D107" i="15"/>
  <c r="E107" i="15"/>
  <c r="F107" i="15"/>
  <c r="D108" i="15"/>
  <c r="E108" i="15"/>
  <c r="F108" i="15"/>
  <c r="C109" i="15"/>
  <c r="D109" i="15"/>
  <c r="E109" i="15"/>
  <c r="F109" i="15"/>
  <c r="C110" i="15"/>
  <c r="D110" i="15"/>
  <c r="F110" i="15"/>
  <c r="D111" i="15"/>
  <c r="E111" i="15"/>
  <c r="F111" i="15"/>
  <c r="D112" i="15"/>
  <c r="E112" i="15"/>
  <c r="F112" i="15"/>
  <c r="D114" i="15"/>
  <c r="E114" i="15"/>
  <c r="F114" i="15"/>
  <c r="E115" i="15"/>
  <c r="F115" i="15"/>
  <c r="D103" i="15"/>
  <c r="E103" i="15"/>
  <c r="F103" i="15"/>
  <c r="H100" i="15"/>
  <c r="H102" i="15"/>
  <c r="H163" i="15"/>
  <c r="H174" i="15"/>
  <c r="H203" i="15"/>
  <c r="I203" i="15" s="1"/>
  <c r="H205" i="15"/>
  <c r="I205" i="15" s="1"/>
  <c r="H216" i="15"/>
  <c r="I216" i="15" s="1"/>
  <c r="F75" i="15"/>
  <c r="E76" i="15"/>
  <c r="F77" i="15"/>
  <c r="F78" i="15"/>
  <c r="E79" i="15"/>
  <c r="F79" i="15"/>
  <c r="E80" i="15"/>
  <c r="F80" i="15"/>
  <c r="E81" i="15"/>
  <c r="F81" i="15"/>
  <c r="C82" i="15"/>
  <c r="D82" i="15"/>
  <c r="E82" i="15"/>
  <c r="F82" i="15"/>
  <c r="C83" i="15"/>
  <c r="D83" i="15"/>
  <c r="E83" i="15"/>
  <c r="F83" i="15"/>
  <c r="C84" i="15"/>
  <c r="D84" i="15"/>
  <c r="E84" i="15"/>
  <c r="F84" i="15"/>
  <c r="E74" i="15"/>
  <c r="F74" i="15"/>
  <c r="C43" i="15"/>
  <c r="D43" i="15"/>
  <c r="E43" i="15"/>
  <c r="F43" i="15"/>
  <c r="C44" i="15"/>
  <c r="D44" i="15"/>
  <c r="E44" i="15"/>
  <c r="F44" i="15"/>
  <c r="C45" i="15"/>
  <c r="D45" i="15"/>
  <c r="E45" i="15"/>
  <c r="F45" i="15"/>
  <c r="C46" i="15"/>
  <c r="D46" i="15"/>
  <c r="E46" i="15"/>
  <c r="F46" i="15"/>
  <c r="C47" i="15"/>
  <c r="D47" i="15"/>
  <c r="E47" i="15"/>
  <c r="F47" i="15"/>
  <c r="C48" i="15"/>
  <c r="D48" i="15"/>
  <c r="E48" i="15"/>
  <c r="F48" i="15"/>
  <c r="C49" i="15"/>
  <c r="D49" i="15"/>
  <c r="E49" i="15"/>
  <c r="F49" i="15"/>
  <c r="C50" i="15"/>
  <c r="D50" i="15"/>
  <c r="E50" i="15"/>
  <c r="F50" i="15"/>
  <c r="C51" i="15"/>
  <c r="D51" i="15"/>
  <c r="E51" i="15"/>
  <c r="F51" i="15"/>
  <c r="C52" i="15"/>
  <c r="D52" i="15"/>
  <c r="E52" i="15"/>
  <c r="F52" i="15"/>
  <c r="C53" i="15"/>
  <c r="D53" i="15"/>
  <c r="E53" i="15"/>
  <c r="F53" i="15"/>
  <c r="C54" i="15"/>
  <c r="D54" i="15"/>
  <c r="E54" i="15"/>
  <c r="F54" i="15"/>
  <c r="C55" i="15"/>
  <c r="D55" i="15"/>
  <c r="E55" i="15"/>
  <c r="F55" i="15"/>
  <c r="C56" i="15"/>
  <c r="D56" i="15"/>
  <c r="E56" i="15"/>
  <c r="F56" i="15"/>
  <c r="C57" i="15"/>
  <c r="D57" i="15"/>
  <c r="E57" i="15"/>
  <c r="F57" i="15"/>
  <c r="C58" i="15"/>
  <c r="D58" i="15"/>
  <c r="E58" i="15"/>
  <c r="F58" i="15"/>
  <c r="C59" i="15"/>
  <c r="D59" i="15"/>
  <c r="E59" i="15"/>
  <c r="F59" i="15"/>
  <c r="C60" i="15"/>
  <c r="D60" i="15"/>
  <c r="E60" i="15"/>
  <c r="F60" i="15"/>
  <c r="C61" i="15"/>
  <c r="D61" i="15"/>
  <c r="E61" i="15"/>
  <c r="F61" i="15"/>
  <c r="D42" i="15"/>
  <c r="E42" i="15"/>
  <c r="F42" i="15"/>
  <c r="C42" i="15"/>
  <c r="C30" i="15"/>
  <c r="D30" i="15"/>
  <c r="E30" i="15"/>
  <c r="F30" i="15"/>
  <c r="C31" i="15"/>
  <c r="D31" i="15"/>
  <c r="E31" i="15"/>
  <c r="F31" i="15"/>
  <c r="C32" i="15"/>
  <c r="D32" i="15"/>
  <c r="E32" i="15"/>
  <c r="F32" i="15"/>
  <c r="C33" i="15"/>
  <c r="D33" i="15"/>
  <c r="E33" i="15"/>
  <c r="F33" i="15"/>
  <c r="C34" i="15"/>
  <c r="D34" i="15"/>
  <c r="E34" i="15"/>
  <c r="F34" i="15"/>
  <c r="C35" i="15"/>
  <c r="D35" i="15"/>
  <c r="E35" i="15"/>
  <c r="F35" i="15"/>
  <c r="C36" i="15"/>
  <c r="D36" i="15"/>
  <c r="E36" i="15"/>
  <c r="F36" i="15"/>
  <c r="C37" i="15"/>
  <c r="D37" i="15"/>
  <c r="E37" i="15"/>
  <c r="F37" i="15"/>
  <c r="C38" i="15"/>
  <c r="D38" i="15"/>
  <c r="E38" i="15"/>
  <c r="F38" i="15"/>
  <c r="D29" i="15"/>
  <c r="E29" i="15"/>
  <c r="F29" i="15"/>
  <c r="C29" i="15"/>
  <c r="C23" i="15"/>
  <c r="D23" i="15"/>
  <c r="E23" i="15"/>
  <c r="C24" i="15"/>
  <c r="D24" i="15"/>
  <c r="E24" i="15"/>
  <c r="C25" i="15"/>
  <c r="D25" i="15"/>
  <c r="E25" i="15"/>
  <c r="C26" i="15"/>
  <c r="D26" i="15"/>
  <c r="E26" i="15"/>
  <c r="F23" i="15"/>
  <c r="F24" i="15"/>
  <c r="D22" i="15"/>
  <c r="E22" i="15"/>
  <c r="F22" i="15"/>
  <c r="C22" i="15"/>
  <c r="D7" i="15"/>
  <c r="E7" i="15"/>
  <c r="F7" i="15"/>
  <c r="D8" i="15"/>
  <c r="E8" i="15"/>
  <c r="F8" i="15"/>
  <c r="D9" i="15"/>
  <c r="E9" i="15"/>
  <c r="F9" i="15"/>
  <c r="D10" i="15"/>
  <c r="E10" i="15"/>
  <c r="F10" i="15"/>
  <c r="D11" i="15"/>
  <c r="E11" i="15"/>
  <c r="F11" i="15"/>
  <c r="D12" i="15"/>
  <c r="E12" i="15"/>
  <c r="F12" i="15"/>
  <c r="C13" i="15"/>
  <c r="D13" i="15"/>
  <c r="E13" i="15"/>
  <c r="F13" i="15"/>
  <c r="C14" i="15"/>
  <c r="D14" i="15"/>
  <c r="E14" i="15"/>
  <c r="F14" i="15"/>
  <c r="C15" i="15"/>
  <c r="D15" i="15"/>
  <c r="E15" i="15"/>
  <c r="F15" i="15"/>
  <c r="C16" i="15"/>
  <c r="D16" i="15"/>
  <c r="E16" i="15"/>
  <c r="F16" i="15"/>
  <c r="C17" i="15"/>
  <c r="D17" i="15"/>
  <c r="E17" i="15"/>
  <c r="F17" i="15"/>
  <c r="C18" i="15"/>
  <c r="D18" i="15"/>
  <c r="E18" i="15"/>
  <c r="F18" i="15"/>
  <c r="D6" i="15"/>
  <c r="E6" i="15"/>
  <c r="F6" i="15"/>
  <c r="D5" i="15"/>
  <c r="E5" i="15"/>
  <c r="F5" i="15"/>
  <c r="D124" i="21"/>
  <c r="G124" i="21" s="1"/>
  <c r="G258" i="21"/>
  <c r="D258" i="21"/>
  <c r="C258" i="21"/>
  <c r="D252" i="21"/>
  <c r="C252" i="21"/>
  <c r="B252" i="21"/>
  <c r="D251" i="21"/>
  <c r="C251" i="21"/>
  <c r="B251" i="21"/>
  <c r="D250" i="21"/>
  <c r="C250" i="21"/>
  <c r="B250" i="21"/>
  <c r="D249" i="21"/>
  <c r="C249" i="21"/>
  <c r="B249" i="21"/>
  <c r="D232" i="21"/>
  <c r="C232" i="21"/>
  <c r="B232" i="21"/>
  <c r="D231" i="21"/>
  <c r="C231" i="21"/>
  <c r="B231" i="21"/>
  <c r="D230" i="21"/>
  <c r="C230" i="21"/>
  <c r="B230" i="21"/>
  <c r="D229" i="21"/>
  <c r="C229" i="21"/>
  <c r="B229" i="21"/>
  <c r="G220" i="21"/>
  <c r="G245" i="21" s="1"/>
  <c r="F220" i="21"/>
  <c r="E220" i="21"/>
  <c r="D220" i="21"/>
  <c r="D245" i="21" s="1"/>
  <c r="C220" i="21"/>
  <c r="C245" i="21" s="1"/>
  <c r="B220" i="21"/>
  <c r="G215" i="21"/>
  <c r="G214" i="21"/>
  <c r="G232" i="21" s="1"/>
  <c r="G213" i="21"/>
  <c r="G231" i="21" s="1"/>
  <c r="G212" i="21"/>
  <c r="G211" i="21"/>
  <c r="G210" i="21"/>
  <c r="G209" i="21"/>
  <c r="G208" i="21"/>
  <c r="G207" i="21"/>
  <c r="G250" i="21" s="1"/>
  <c r="G206" i="21"/>
  <c r="G229" i="21" s="1"/>
  <c r="F202" i="21"/>
  <c r="E202" i="21"/>
  <c r="D202" i="21"/>
  <c r="G201" i="21"/>
  <c r="G200" i="21"/>
  <c r="G199" i="21"/>
  <c r="G198" i="21"/>
  <c r="G195" i="21"/>
  <c r="G194" i="21"/>
  <c r="G193" i="21"/>
  <c r="G192" i="21"/>
  <c r="G191" i="21"/>
  <c r="E189" i="21"/>
  <c r="D189" i="21"/>
  <c r="G188" i="21"/>
  <c r="G187" i="21"/>
  <c r="G186" i="21"/>
  <c r="G185" i="21"/>
  <c r="G184" i="21"/>
  <c r="G183" i="21"/>
  <c r="G182" i="21"/>
  <c r="G181" i="21"/>
  <c r="G179" i="21"/>
  <c r="G190" i="21" s="1"/>
  <c r="F179" i="21"/>
  <c r="F190" i="21" s="1"/>
  <c r="E179" i="21"/>
  <c r="E190" i="21" s="1"/>
  <c r="D179" i="21"/>
  <c r="D190" i="21" s="1"/>
  <c r="C179" i="21"/>
  <c r="C190" i="21" s="1"/>
  <c r="F178" i="21"/>
  <c r="E178" i="21"/>
  <c r="D178" i="21"/>
  <c r="G177" i="21"/>
  <c r="G176" i="21"/>
  <c r="G175" i="21"/>
  <c r="F173" i="21"/>
  <c r="E173" i="21"/>
  <c r="D173" i="21"/>
  <c r="G172" i="21"/>
  <c r="C173" i="21"/>
  <c r="G171" i="21"/>
  <c r="G170" i="21"/>
  <c r="G169" i="21"/>
  <c r="G168" i="21"/>
  <c r="G167" i="21"/>
  <c r="G166" i="21"/>
  <c r="G159" i="21"/>
  <c r="G157" i="21"/>
  <c r="G156" i="21"/>
  <c r="G153" i="21"/>
  <c r="G151" i="21"/>
  <c r="G150" i="21"/>
  <c r="G165" i="21" s="1"/>
  <c r="F150" i="21"/>
  <c r="F165" i="21" s="1"/>
  <c r="E150" i="21"/>
  <c r="E165" i="21" s="1"/>
  <c r="D150" i="21"/>
  <c r="D165" i="21" s="1"/>
  <c r="C150" i="21"/>
  <c r="C165" i="21" s="1"/>
  <c r="F149" i="21"/>
  <c r="E147" i="21"/>
  <c r="E149" i="21" s="1"/>
  <c r="D147" i="21"/>
  <c r="C147" i="21"/>
  <c r="D146" i="21"/>
  <c r="D145" i="21"/>
  <c r="D143" i="21"/>
  <c r="G142" i="21"/>
  <c r="G141" i="21"/>
  <c r="G140" i="21"/>
  <c r="G138" i="21"/>
  <c r="F138" i="21"/>
  <c r="E138" i="21"/>
  <c r="D138" i="21"/>
  <c r="C138" i="21"/>
  <c r="G134" i="21"/>
  <c r="G133" i="21"/>
  <c r="C128" i="21"/>
  <c r="F126" i="21"/>
  <c r="F128" i="21" s="1"/>
  <c r="D126" i="21"/>
  <c r="G125" i="21"/>
  <c r="G123" i="21"/>
  <c r="G122" i="21"/>
  <c r="G121" i="21"/>
  <c r="G120" i="21"/>
  <c r="E128" i="21"/>
  <c r="G119" i="21"/>
  <c r="G118" i="21"/>
  <c r="G117" i="21"/>
  <c r="F117" i="21"/>
  <c r="E117" i="21"/>
  <c r="D117" i="21"/>
  <c r="C117" i="21"/>
  <c r="D115" i="21"/>
  <c r="C115" i="21"/>
  <c r="C114" i="21"/>
  <c r="G114" i="21" s="1"/>
  <c r="F113" i="21"/>
  <c r="F116" i="21" s="1"/>
  <c r="E113" i="21"/>
  <c r="D113" i="21"/>
  <c r="D116" i="21" s="1"/>
  <c r="C113" i="21"/>
  <c r="G112" i="21"/>
  <c r="G111" i="21"/>
  <c r="E110" i="21"/>
  <c r="G109" i="21"/>
  <c r="G107" i="21"/>
  <c r="G106" i="21"/>
  <c r="G105" i="21"/>
  <c r="G104" i="21"/>
  <c r="G101" i="21"/>
  <c r="F101" i="21"/>
  <c r="E101" i="21"/>
  <c r="D101" i="21"/>
  <c r="C101" i="21"/>
  <c r="F97" i="21"/>
  <c r="E97" i="21"/>
  <c r="D97" i="21"/>
  <c r="C97" i="21"/>
  <c r="F96" i="21"/>
  <c r="E96" i="21"/>
  <c r="D96" i="21"/>
  <c r="C96" i="21"/>
  <c r="A96" i="21"/>
  <c r="F95" i="21"/>
  <c r="E95" i="21"/>
  <c r="D95" i="21"/>
  <c r="C95" i="21"/>
  <c r="F94" i="21"/>
  <c r="E94" i="21"/>
  <c r="F93" i="21"/>
  <c r="E93" i="21"/>
  <c r="A93" i="21"/>
  <c r="F92" i="21"/>
  <c r="E92" i="21"/>
  <c r="F91" i="21"/>
  <c r="A91" i="21"/>
  <c r="F90" i="21"/>
  <c r="A90" i="21"/>
  <c r="E89" i="21"/>
  <c r="A89" i="21"/>
  <c r="F88" i="21"/>
  <c r="E88" i="21"/>
  <c r="D88" i="21"/>
  <c r="F87" i="21"/>
  <c r="E87" i="21"/>
  <c r="D87" i="21"/>
  <c r="A87" i="21"/>
  <c r="G84" i="21"/>
  <c r="G97" i="21" s="1"/>
  <c r="G83" i="21"/>
  <c r="G96" i="21" s="1"/>
  <c r="G82" i="21"/>
  <c r="G95" i="21" s="1"/>
  <c r="D81" i="21"/>
  <c r="D94" i="21" s="1"/>
  <c r="C81" i="21"/>
  <c r="G81" i="21" s="1"/>
  <c r="G94" i="21" s="1"/>
  <c r="D80" i="21"/>
  <c r="D93" i="21" s="1"/>
  <c r="C80" i="21"/>
  <c r="D79" i="21"/>
  <c r="C79" i="21"/>
  <c r="C92" i="21" s="1"/>
  <c r="E78" i="21"/>
  <c r="E91" i="21" s="1"/>
  <c r="D78" i="21"/>
  <c r="D91" i="21" s="1"/>
  <c r="C78" i="21"/>
  <c r="E77" i="21"/>
  <c r="E90" i="21" s="1"/>
  <c r="D77" i="21"/>
  <c r="C77" i="21"/>
  <c r="C90" i="21" s="1"/>
  <c r="D75" i="21"/>
  <c r="D74" i="21"/>
  <c r="G73" i="21"/>
  <c r="F73" i="21"/>
  <c r="D73" i="21"/>
  <c r="C73" i="21"/>
  <c r="F62" i="21"/>
  <c r="F65" i="21" s="1"/>
  <c r="E62" i="21"/>
  <c r="E65" i="21" s="1"/>
  <c r="D62" i="21"/>
  <c r="D65" i="21" s="1"/>
  <c r="C62" i="21"/>
  <c r="C65" i="21" s="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F39" i="21"/>
  <c r="F135" i="21" s="1"/>
  <c r="E39" i="21"/>
  <c r="E135" i="21" s="1"/>
  <c r="D39" i="21"/>
  <c r="D64" i="21" s="1"/>
  <c r="D66" i="21" s="1"/>
  <c r="D132" i="21" s="1"/>
  <c r="C39" i="21"/>
  <c r="G108" i="21" s="1"/>
  <c r="G38" i="21"/>
  <c r="G37" i="21"/>
  <c r="G36" i="21"/>
  <c r="G35" i="21"/>
  <c r="G34" i="21"/>
  <c r="G33" i="21"/>
  <c r="G32" i="21"/>
  <c r="G31" i="21"/>
  <c r="G30" i="21"/>
  <c r="G29" i="21"/>
  <c r="G27" i="21"/>
  <c r="G26" i="21"/>
  <c r="G25" i="21"/>
  <c r="G24" i="21"/>
  <c r="G23" i="21"/>
  <c r="G22" i="21"/>
  <c r="G18" i="21"/>
  <c r="G17" i="21"/>
  <c r="G16" i="21"/>
  <c r="G15" i="21"/>
  <c r="G14" i="21"/>
  <c r="G13" i="21"/>
  <c r="G12" i="21"/>
  <c r="G11" i="21"/>
  <c r="G10" i="21"/>
  <c r="G9" i="21"/>
  <c r="G8" i="21"/>
  <c r="G7" i="21"/>
  <c r="C5" i="21"/>
  <c r="G3" i="21"/>
  <c r="G2" i="21"/>
  <c r="C201" i="16"/>
  <c r="C199" i="16"/>
  <c r="C184" i="16"/>
  <c r="C183" i="16"/>
  <c r="C176" i="16"/>
  <c r="C175" i="16"/>
  <c r="C172" i="16"/>
  <c r="G148" i="16"/>
  <c r="C127" i="16"/>
  <c r="C113" i="16"/>
  <c r="C12" i="15"/>
  <c r="G115" i="21" l="1"/>
  <c r="C253" i="21"/>
  <c r="G252" i="21"/>
  <c r="D233" i="21"/>
  <c r="G173" i="21"/>
  <c r="G78" i="21"/>
  <c r="G91" i="21" s="1"/>
  <c r="F129" i="21"/>
  <c r="D253" i="21"/>
  <c r="G80" i="21"/>
  <c r="G93" i="21" s="1"/>
  <c r="G147" i="21"/>
  <c r="C233" i="21"/>
  <c r="E39" i="15"/>
  <c r="D19" i="15"/>
  <c r="F19" i="15"/>
  <c r="G29" i="15"/>
  <c r="E19" i="15"/>
  <c r="G178" i="21"/>
  <c r="G62" i="21"/>
  <c r="G65" i="21" s="1"/>
  <c r="E116" i="21"/>
  <c r="E129" i="21" s="1"/>
  <c r="E130" i="21" s="1"/>
  <c r="G113" i="21"/>
  <c r="G126" i="21"/>
  <c r="G39" i="21"/>
  <c r="G64" i="21" s="1"/>
  <c r="C135" i="21"/>
  <c r="G135" i="21" s="1"/>
  <c r="C64" i="21"/>
  <c r="C66" i="21" s="1"/>
  <c r="C132" i="21" s="1"/>
  <c r="F64" i="21"/>
  <c r="F66" i="21" s="1"/>
  <c r="F155" i="21" s="1"/>
  <c r="C116" i="21"/>
  <c r="C129" i="21" s="1"/>
  <c r="C131" i="21" s="1"/>
  <c r="G79" i="21"/>
  <c r="G92" i="21" s="1"/>
  <c r="D149" i="21"/>
  <c r="G77" i="21"/>
  <c r="G90" i="21" s="1"/>
  <c r="C93" i="21"/>
  <c r="D155" i="21"/>
  <c r="G233" i="21"/>
  <c r="F132" i="21"/>
  <c r="C75" i="21"/>
  <c r="G75" i="21" s="1"/>
  <c r="G5" i="21"/>
  <c r="G87" i="21" s="1"/>
  <c r="C87" i="21"/>
  <c r="C74" i="21"/>
  <c r="C88" i="21"/>
  <c r="F130" i="21"/>
  <c r="F131" i="21"/>
  <c r="G230" i="21"/>
  <c r="G110" i="21"/>
  <c r="G127" i="21"/>
  <c r="G196" i="21"/>
  <c r="G249" i="21"/>
  <c r="G251" i="21"/>
  <c r="C19" i="21"/>
  <c r="F180" i="21" s="1"/>
  <c r="D92" i="21"/>
  <c r="C91" i="21"/>
  <c r="C94" i="21"/>
  <c r="C178" i="21"/>
  <c r="G6" i="21"/>
  <c r="G103" i="21"/>
  <c r="D128" i="21"/>
  <c r="D129" i="21" s="1"/>
  <c r="E64" i="21"/>
  <c r="E66" i="21" s="1"/>
  <c r="D90" i="21"/>
  <c r="C199" i="17"/>
  <c r="C184" i="17"/>
  <c r="C183" i="17"/>
  <c r="C176" i="17"/>
  <c r="C175" i="17"/>
  <c r="C172" i="17"/>
  <c r="C127" i="17"/>
  <c r="E122" i="15"/>
  <c r="E120" i="15"/>
  <c r="G128" i="21" l="1"/>
  <c r="G66" i="21"/>
  <c r="E131" i="21"/>
  <c r="C130" i="21"/>
  <c r="D130" i="21"/>
  <c r="D131" i="21"/>
  <c r="F85" i="21"/>
  <c r="F98" i="21" s="1"/>
  <c r="F164" i="21"/>
  <c r="E155" i="21"/>
  <c r="E85" i="21" s="1"/>
  <c r="E132" i="21"/>
  <c r="F189" i="21"/>
  <c r="C146" i="21"/>
  <c r="G146" i="21" s="1"/>
  <c r="G143" i="21"/>
  <c r="C158" i="21"/>
  <c r="G158" i="21" s="1"/>
  <c r="C154" i="21"/>
  <c r="C76" i="21"/>
  <c r="C145" i="21"/>
  <c r="G145" i="21" s="1"/>
  <c r="F76" i="21"/>
  <c r="E152" i="21"/>
  <c r="C144" i="21"/>
  <c r="G144" i="21" s="1"/>
  <c r="D76" i="21"/>
  <c r="G19" i="21"/>
  <c r="C139" i="21"/>
  <c r="D164" i="21"/>
  <c r="D85" i="21"/>
  <c r="D98" i="21" s="1"/>
  <c r="C155" i="21"/>
  <c r="G74" i="21"/>
  <c r="C160" i="21"/>
  <c r="G160" i="21" s="1"/>
  <c r="C162" i="21"/>
  <c r="G162" i="21" s="1"/>
  <c r="C161" i="21"/>
  <c r="G161" i="21" s="1"/>
  <c r="H19" i="21"/>
  <c r="F136" i="21"/>
  <c r="F137" i="21" s="1"/>
  <c r="G88" i="21"/>
  <c r="G116" i="21"/>
  <c r="G253" i="21"/>
  <c r="C103" i="15"/>
  <c r="C7" i="17"/>
  <c r="C6" i="17"/>
  <c r="C201" i="13"/>
  <c r="C196" i="13"/>
  <c r="C184" i="13"/>
  <c r="C183" i="13"/>
  <c r="C176" i="13"/>
  <c r="C175" i="13"/>
  <c r="C172" i="13"/>
  <c r="G148" i="13"/>
  <c r="H148" i="15" s="1"/>
  <c r="C127" i="13"/>
  <c r="E119" i="15"/>
  <c r="C107" i="15"/>
  <c r="C115" i="13"/>
  <c r="C113" i="13"/>
  <c r="C8" i="13"/>
  <c r="C7" i="13"/>
  <c r="C6" i="13"/>
  <c r="C201" i="14"/>
  <c r="C201" i="15" s="1"/>
  <c r="C199" i="14"/>
  <c r="C196" i="14"/>
  <c r="C193" i="15"/>
  <c r="C184" i="14"/>
  <c r="C183" i="14"/>
  <c r="C176" i="14"/>
  <c r="C175" i="14"/>
  <c r="C172" i="14"/>
  <c r="C127" i="14"/>
  <c r="D124" i="15"/>
  <c r="C114" i="15"/>
  <c r="C113" i="14"/>
  <c r="C10" i="14"/>
  <c r="C199" i="10"/>
  <c r="C184" i="10"/>
  <c r="C183" i="10"/>
  <c r="C176" i="10"/>
  <c r="C175" i="10"/>
  <c r="C172" i="10"/>
  <c r="C127" i="10"/>
  <c r="C113" i="10"/>
  <c r="C11" i="10"/>
  <c r="C11" i="15" s="1"/>
  <c r="C10" i="10"/>
  <c r="C9" i="10"/>
  <c r="C8" i="10"/>
  <c r="C6" i="10"/>
  <c r="I19" i="21" l="1"/>
  <c r="C184" i="15"/>
  <c r="C176" i="15"/>
  <c r="C196" i="15"/>
  <c r="C10" i="15"/>
  <c r="C183" i="15"/>
  <c r="C105" i="15"/>
  <c r="C7" i="15"/>
  <c r="C8" i="15"/>
  <c r="C9" i="15"/>
  <c r="C112" i="15"/>
  <c r="C127" i="15"/>
  <c r="C199" i="15"/>
  <c r="C175" i="15"/>
  <c r="C6" i="15"/>
  <c r="C172" i="15"/>
  <c r="E110" i="15"/>
  <c r="C104" i="15"/>
  <c r="C111" i="15"/>
  <c r="G129" i="21"/>
  <c r="G70" i="21" s="1"/>
  <c r="E136" i="21"/>
  <c r="E137" i="21" s="1"/>
  <c r="C136" i="21"/>
  <c r="C137" i="21" s="1"/>
  <c r="G131" i="21"/>
  <c r="F86" i="21"/>
  <c r="F89" i="21"/>
  <c r="F99" i="21" s="1"/>
  <c r="E98" i="21"/>
  <c r="E86" i="21"/>
  <c r="D89" i="21"/>
  <c r="D99" i="21" s="1"/>
  <c r="D86" i="21"/>
  <c r="D136" i="21"/>
  <c r="D137" i="21" s="1"/>
  <c r="D204" i="21" s="1"/>
  <c r="C149" i="21"/>
  <c r="G139" i="21"/>
  <c r="G149" i="21" s="1"/>
  <c r="G154" i="21"/>
  <c r="C164" i="21"/>
  <c r="C85" i="21"/>
  <c r="C86" i="21" s="1"/>
  <c r="G155" i="21"/>
  <c r="G180" i="21"/>
  <c r="C189" i="21"/>
  <c r="G197" i="21"/>
  <c r="G202" i="21" s="1"/>
  <c r="C202" i="21"/>
  <c r="F204" i="21"/>
  <c r="C89" i="21"/>
  <c r="G76" i="21"/>
  <c r="G89" i="21" s="1"/>
  <c r="G130" i="21"/>
  <c r="G132" i="21"/>
  <c r="E164" i="21"/>
  <c r="E204" i="21" s="1"/>
  <c r="G152" i="21"/>
  <c r="C19" i="15" l="1"/>
  <c r="F25" i="15" s="1"/>
  <c r="G25" i="15" s="1"/>
  <c r="G189" i="21"/>
  <c r="G69" i="21"/>
  <c r="C204" i="21"/>
  <c r="C217" i="21" s="1"/>
  <c r="G136" i="21"/>
  <c r="G137" i="21" s="1"/>
  <c r="D217" i="21"/>
  <c r="D247" i="21"/>
  <c r="D255" i="21" s="1"/>
  <c r="D227" i="21"/>
  <c r="D235" i="21" s="1"/>
  <c r="D240" i="21"/>
  <c r="D241" i="21" s="1"/>
  <c r="D242" i="21" s="1"/>
  <c r="C98" i="21"/>
  <c r="C99" i="21" s="1"/>
  <c r="G85" i="21"/>
  <c r="G98" i="21" s="1"/>
  <c r="G99" i="21" s="1"/>
  <c r="E217" i="21"/>
  <c r="E218" i="21" s="1"/>
  <c r="G164" i="21"/>
  <c r="F217" i="21"/>
  <c r="F218" i="21" s="1"/>
  <c r="G86" i="21" l="1"/>
  <c r="G71" i="21" s="1"/>
  <c r="C247" i="21"/>
  <c r="C255" i="21" s="1"/>
  <c r="C260" i="21"/>
  <c r="C261" i="21" s="1"/>
  <c r="C262" i="21" s="1"/>
  <c r="C218" i="21"/>
  <c r="C240" i="21"/>
  <c r="C241" i="21" s="1"/>
  <c r="C242" i="21" s="1"/>
  <c r="C227" i="21"/>
  <c r="C235" i="21" s="1"/>
  <c r="D218" i="21"/>
  <c r="D260" i="21"/>
  <c r="D261" i="21" s="1"/>
  <c r="D262" i="21" s="1"/>
  <c r="G204" i="21"/>
  <c r="G68" i="21" l="1"/>
  <c r="G227" i="21"/>
  <c r="G235" i="21" s="1"/>
  <c r="G217" i="21"/>
  <c r="G247" i="21"/>
  <c r="G255" i="21" s="1"/>
  <c r="G240" i="21"/>
  <c r="G241" i="21" s="1"/>
  <c r="G242" i="21" s="1"/>
  <c r="G218" i="21" l="1"/>
  <c r="G260" i="21"/>
  <c r="G261" i="21" s="1"/>
  <c r="G262" i="21" s="1"/>
  <c r="G44" i="15" l="1"/>
  <c r="G61" i="15"/>
  <c r="G42" i="15"/>
  <c r="G43" i="15"/>
  <c r="G45" i="15"/>
  <c r="G46" i="15"/>
  <c r="G47" i="15"/>
  <c r="G48" i="15"/>
  <c r="G49" i="15"/>
  <c r="G50" i="15"/>
  <c r="G52" i="15"/>
  <c r="G56" i="15"/>
  <c r="G57" i="15"/>
  <c r="G58" i="15"/>
  <c r="G59" i="15"/>
  <c r="G60" i="15"/>
  <c r="G30" i="15"/>
  <c r="G31" i="15"/>
  <c r="G32" i="15"/>
  <c r="G33" i="15"/>
  <c r="G34" i="15"/>
  <c r="G35" i="15"/>
  <c r="G36" i="15"/>
  <c r="G37" i="15"/>
  <c r="G38" i="15"/>
  <c r="F26" i="15"/>
  <c r="G22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6" i="15"/>
  <c r="G19" i="15" l="1"/>
  <c r="G24" i="15"/>
  <c r="G26" i="15"/>
  <c r="G23" i="15"/>
  <c r="G53" i="15"/>
  <c r="G54" i="15"/>
  <c r="G55" i="15"/>
  <c r="G51" i="15"/>
  <c r="B9" i="20"/>
  <c r="B8" i="20"/>
  <c r="B7" i="20"/>
  <c r="B6" i="20"/>
  <c r="B5" i="20"/>
  <c r="E113" i="15"/>
  <c r="D113" i="15"/>
  <c r="C113" i="15"/>
  <c r="B11" i="20" l="1"/>
  <c r="D80" i="15"/>
  <c r="D81" i="15"/>
  <c r="D79" i="15" l="1"/>
  <c r="C6" i="20"/>
  <c r="D6" i="20" s="1"/>
  <c r="E75" i="13" s="1"/>
  <c r="C7" i="20"/>
  <c r="D7" i="20" s="1"/>
  <c r="E75" i="14" s="1"/>
  <c r="C8" i="20"/>
  <c r="D8" i="20" s="1"/>
  <c r="E75" i="16" s="1"/>
  <c r="C9" i="20"/>
  <c r="D9" i="20" s="1"/>
  <c r="E75" i="17" s="1"/>
  <c r="C5" i="20"/>
  <c r="D5" i="20" s="1"/>
  <c r="E75" i="10" s="1"/>
  <c r="C10" i="20"/>
  <c r="D10" i="20" s="1"/>
  <c r="K19" i="15"/>
  <c r="E75" i="15" l="1"/>
  <c r="E88" i="15" s="1"/>
  <c r="G88" i="15" s="1"/>
  <c r="K258" i="15"/>
  <c r="K252" i="15"/>
  <c r="K251" i="15"/>
  <c r="K229" i="15"/>
  <c r="K220" i="15"/>
  <c r="K245" i="15" s="1"/>
  <c r="K232" i="15"/>
  <c r="K231" i="15"/>
  <c r="K250" i="15"/>
  <c r="K249" i="15"/>
  <c r="K202" i="15"/>
  <c r="K189" i="15"/>
  <c r="K179" i="15"/>
  <c r="K190" i="15" s="1"/>
  <c r="K178" i="15"/>
  <c r="K173" i="15"/>
  <c r="K164" i="15"/>
  <c r="K150" i="15"/>
  <c r="K165" i="15" s="1"/>
  <c r="K149" i="15"/>
  <c r="K138" i="15"/>
  <c r="K136" i="15"/>
  <c r="K128" i="15"/>
  <c r="K117" i="15"/>
  <c r="K116" i="15"/>
  <c r="K101" i="15"/>
  <c r="K95" i="15"/>
  <c r="K94" i="15"/>
  <c r="K93" i="15"/>
  <c r="K92" i="15"/>
  <c r="K91" i="15"/>
  <c r="K98" i="15"/>
  <c r="K97" i="15"/>
  <c r="K96" i="15"/>
  <c r="K90" i="15"/>
  <c r="K89" i="15"/>
  <c r="K73" i="15"/>
  <c r="K87" i="15"/>
  <c r="K129" i="15" l="1"/>
  <c r="K137" i="15" s="1"/>
  <c r="K204" i="15" s="1"/>
  <c r="K68" i="15" s="1"/>
  <c r="K69" i="15"/>
  <c r="K253" i="15"/>
  <c r="K70" i="15"/>
  <c r="K230" i="15"/>
  <c r="K233" i="15" s="1"/>
  <c r="G192" i="15"/>
  <c r="G194" i="15"/>
  <c r="G196" i="15"/>
  <c r="G198" i="15"/>
  <c r="I100" i="15"/>
  <c r="I102" i="15"/>
  <c r="I163" i="15"/>
  <c r="I174" i="15"/>
  <c r="G200" i="15"/>
  <c r="G188" i="15"/>
  <c r="G168" i="15"/>
  <c r="G141" i="15"/>
  <c r="G181" i="15"/>
  <c r="G182" i="15"/>
  <c r="G183" i="15"/>
  <c r="G184" i="15"/>
  <c r="G185" i="15"/>
  <c r="G186" i="15"/>
  <c r="G187" i="15"/>
  <c r="G176" i="15"/>
  <c r="G177" i="15"/>
  <c r="G175" i="15"/>
  <c r="G167" i="15"/>
  <c r="G169" i="15"/>
  <c r="G170" i="15"/>
  <c r="G171" i="15"/>
  <c r="G172" i="15"/>
  <c r="G166" i="15"/>
  <c r="G153" i="15"/>
  <c r="G156" i="15"/>
  <c r="G157" i="15"/>
  <c r="G159" i="15"/>
  <c r="G140" i="15"/>
  <c r="G142" i="15"/>
  <c r="G148" i="15"/>
  <c r="G133" i="15"/>
  <c r="G134" i="15"/>
  <c r="G119" i="15"/>
  <c r="G120" i="15"/>
  <c r="G122" i="15"/>
  <c r="G123" i="15"/>
  <c r="G124" i="15"/>
  <c r="G125" i="15"/>
  <c r="G127" i="15"/>
  <c r="G118" i="15"/>
  <c r="G215" i="17"/>
  <c r="G177" i="17"/>
  <c r="G176" i="17"/>
  <c r="C178" i="17"/>
  <c r="G166" i="17"/>
  <c r="G124" i="17"/>
  <c r="G120" i="17"/>
  <c r="G107" i="17"/>
  <c r="G106" i="17"/>
  <c r="C19" i="17"/>
  <c r="E152" i="17" s="1"/>
  <c r="G220" i="17"/>
  <c r="F220" i="17"/>
  <c r="E220" i="17"/>
  <c r="D220" i="17"/>
  <c r="C220" i="17"/>
  <c r="B220" i="17"/>
  <c r="G214" i="17"/>
  <c r="G213" i="17"/>
  <c r="G212" i="17"/>
  <c r="G211" i="17"/>
  <c r="G210" i="17"/>
  <c r="G209" i="17"/>
  <c r="G208" i="17"/>
  <c r="G206" i="17"/>
  <c r="F202" i="17"/>
  <c r="E202" i="17"/>
  <c r="D202" i="17"/>
  <c r="G201" i="17"/>
  <c r="G200" i="17"/>
  <c r="G199" i="17"/>
  <c r="G198" i="17"/>
  <c r="G195" i="17"/>
  <c r="G194" i="17"/>
  <c r="G193" i="17"/>
  <c r="G192" i="17"/>
  <c r="G191" i="17"/>
  <c r="E189" i="17"/>
  <c r="D189" i="17"/>
  <c r="G188" i="17"/>
  <c r="G187" i="17"/>
  <c r="G186" i="17"/>
  <c r="G185" i="17"/>
  <c r="G184" i="17"/>
  <c r="G183" i="17"/>
  <c r="G182" i="17"/>
  <c r="G181" i="17"/>
  <c r="G179" i="17"/>
  <c r="G190" i="17" s="1"/>
  <c r="F179" i="17"/>
  <c r="F190" i="17" s="1"/>
  <c r="E179" i="17"/>
  <c r="E190" i="17" s="1"/>
  <c r="D179" i="17"/>
  <c r="D190" i="17" s="1"/>
  <c r="C179" i="17"/>
  <c r="C190" i="17" s="1"/>
  <c r="F178" i="17"/>
  <c r="E178" i="17"/>
  <c r="D178" i="17"/>
  <c r="F173" i="17"/>
  <c r="E173" i="17"/>
  <c r="D173" i="17"/>
  <c r="G172" i="17"/>
  <c r="G171" i="17"/>
  <c r="G170" i="17"/>
  <c r="G169" i="17"/>
  <c r="G168" i="17"/>
  <c r="G159" i="17"/>
  <c r="G157" i="17"/>
  <c r="G156" i="17"/>
  <c r="G153" i="17"/>
  <c r="G151" i="17"/>
  <c r="G150" i="17"/>
  <c r="G165" i="17" s="1"/>
  <c r="F150" i="17"/>
  <c r="F165" i="17" s="1"/>
  <c r="E150" i="17"/>
  <c r="E165" i="17" s="1"/>
  <c r="D150" i="17"/>
  <c r="D165" i="17" s="1"/>
  <c r="C150" i="17"/>
  <c r="C165" i="17" s="1"/>
  <c r="F149" i="17"/>
  <c r="E147" i="17"/>
  <c r="E149" i="17" s="1"/>
  <c r="D147" i="17"/>
  <c r="C147" i="17"/>
  <c r="D146" i="17"/>
  <c r="D145" i="17"/>
  <c r="D143" i="17"/>
  <c r="G142" i="17"/>
  <c r="G141" i="17"/>
  <c r="G140" i="17"/>
  <c r="G138" i="17"/>
  <c r="F138" i="17"/>
  <c r="E138" i="17"/>
  <c r="D138" i="17"/>
  <c r="C138" i="17"/>
  <c r="G134" i="17"/>
  <c r="G133" i="17"/>
  <c r="G127" i="17"/>
  <c r="C128" i="17"/>
  <c r="F126" i="15"/>
  <c r="D126" i="17"/>
  <c r="G126" i="17" s="1"/>
  <c r="G125" i="17"/>
  <c r="G123" i="17"/>
  <c r="G122" i="17"/>
  <c r="G121" i="17"/>
  <c r="G119" i="17"/>
  <c r="G118" i="17"/>
  <c r="G117" i="17"/>
  <c r="F117" i="17"/>
  <c r="E117" i="17"/>
  <c r="D117" i="17"/>
  <c r="C117" i="17"/>
  <c r="D115" i="17"/>
  <c r="D116" i="17" s="1"/>
  <c r="C115" i="17"/>
  <c r="G114" i="17"/>
  <c r="F113" i="17"/>
  <c r="F116" i="17" s="1"/>
  <c r="G111" i="17"/>
  <c r="G109" i="17"/>
  <c r="G105" i="17"/>
  <c r="G104" i="17"/>
  <c r="G103" i="17"/>
  <c r="G101" i="17"/>
  <c r="F101" i="17"/>
  <c r="E101" i="17"/>
  <c r="D101" i="17"/>
  <c r="C101" i="17"/>
  <c r="F97" i="17"/>
  <c r="E97" i="17"/>
  <c r="D97" i="17"/>
  <c r="C97" i="17"/>
  <c r="F96" i="17"/>
  <c r="E96" i="17"/>
  <c r="D96" i="17"/>
  <c r="C96" i="17"/>
  <c r="A96" i="17"/>
  <c r="F95" i="17"/>
  <c r="E95" i="17"/>
  <c r="D95" i="17"/>
  <c r="C95" i="17"/>
  <c r="F94" i="17"/>
  <c r="E94" i="17"/>
  <c r="F93" i="17"/>
  <c r="E93" i="17"/>
  <c r="A93" i="17"/>
  <c r="F92" i="17"/>
  <c r="E92" i="17"/>
  <c r="F91" i="17"/>
  <c r="A91" i="17"/>
  <c r="F90" i="17"/>
  <c r="A90" i="17"/>
  <c r="E89" i="17"/>
  <c r="A89" i="17"/>
  <c r="F88" i="17"/>
  <c r="E88" i="17"/>
  <c r="D88" i="17"/>
  <c r="F87" i="17"/>
  <c r="E87" i="17"/>
  <c r="D87" i="17"/>
  <c r="A87" i="17"/>
  <c r="G84" i="17"/>
  <c r="G97" i="17" s="1"/>
  <c r="G83" i="17"/>
  <c r="G96" i="17" s="1"/>
  <c r="G82" i="17"/>
  <c r="G95" i="17" s="1"/>
  <c r="D94" i="17"/>
  <c r="C81" i="17"/>
  <c r="C94" i="17" s="1"/>
  <c r="D93" i="17"/>
  <c r="C80" i="17"/>
  <c r="C93" i="17" s="1"/>
  <c r="D92" i="17"/>
  <c r="C79" i="17"/>
  <c r="C92" i="17" s="1"/>
  <c r="E91" i="17"/>
  <c r="D78" i="17"/>
  <c r="D91" i="17" s="1"/>
  <c r="C78" i="17"/>
  <c r="C91" i="17" s="1"/>
  <c r="E77" i="17"/>
  <c r="E90" i="17" s="1"/>
  <c r="D77" i="17"/>
  <c r="D90" i="17" s="1"/>
  <c r="C77" i="17"/>
  <c r="D75" i="17"/>
  <c r="D74" i="17"/>
  <c r="G73" i="17"/>
  <c r="F73" i="17"/>
  <c r="D73" i="17"/>
  <c r="C73" i="17"/>
  <c r="F62" i="17"/>
  <c r="F65" i="17" s="1"/>
  <c r="E62" i="17"/>
  <c r="E65" i="17" s="1"/>
  <c r="D62" i="17"/>
  <c r="D65" i="17" s="1"/>
  <c r="C62" i="17"/>
  <c r="C65" i="17" s="1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F39" i="17"/>
  <c r="F135" i="17" s="1"/>
  <c r="E39" i="17"/>
  <c r="E135" i="17" s="1"/>
  <c r="D39" i="17"/>
  <c r="D64" i="17" s="1"/>
  <c r="C39" i="17"/>
  <c r="C108" i="17" s="1"/>
  <c r="G38" i="17"/>
  <c r="G37" i="17"/>
  <c r="G36" i="17"/>
  <c r="G35" i="17"/>
  <c r="G34" i="17"/>
  <c r="G33" i="17"/>
  <c r="G32" i="17"/>
  <c r="G31" i="17"/>
  <c r="G30" i="17"/>
  <c r="G29" i="17"/>
  <c r="G27" i="17"/>
  <c r="G26" i="17"/>
  <c r="G25" i="17"/>
  <c r="G24" i="17"/>
  <c r="G23" i="17"/>
  <c r="G22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3" i="17"/>
  <c r="G2" i="17"/>
  <c r="G201" i="16"/>
  <c r="G199" i="16"/>
  <c r="G183" i="16"/>
  <c r="G176" i="16"/>
  <c r="G106" i="16"/>
  <c r="G220" i="16"/>
  <c r="F220" i="16"/>
  <c r="E220" i="16"/>
  <c r="D220" i="16"/>
  <c r="C220" i="16"/>
  <c r="B220" i="16"/>
  <c r="G215" i="16"/>
  <c r="G214" i="16"/>
  <c r="G213" i="16"/>
  <c r="G212" i="16"/>
  <c r="G211" i="16"/>
  <c r="G210" i="16"/>
  <c r="G209" i="16"/>
  <c r="G208" i="16"/>
  <c r="G207" i="16"/>
  <c r="G206" i="16"/>
  <c r="F202" i="16"/>
  <c r="E202" i="16"/>
  <c r="D202" i="16"/>
  <c r="G200" i="16"/>
  <c r="G198" i="16"/>
  <c r="G195" i="16"/>
  <c r="G194" i="16"/>
  <c r="G193" i="16"/>
  <c r="G192" i="16"/>
  <c r="G191" i="16"/>
  <c r="E189" i="16"/>
  <c r="D189" i="16"/>
  <c r="G188" i="16"/>
  <c r="G187" i="16"/>
  <c r="G186" i="16"/>
  <c r="G185" i="16"/>
  <c r="G184" i="16"/>
  <c r="G182" i="16"/>
  <c r="G181" i="16"/>
  <c r="G179" i="16"/>
  <c r="G190" i="16" s="1"/>
  <c r="F179" i="16"/>
  <c r="F190" i="16" s="1"/>
  <c r="E179" i="16"/>
  <c r="E190" i="16" s="1"/>
  <c r="D179" i="16"/>
  <c r="D190" i="16" s="1"/>
  <c r="C179" i="16"/>
  <c r="C190" i="16" s="1"/>
  <c r="F178" i="16"/>
  <c r="E178" i="16"/>
  <c r="D178" i="16"/>
  <c r="G177" i="16"/>
  <c r="G175" i="16"/>
  <c r="F173" i="16"/>
  <c r="E173" i="16"/>
  <c r="D173" i="16"/>
  <c r="G172" i="16"/>
  <c r="G171" i="16"/>
  <c r="G170" i="16"/>
  <c r="G169" i="16"/>
  <c r="G168" i="16"/>
  <c r="G167" i="16"/>
  <c r="G166" i="16"/>
  <c r="G159" i="16"/>
  <c r="G157" i="16"/>
  <c r="G156" i="16"/>
  <c r="G153" i="16"/>
  <c r="G151" i="16"/>
  <c r="G150" i="16"/>
  <c r="G165" i="16" s="1"/>
  <c r="F150" i="16"/>
  <c r="F165" i="16" s="1"/>
  <c r="E150" i="16"/>
  <c r="E165" i="16" s="1"/>
  <c r="D150" i="16"/>
  <c r="D165" i="16" s="1"/>
  <c r="C150" i="16"/>
  <c r="C165" i="16" s="1"/>
  <c r="F149" i="16"/>
  <c r="E147" i="16"/>
  <c r="E149" i="16" s="1"/>
  <c r="D147" i="16"/>
  <c r="C147" i="16"/>
  <c r="D146" i="16"/>
  <c r="D145" i="16"/>
  <c r="D143" i="16"/>
  <c r="G142" i="16"/>
  <c r="G141" i="16"/>
  <c r="G140" i="16"/>
  <c r="G138" i="16"/>
  <c r="F138" i="16"/>
  <c r="E138" i="16"/>
  <c r="D138" i="16"/>
  <c r="C138" i="16"/>
  <c r="G134" i="16"/>
  <c r="G133" i="16"/>
  <c r="G127" i="16"/>
  <c r="C128" i="16"/>
  <c r="F128" i="16"/>
  <c r="D126" i="16"/>
  <c r="D128" i="16" s="1"/>
  <c r="G125" i="16"/>
  <c r="G124" i="16"/>
  <c r="G123" i="16"/>
  <c r="G122" i="16"/>
  <c r="G120" i="16"/>
  <c r="G119" i="16"/>
  <c r="G118" i="16"/>
  <c r="G117" i="16"/>
  <c r="F117" i="16"/>
  <c r="E117" i="16"/>
  <c r="D117" i="16"/>
  <c r="C117" i="16"/>
  <c r="D115" i="16"/>
  <c r="D116" i="16" s="1"/>
  <c r="C115" i="16"/>
  <c r="G114" i="16"/>
  <c r="F113" i="16"/>
  <c r="F116" i="16" s="1"/>
  <c r="G111" i="16"/>
  <c r="G109" i="16"/>
  <c r="G107" i="16"/>
  <c r="G105" i="16"/>
  <c r="J110" i="16" s="1"/>
  <c r="J111" i="16" s="1"/>
  <c r="G104" i="16"/>
  <c r="G103" i="16"/>
  <c r="G101" i="16"/>
  <c r="F101" i="16"/>
  <c r="E101" i="16"/>
  <c r="D101" i="16"/>
  <c r="C101" i="16"/>
  <c r="F97" i="16"/>
  <c r="E97" i="16"/>
  <c r="D97" i="16"/>
  <c r="C97" i="16"/>
  <c r="F96" i="16"/>
  <c r="E96" i="16"/>
  <c r="D96" i="16"/>
  <c r="C96" i="16"/>
  <c r="A96" i="16"/>
  <c r="F95" i="16"/>
  <c r="E95" i="16"/>
  <c r="D95" i="16"/>
  <c r="C95" i="16"/>
  <c r="F94" i="16"/>
  <c r="E94" i="16"/>
  <c r="F93" i="16"/>
  <c r="E93" i="16"/>
  <c r="D93" i="16"/>
  <c r="A93" i="16"/>
  <c r="F92" i="16"/>
  <c r="E92" i="16"/>
  <c r="F91" i="16"/>
  <c r="A91" i="16"/>
  <c r="F90" i="16"/>
  <c r="A90" i="16"/>
  <c r="E89" i="16"/>
  <c r="A89" i="16"/>
  <c r="F88" i="16"/>
  <c r="E88" i="16"/>
  <c r="D88" i="16"/>
  <c r="F87" i="16"/>
  <c r="E87" i="16"/>
  <c r="D87" i="16"/>
  <c r="A87" i="16"/>
  <c r="G84" i="16"/>
  <c r="G97" i="16" s="1"/>
  <c r="G83" i="16"/>
  <c r="G96" i="16" s="1"/>
  <c r="G82" i="16"/>
  <c r="G95" i="16" s="1"/>
  <c r="D94" i="16"/>
  <c r="C81" i="16"/>
  <c r="G81" i="16" s="1"/>
  <c r="G94" i="16" s="1"/>
  <c r="C80" i="16"/>
  <c r="G80" i="16" s="1"/>
  <c r="G93" i="16" s="1"/>
  <c r="D92" i="16"/>
  <c r="C79" i="16"/>
  <c r="G79" i="16" s="1"/>
  <c r="G92" i="16" s="1"/>
  <c r="D78" i="16"/>
  <c r="D91" i="16" s="1"/>
  <c r="C78" i="16"/>
  <c r="C91" i="16" s="1"/>
  <c r="E77" i="16"/>
  <c r="E90" i="16" s="1"/>
  <c r="D77" i="16"/>
  <c r="D90" i="16" s="1"/>
  <c r="C77" i="16"/>
  <c r="C90" i="16" s="1"/>
  <c r="D75" i="16"/>
  <c r="D74" i="16"/>
  <c r="G73" i="16"/>
  <c r="F73" i="16"/>
  <c r="D73" i="16"/>
  <c r="C73" i="16"/>
  <c r="F62" i="16"/>
  <c r="F65" i="16" s="1"/>
  <c r="E62" i="16"/>
  <c r="E65" i="16" s="1"/>
  <c r="D62" i="16"/>
  <c r="D65" i="16" s="1"/>
  <c r="C62" i="16"/>
  <c r="C65" i="16" s="1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F39" i="16"/>
  <c r="F135" i="16" s="1"/>
  <c r="E39" i="16"/>
  <c r="E64" i="16" s="1"/>
  <c r="D39" i="16"/>
  <c r="D64" i="16" s="1"/>
  <c r="C39" i="16"/>
  <c r="C108" i="16" s="1"/>
  <c r="G38" i="16"/>
  <c r="G37" i="16"/>
  <c r="G36" i="16"/>
  <c r="G35" i="16"/>
  <c r="G34" i="16"/>
  <c r="G33" i="16"/>
  <c r="G32" i="16"/>
  <c r="G31" i="16"/>
  <c r="G30" i="16"/>
  <c r="G29" i="16"/>
  <c r="G27" i="16"/>
  <c r="G26" i="16"/>
  <c r="G25" i="16"/>
  <c r="G24" i="16"/>
  <c r="G23" i="16"/>
  <c r="G22" i="16"/>
  <c r="G18" i="16"/>
  <c r="G17" i="16"/>
  <c r="G16" i="16"/>
  <c r="G15" i="16"/>
  <c r="G14" i="16"/>
  <c r="G13" i="16"/>
  <c r="G12" i="16"/>
  <c r="G11" i="16"/>
  <c r="G10" i="16"/>
  <c r="G9" i="16"/>
  <c r="C5" i="16"/>
  <c r="C74" i="16" s="1"/>
  <c r="G7" i="16"/>
  <c r="G6" i="16"/>
  <c r="E152" i="16"/>
  <c r="G3" i="16"/>
  <c r="G2" i="16"/>
  <c r="G201" i="14"/>
  <c r="G199" i="14"/>
  <c r="G183" i="14"/>
  <c r="G177" i="14"/>
  <c r="G176" i="14"/>
  <c r="G167" i="14"/>
  <c r="C128" i="13"/>
  <c r="C128" i="14"/>
  <c r="E128" i="14"/>
  <c r="G112" i="14"/>
  <c r="G111" i="14"/>
  <c r="G106" i="14"/>
  <c r="G105" i="14"/>
  <c r="G104" i="14"/>
  <c r="G220" i="14"/>
  <c r="F220" i="14"/>
  <c r="E220" i="14"/>
  <c r="D220" i="14"/>
  <c r="C220" i="14"/>
  <c r="B220" i="14"/>
  <c r="G215" i="14"/>
  <c r="G214" i="14"/>
  <c r="G213" i="14"/>
  <c r="G212" i="14"/>
  <c r="G211" i="14"/>
  <c r="G210" i="14"/>
  <c r="G209" i="14"/>
  <c r="G208" i="14"/>
  <c r="G207" i="14"/>
  <c r="G206" i="14"/>
  <c r="F202" i="14"/>
  <c r="E202" i="14"/>
  <c r="D202" i="14"/>
  <c r="G200" i="14"/>
  <c r="G198" i="14"/>
  <c r="G195" i="14"/>
  <c r="G194" i="14"/>
  <c r="G193" i="14"/>
  <c r="G192" i="14"/>
  <c r="G191" i="14"/>
  <c r="E189" i="14"/>
  <c r="D189" i="14"/>
  <c r="G188" i="14"/>
  <c r="G187" i="14"/>
  <c r="G186" i="14"/>
  <c r="G185" i="14"/>
  <c r="G184" i="14"/>
  <c r="G182" i="14"/>
  <c r="G181" i="14"/>
  <c r="G179" i="14"/>
  <c r="F179" i="14"/>
  <c r="F190" i="14" s="1"/>
  <c r="E179" i="14"/>
  <c r="E190" i="14" s="1"/>
  <c r="D179" i="14"/>
  <c r="D190" i="14" s="1"/>
  <c r="C179" i="14"/>
  <c r="C190" i="14" s="1"/>
  <c r="F178" i="14"/>
  <c r="E178" i="14"/>
  <c r="D178" i="14"/>
  <c r="G175" i="14"/>
  <c r="F173" i="14"/>
  <c r="E173" i="14"/>
  <c r="D173" i="14"/>
  <c r="G172" i="14"/>
  <c r="G171" i="14"/>
  <c r="G170" i="14"/>
  <c r="G169" i="14"/>
  <c r="G168" i="14"/>
  <c r="G166" i="14"/>
  <c r="G159" i="14"/>
  <c r="G157" i="14"/>
  <c r="G156" i="14"/>
  <c r="G153" i="14"/>
  <c r="G150" i="14"/>
  <c r="F150" i="14"/>
  <c r="F165" i="14" s="1"/>
  <c r="E150" i="14"/>
  <c r="E165" i="14" s="1"/>
  <c r="D150" i="14"/>
  <c r="D165" i="14" s="1"/>
  <c r="C150" i="14"/>
  <c r="C165" i="14" s="1"/>
  <c r="F149" i="14"/>
  <c r="E147" i="14"/>
  <c r="D147" i="14"/>
  <c r="C147" i="14"/>
  <c r="D146" i="14"/>
  <c r="D145" i="14"/>
  <c r="D143" i="14"/>
  <c r="G142" i="14"/>
  <c r="G141" i="14"/>
  <c r="G140" i="14"/>
  <c r="G138" i="14"/>
  <c r="F138" i="14"/>
  <c r="E138" i="14"/>
  <c r="D138" i="14"/>
  <c r="C138" i="14"/>
  <c r="G134" i="14"/>
  <c r="G133" i="14"/>
  <c r="F128" i="14"/>
  <c r="D126" i="14"/>
  <c r="G125" i="14"/>
  <c r="G124" i="14"/>
  <c r="G123" i="14"/>
  <c r="G122" i="14"/>
  <c r="G120" i="14"/>
  <c r="G119" i="14"/>
  <c r="G118" i="14"/>
  <c r="G117" i="14"/>
  <c r="F117" i="14"/>
  <c r="E117" i="14"/>
  <c r="D117" i="14"/>
  <c r="C117" i="14"/>
  <c r="D115" i="14"/>
  <c r="C115" i="14"/>
  <c r="G114" i="14"/>
  <c r="F113" i="14"/>
  <c r="D116" i="14"/>
  <c r="G109" i="14"/>
  <c r="G107" i="14"/>
  <c r="G103" i="14"/>
  <c r="G101" i="14"/>
  <c r="F101" i="14"/>
  <c r="E101" i="14"/>
  <c r="D101" i="14"/>
  <c r="C101" i="14"/>
  <c r="F97" i="14"/>
  <c r="E97" i="14"/>
  <c r="D97" i="14"/>
  <c r="C97" i="14"/>
  <c r="F96" i="14"/>
  <c r="E96" i="14"/>
  <c r="D96" i="14"/>
  <c r="C96" i="14"/>
  <c r="A96" i="14"/>
  <c r="F95" i="14"/>
  <c r="E95" i="14"/>
  <c r="D95" i="14"/>
  <c r="C95" i="14"/>
  <c r="F94" i="14"/>
  <c r="E94" i="14"/>
  <c r="F93" i="14"/>
  <c r="E93" i="14"/>
  <c r="A93" i="14"/>
  <c r="F92" i="14"/>
  <c r="E92" i="14"/>
  <c r="F91" i="14"/>
  <c r="A91" i="14"/>
  <c r="F90" i="14"/>
  <c r="A90" i="14"/>
  <c r="E89" i="14"/>
  <c r="A89" i="14"/>
  <c r="F88" i="14"/>
  <c r="E88" i="14"/>
  <c r="D88" i="14"/>
  <c r="F87" i="14"/>
  <c r="E87" i="14"/>
  <c r="D87" i="14"/>
  <c r="A87" i="14"/>
  <c r="G84" i="14"/>
  <c r="G83" i="14"/>
  <c r="G82" i="14"/>
  <c r="D94" i="14"/>
  <c r="C81" i="14"/>
  <c r="D93" i="14"/>
  <c r="C80" i="14"/>
  <c r="D92" i="14"/>
  <c r="C79" i="14"/>
  <c r="D78" i="14"/>
  <c r="C78" i="14"/>
  <c r="E77" i="14"/>
  <c r="D77" i="14"/>
  <c r="C77" i="14"/>
  <c r="D75" i="14"/>
  <c r="D74" i="14"/>
  <c r="G73" i="14"/>
  <c r="F73" i="14"/>
  <c r="D73" i="14"/>
  <c r="C73" i="14"/>
  <c r="F62" i="14"/>
  <c r="F65" i="14" s="1"/>
  <c r="E62" i="14"/>
  <c r="E65" i="14" s="1"/>
  <c r="D62" i="14"/>
  <c r="D65" i="14" s="1"/>
  <c r="C62" i="14"/>
  <c r="C65" i="14" s="1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F39" i="14"/>
  <c r="F135" i="14" s="1"/>
  <c r="E39" i="14"/>
  <c r="E135" i="14" s="1"/>
  <c r="D39" i="14"/>
  <c r="D64" i="14" s="1"/>
  <c r="C39" i="14"/>
  <c r="C108" i="14" s="1"/>
  <c r="G38" i="14"/>
  <c r="G37" i="14"/>
  <c r="G36" i="14"/>
  <c r="G35" i="14"/>
  <c r="G34" i="14"/>
  <c r="G33" i="14"/>
  <c r="G32" i="14"/>
  <c r="G31" i="14"/>
  <c r="G30" i="14"/>
  <c r="G29" i="14"/>
  <c r="G27" i="14"/>
  <c r="G26" i="14"/>
  <c r="G25" i="14"/>
  <c r="G24" i="14"/>
  <c r="G23" i="14"/>
  <c r="G22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3" i="14"/>
  <c r="G2" i="14"/>
  <c r="G172" i="13"/>
  <c r="G114" i="13"/>
  <c r="E116" i="13"/>
  <c r="G112" i="13"/>
  <c r="G220" i="13"/>
  <c r="F220" i="13"/>
  <c r="E220" i="13"/>
  <c r="D220" i="13"/>
  <c r="C220" i="13"/>
  <c r="B220" i="13"/>
  <c r="G215" i="13"/>
  <c r="G214" i="13"/>
  <c r="G213" i="13"/>
  <c r="G212" i="13"/>
  <c r="G211" i="13"/>
  <c r="G210" i="13"/>
  <c r="G209" i="13"/>
  <c r="G208" i="13"/>
  <c r="G207" i="13"/>
  <c r="G206" i="13"/>
  <c r="F202" i="13"/>
  <c r="E202" i="13"/>
  <c r="D202" i="13"/>
  <c r="G200" i="13"/>
  <c r="G199" i="13"/>
  <c r="G198" i="13"/>
  <c r="G196" i="13"/>
  <c r="G195" i="13"/>
  <c r="G194" i="13"/>
  <c r="G193" i="13"/>
  <c r="G192" i="13"/>
  <c r="G191" i="13"/>
  <c r="E189" i="13"/>
  <c r="D189" i="13"/>
  <c r="G188" i="13"/>
  <c r="G187" i="13"/>
  <c r="G186" i="13"/>
  <c r="G185" i="13"/>
  <c r="G184" i="13"/>
  <c r="G183" i="13"/>
  <c r="G182" i="13"/>
  <c r="G181" i="13"/>
  <c r="G179" i="13"/>
  <c r="G190" i="13" s="1"/>
  <c r="F179" i="13"/>
  <c r="F190" i="13" s="1"/>
  <c r="E179" i="13"/>
  <c r="E190" i="13" s="1"/>
  <c r="D179" i="13"/>
  <c r="D190" i="13" s="1"/>
  <c r="C179" i="13"/>
  <c r="C190" i="13" s="1"/>
  <c r="F178" i="13"/>
  <c r="E178" i="13"/>
  <c r="D178" i="13"/>
  <c r="C178" i="13"/>
  <c r="G176" i="13"/>
  <c r="G175" i="13"/>
  <c r="F173" i="13"/>
  <c r="E173" i="13"/>
  <c r="D173" i="13"/>
  <c r="G171" i="13"/>
  <c r="G170" i="13"/>
  <c r="G169" i="13"/>
  <c r="G168" i="13"/>
  <c r="G167" i="13"/>
  <c r="G159" i="13"/>
  <c r="G157" i="13"/>
  <c r="G156" i="13"/>
  <c r="G153" i="13"/>
  <c r="G151" i="13"/>
  <c r="G150" i="13"/>
  <c r="G165" i="13" s="1"/>
  <c r="F150" i="13"/>
  <c r="F165" i="13" s="1"/>
  <c r="E150" i="13"/>
  <c r="E165" i="13" s="1"/>
  <c r="D150" i="13"/>
  <c r="D165" i="13" s="1"/>
  <c r="C150" i="13"/>
  <c r="C165" i="13" s="1"/>
  <c r="F149" i="13"/>
  <c r="E147" i="13"/>
  <c r="E149" i="13" s="1"/>
  <c r="D147" i="13"/>
  <c r="C147" i="13"/>
  <c r="D146" i="13"/>
  <c r="D145" i="13"/>
  <c r="D143" i="13"/>
  <c r="G142" i="13"/>
  <c r="G141" i="13"/>
  <c r="G140" i="13"/>
  <c r="G138" i="13"/>
  <c r="F138" i="13"/>
  <c r="E138" i="13"/>
  <c r="D138" i="13"/>
  <c r="C138" i="13"/>
  <c r="G134" i="13"/>
  <c r="G133" i="13"/>
  <c r="E128" i="13"/>
  <c r="D126" i="13"/>
  <c r="D128" i="13" s="1"/>
  <c r="G125" i="13"/>
  <c r="G123" i="13"/>
  <c r="G122" i="13"/>
  <c r="G121" i="13"/>
  <c r="G120" i="13"/>
  <c r="G119" i="13"/>
  <c r="G118" i="13"/>
  <c r="G117" i="13"/>
  <c r="F117" i="13"/>
  <c r="E117" i="13"/>
  <c r="D117" i="13"/>
  <c r="C117" i="13"/>
  <c r="D115" i="13"/>
  <c r="D116" i="13" s="1"/>
  <c r="F113" i="13"/>
  <c r="F116" i="13" s="1"/>
  <c r="G111" i="13"/>
  <c r="G109" i="13"/>
  <c r="G107" i="13"/>
  <c r="G106" i="13"/>
  <c r="G105" i="13"/>
  <c r="G104" i="13"/>
  <c r="G103" i="13"/>
  <c r="G101" i="13"/>
  <c r="F101" i="13"/>
  <c r="E101" i="13"/>
  <c r="D101" i="13"/>
  <c r="C101" i="13"/>
  <c r="F97" i="13"/>
  <c r="E97" i="13"/>
  <c r="D97" i="13"/>
  <c r="C97" i="13"/>
  <c r="F96" i="13"/>
  <c r="E96" i="13"/>
  <c r="D96" i="13"/>
  <c r="C96" i="13"/>
  <c r="A96" i="13"/>
  <c r="F95" i="13"/>
  <c r="E95" i="13"/>
  <c r="D95" i="13"/>
  <c r="C95" i="13"/>
  <c r="F94" i="13"/>
  <c r="E94" i="13"/>
  <c r="F93" i="13"/>
  <c r="E93" i="13"/>
  <c r="A93" i="13"/>
  <c r="F92" i="13"/>
  <c r="E92" i="13"/>
  <c r="F91" i="13"/>
  <c r="A91" i="13"/>
  <c r="F90" i="13"/>
  <c r="A90" i="13"/>
  <c r="E89" i="13"/>
  <c r="A89" i="13"/>
  <c r="F88" i="13"/>
  <c r="E88" i="13"/>
  <c r="D88" i="13"/>
  <c r="F87" i="13"/>
  <c r="E87" i="13"/>
  <c r="D87" i="13"/>
  <c r="A87" i="13"/>
  <c r="G84" i="13"/>
  <c r="G97" i="13" s="1"/>
  <c r="G83" i="13"/>
  <c r="G96" i="13" s="1"/>
  <c r="G82" i="13"/>
  <c r="G95" i="13" s="1"/>
  <c r="C81" i="13"/>
  <c r="C94" i="13" s="1"/>
  <c r="D93" i="13"/>
  <c r="C80" i="13"/>
  <c r="C93" i="13" s="1"/>
  <c r="D92" i="13"/>
  <c r="C79" i="13"/>
  <c r="C92" i="13" s="1"/>
  <c r="E91" i="13"/>
  <c r="D78" i="13"/>
  <c r="D91" i="13" s="1"/>
  <c r="C78" i="13"/>
  <c r="C91" i="13" s="1"/>
  <c r="E77" i="13"/>
  <c r="E90" i="13" s="1"/>
  <c r="D77" i="13"/>
  <c r="D90" i="13" s="1"/>
  <c r="C77" i="13"/>
  <c r="C90" i="13" s="1"/>
  <c r="D75" i="13"/>
  <c r="D74" i="13"/>
  <c r="G73" i="13"/>
  <c r="F73" i="13"/>
  <c r="D73" i="13"/>
  <c r="C73" i="13"/>
  <c r="F62" i="13"/>
  <c r="F65" i="13" s="1"/>
  <c r="E62" i="13"/>
  <c r="E65" i="13" s="1"/>
  <c r="D62" i="13"/>
  <c r="D65" i="13" s="1"/>
  <c r="C62" i="13"/>
  <c r="C65" i="13" s="1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F39" i="13"/>
  <c r="F64" i="13" s="1"/>
  <c r="F66" i="13" s="1"/>
  <c r="F132" i="13" s="1"/>
  <c r="E39" i="13"/>
  <c r="E64" i="13" s="1"/>
  <c r="D39" i="13"/>
  <c r="D64" i="13" s="1"/>
  <c r="C39" i="13"/>
  <c r="C108" i="13" s="1"/>
  <c r="G38" i="13"/>
  <c r="G37" i="13"/>
  <c r="G36" i="13"/>
  <c r="G35" i="13"/>
  <c r="G34" i="13"/>
  <c r="G33" i="13"/>
  <c r="G32" i="13"/>
  <c r="G31" i="13"/>
  <c r="G30" i="13"/>
  <c r="G29" i="13"/>
  <c r="G27" i="13"/>
  <c r="G26" i="13"/>
  <c r="G25" i="13"/>
  <c r="G24" i="13"/>
  <c r="G23" i="13"/>
  <c r="G22" i="13"/>
  <c r="C19" i="13"/>
  <c r="E152" i="13" s="1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3" i="13"/>
  <c r="G2" i="13"/>
  <c r="D62" i="10"/>
  <c r="E62" i="10"/>
  <c r="F62" i="10"/>
  <c r="C6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42" i="10"/>
  <c r="G77" i="17" l="1"/>
  <c r="G90" i="17" s="1"/>
  <c r="G115" i="17"/>
  <c r="D149" i="17"/>
  <c r="G147" i="16"/>
  <c r="C197" i="17"/>
  <c r="G197" i="17" s="1"/>
  <c r="G147" i="17"/>
  <c r="F64" i="17"/>
  <c r="F66" i="17" s="1"/>
  <c r="F132" i="17" s="1"/>
  <c r="F128" i="17"/>
  <c r="F129" i="17" s="1"/>
  <c r="G78" i="13"/>
  <c r="G91" i="13" s="1"/>
  <c r="G81" i="13"/>
  <c r="G94" i="13" s="1"/>
  <c r="F180" i="13"/>
  <c r="F189" i="13" s="1"/>
  <c r="C197" i="13"/>
  <c r="G197" i="13" s="1"/>
  <c r="F135" i="13"/>
  <c r="D149" i="13"/>
  <c r="C64" i="16"/>
  <c r="G115" i="16"/>
  <c r="G121" i="16"/>
  <c r="E121" i="15"/>
  <c r="G121" i="15" s="1"/>
  <c r="C92" i="16"/>
  <c r="D149" i="16"/>
  <c r="C197" i="16"/>
  <c r="C202" i="16" s="1"/>
  <c r="G115" i="14"/>
  <c r="G95" i="14"/>
  <c r="G190" i="14"/>
  <c r="C92" i="14"/>
  <c r="G77" i="14"/>
  <c r="C93" i="14"/>
  <c r="D149" i="14"/>
  <c r="G39" i="14"/>
  <c r="G64" i="14" s="1"/>
  <c r="D90" i="14"/>
  <c r="G97" i="14"/>
  <c r="F116" i="14"/>
  <c r="F129" i="14" s="1"/>
  <c r="G165" i="14"/>
  <c r="E90" i="14"/>
  <c r="C94" i="14"/>
  <c r="G151" i="14"/>
  <c r="C151" i="15"/>
  <c r="G151" i="15" s="1"/>
  <c r="G126" i="14"/>
  <c r="D91" i="14"/>
  <c r="E91" i="14"/>
  <c r="G96" i="14"/>
  <c r="D128" i="14"/>
  <c r="D129" i="14" s="1"/>
  <c r="E149" i="14"/>
  <c r="D66" i="16"/>
  <c r="D132" i="16" s="1"/>
  <c r="G126" i="16"/>
  <c r="G128" i="16" s="1"/>
  <c r="E66" i="16"/>
  <c r="E132" i="16" s="1"/>
  <c r="G112" i="16"/>
  <c r="F128" i="13"/>
  <c r="F129" i="13" s="1"/>
  <c r="G126" i="13"/>
  <c r="E66" i="13"/>
  <c r="E132" i="13" s="1"/>
  <c r="G115" i="13"/>
  <c r="C64" i="13"/>
  <c r="G108" i="13"/>
  <c r="G39" i="13"/>
  <c r="G64" i="13" s="1"/>
  <c r="G147" i="14"/>
  <c r="G78" i="14"/>
  <c r="G62" i="10"/>
  <c r="G201" i="15"/>
  <c r="I148" i="15"/>
  <c r="G62" i="14"/>
  <c r="G65" i="14" s="1"/>
  <c r="G113" i="14"/>
  <c r="G62" i="13"/>
  <c r="G65" i="13" s="1"/>
  <c r="G66" i="13" s="1"/>
  <c r="D66" i="13"/>
  <c r="D132" i="13" s="1"/>
  <c r="G199" i="15"/>
  <c r="G195" i="15"/>
  <c r="G193" i="15"/>
  <c r="G191" i="15"/>
  <c r="G207" i="17"/>
  <c r="G175" i="17"/>
  <c r="G178" i="17" s="1"/>
  <c r="C173" i="17"/>
  <c r="D128" i="17"/>
  <c r="D129" i="17" s="1"/>
  <c r="D130" i="17" s="1"/>
  <c r="G128" i="17"/>
  <c r="E116" i="17"/>
  <c r="G112" i="17"/>
  <c r="D66" i="17"/>
  <c r="D132" i="17" s="1"/>
  <c r="G113" i="17"/>
  <c r="G62" i="17"/>
  <c r="G65" i="17" s="1"/>
  <c r="G39" i="17"/>
  <c r="G64" i="17" s="1"/>
  <c r="E64" i="17"/>
  <c r="E66" i="17" s="1"/>
  <c r="E132" i="17" s="1"/>
  <c r="G80" i="17"/>
  <c r="G93" i="17" s="1"/>
  <c r="C5" i="17"/>
  <c r="F155" i="17"/>
  <c r="C144" i="17"/>
  <c r="G144" i="17" s="1"/>
  <c r="C139" i="17"/>
  <c r="C76" i="17"/>
  <c r="F180" i="17"/>
  <c r="F189" i="17" s="1"/>
  <c r="D76" i="17"/>
  <c r="D89" i="17" s="1"/>
  <c r="C180" i="17"/>
  <c r="G19" i="17"/>
  <c r="C146" i="17"/>
  <c r="G146" i="17" s="1"/>
  <c r="C143" i="17"/>
  <c r="G143" i="17" s="1"/>
  <c r="C154" i="17"/>
  <c r="C158" i="17"/>
  <c r="G158" i="17" s="1"/>
  <c r="C145" i="17"/>
  <c r="G145" i="17" s="1"/>
  <c r="F76" i="17"/>
  <c r="G108" i="17"/>
  <c r="C116" i="17"/>
  <c r="C129" i="17" s="1"/>
  <c r="C131" i="17" s="1"/>
  <c r="C64" i="17"/>
  <c r="C66" i="17" s="1"/>
  <c r="C132" i="17" s="1"/>
  <c r="G110" i="17"/>
  <c r="G167" i="17"/>
  <c r="G173" i="17" s="1"/>
  <c r="G196" i="17"/>
  <c r="G6" i="17"/>
  <c r="G81" i="17"/>
  <c r="G94" i="17" s="1"/>
  <c r="C90" i="17"/>
  <c r="E128" i="17"/>
  <c r="G78" i="17"/>
  <c r="G91" i="17" s="1"/>
  <c r="C135" i="17"/>
  <c r="G135" i="17" s="1"/>
  <c r="G79" i="17"/>
  <c r="G92" i="17" s="1"/>
  <c r="G178" i="16"/>
  <c r="D129" i="16"/>
  <c r="D131" i="16" s="1"/>
  <c r="G108" i="16"/>
  <c r="G62" i="16"/>
  <c r="G65" i="16" s="1"/>
  <c r="G113" i="16"/>
  <c r="E116" i="16"/>
  <c r="C66" i="16"/>
  <c r="C132" i="16" s="1"/>
  <c r="E135" i="16"/>
  <c r="G39" i="16"/>
  <c r="G64" i="16" s="1"/>
  <c r="G77" i="16"/>
  <c r="G90" i="16" s="1"/>
  <c r="C144" i="16"/>
  <c r="G144" i="16" s="1"/>
  <c r="C139" i="16"/>
  <c r="D76" i="16"/>
  <c r="D89" i="16" s="1"/>
  <c r="G19" i="16"/>
  <c r="F180" i="16"/>
  <c r="F189" i="16" s="1"/>
  <c r="C76" i="16"/>
  <c r="C180" i="16"/>
  <c r="C146" i="16"/>
  <c r="G146" i="16" s="1"/>
  <c r="C143" i="16"/>
  <c r="G143" i="16" s="1"/>
  <c r="C158" i="16"/>
  <c r="G158" i="16" s="1"/>
  <c r="C154" i="16"/>
  <c r="G154" i="16" s="1"/>
  <c r="C145" i="16"/>
  <c r="G145" i="16" s="1"/>
  <c r="F76" i="16"/>
  <c r="F129" i="16"/>
  <c r="C88" i="16"/>
  <c r="C75" i="16"/>
  <c r="G75" i="16" s="1"/>
  <c r="C87" i="16"/>
  <c r="G5" i="16"/>
  <c r="G88" i="16" s="1"/>
  <c r="G173" i="16"/>
  <c r="C94" i="16"/>
  <c r="C116" i="16"/>
  <c r="C129" i="16" s="1"/>
  <c r="C131" i="16" s="1"/>
  <c r="C173" i="16"/>
  <c r="G78" i="16"/>
  <c r="G91" i="16" s="1"/>
  <c r="G110" i="16"/>
  <c r="G196" i="16"/>
  <c r="E91" i="16"/>
  <c r="F64" i="16"/>
  <c r="F66" i="16" s="1"/>
  <c r="F132" i="16" s="1"/>
  <c r="C93" i="16"/>
  <c r="E128" i="16"/>
  <c r="C178" i="16"/>
  <c r="C135" i="16"/>
  <c r="G8" i="16"/>
  <c r="G127" i="13"/>
  <c r="G121" i="14"/>
  <c r="G108" i="14"/>
  <c r="D66" i="14"/>
  <c r="D132" i="14" s="1"/>
  <c r="E116" i="14"/>
  <c r="E129" i="14" s="1"/>
  <c r="E131" i="14" s="1"/>
  <c r="G110" i="14"/>
  <c r="G79" i="14"/>
  <c r="G92" i="14" s="1"/>
  <c r="G178" i="14"/>
  <c r="G173" i="14"/>
  <c r="C116" i="14"/>
  <c r="C129" i="14" s="1"/>
  <c r="C131" i="14" s="1"/>
  <c r="C19" i="14"/>
  <c r="E152" i="14" s="1"/>
  <c r="G80" i="14"/>
  <c r="G93" i="14" s="1"/>
  <c r="G127" i="14"/>
  <c r="C173" i="14"/>
  <c r="C64" i="14"/>
  <c r="C66" i="14" s="1"/>
  <c r="C132" i="14" s="1"/>
  <c r="C91" i="14"/>
  <c r="G196" i="14"/>
  <c r="E64" i="14"/>
  <c r="E66" i="14" s="1"/>
  <c r="E132" i="14" s="1"/>
  <c r="G81" i="14"/>
  <c r="G94" i="14" s="1"/>
  <c r="C90" i="14"/>
  <c r="C178" i="14"/>
  <c r="C5" i="14"/>
  <c r="C74" i="14" s="1"/>
  <c r="F64" i="14"/>
  <c r="F66" i="14" s="1"/>
  <c r="F132" i="14" s="1"/>
  <c r="C135" i="14"/>
  <c r="E129" i="13"/>
  <c r="E130" i="13" s="1"/>
  <c r="C173" i="13"/>
  <c r="C116" i="13"/>
  <c r="C129" i="13" s="1"/>
  <c r="C131" i="13" s="1"/>
  <c r="C66" i="13"/>
  <c r="C132" i="13" s="1"/>
  <c r="G113" i="13"/>
  <c r="G79" i="13"/>
  <c r="F155" i="13"/>
  <c r="D129" i="13"/>
  <c r="D131" i="13" s="1"/>
  <c r="C145" i="13"/>
  <c r="G145" i="13" s="1"/>
  <c r="G77" i="13"/>
  <c r="G90" i="13" s="1"/>
  <c r="D94" i="13"/>
  <c r="G110" i="13"/>
  <c r="G124" i="13"/>
  <c r="G147" i="13"/>
  <c r="C154" i="13"/>
  <c r="G154" i="13" s="1"/>
  <c r="G177" i="13"/>
  <c r="G178" i="13" s="1"/>
  <c r="G201" i="13"/>
  <c r="C76" i="13"/>
  <c r="C158" i="13"/>
  <c r="G158" i="13" s="1"/>
  <c r="C5" i="13"/>
  <c r="C74" i="13" s="1"/>
  <c r="G19" i="13"/>
  <c r="D76" i="13"/>
  <c r="D89" i="13" s="1"/>
  <c r="G80" i="13"/>
  <c r="C135" i="13"/>
  <c r="C143" i="13"/>
  <c r="G143" i="13" s="1"/>
  <c r="C146" i="13"/>
  <c r="G146" i="13" s="1"/>
  <c r="F76" i="13"/>
  <c r="E135" i="13"/>
  <c r="C180" i="13"/>
  <c r="C139" i="13"/>
  <c r="C144" i="13"/>
  <c r="G144" i="13" s="1"/>
  <c r="G166" i="13"/>
  <c r="G173" i="13" s="1"/>
  <c r="G66" i="14" l="1"/>
  <c r="D155" i="16"/>
  <c r="C88" i="17"/>
  <c r="C74" i="17"/>
  <c r="G197" i="16"/>
  <c r="G202" i="16" s="1"/>
  <c r="C202" i="17"/>
  <c r="C202" i="13"/>
  <c r="F130" i="17"/>
  <c r="F131" i="17"/>
  <c r="G202" i="17"/>
  <c r="D131" i="14"/>
  <c r="D130" i="14"/>
  <c r="G135" i="14"/>
  <c r="G90" i="14"/>
  <c r="C197" i="14"/>
  <c r="G91" i="14"/>
  <c r="G93" i="13"/>
  <c r="G92" i="13"/>
  <c r="E155" i="16"/>
  <c r="E85" i="16" s="1"/>
  <c r="E98" i="16" s="1"/>
  <c r="E129" i="16"/>
  <c r="E130" i="16" s="1"/>
  <c r="G66" i="16"/>
  <c r="C155" i="16"/>
  <c r="C85" i="16" s="1"/>
  <c r="C86" i="16" s="1"/>
  <c r="E155" i="17"/>
  <c r="E85" i="17" s="1"/>
  <c r="E86" i="17" s="1"/>
  <c r="G202" i="13"/>
  <c r="G128" i="13"/>
  <c r="F130" i="13"/>
  <c r="F131" i="13"/>
  <c r="F164" i="13"/>
  <c r="F85" i="13"/>
  <c r="E155" i="13"/>
  <c r="E85" i="13" s="1"/>
  <c r="E98" i="13" s="1"/>
  <c r="D155" i="13"/>
  <c r="D164" i="13" s="1"/>
  <c r="E131" i="13"/>
  <c r="D131" i="17"/>
  <c r="D155" i="17"/>
  <c r="D164" i="17" s="1"/>
  <c r="G116" i="14"/>
  <c r="C155" i="13"/>
  <c r="E129" i="17"/>
  <c r="E131" i="17" s="1"/>
  <c r="G66" i="17"/>
  <c r="C87" i="17"/>
  <c r="C162" i="17" s="1"/>
  <c r="G162" i="17" s="1"/>
  <c r="G5" i="17"/>
  <c r="G88" i="17" s="1"/>
  <c r="C75" i="17"/>
  <c r="G75" i="17" s="1"/>
  <c r="G74" i="17"/>
  <c r="G76" i="17"/>
  <c r="G89" i="17" s="1"/>
  <c r="C89" i="17"/>
  <c r="G152" i="17"/>
  <c r="C149" i="17"/>
  <c r="G139" i="17"/>
  <c r="G149" i="17" s="1"/>
  <c r="C130" i="17"/>
  <c r="G154" i="17"/>
  <c r="G180" i="17"/>
  <c r="G189" i="17" s="1"/>
  <c r="C189" i="17"/>
  <c r="C155" i="17"/>
  <c r="G116" i="17"/>
  <c r="G129" i="17" s="1"/>
  <c r="G69" i="17" s="1"/>
  <c r="F89" i="17"/>
  <c r="F164" i="17"/>
  <c r="F85" i="17"/>
  <c r="F98" i="17" s="1"/>
  <c r="D130" i="16"/>
  <c r="D136" i="16" s="1"/>
  <c r="D137" i="16" s="1"/>
  <c r="G116" i="16"/>
  <c r="G129" i="16" s="1"/>
  <c r="G135" i="16"/>
  <c r="F89" i="16"/>
  <c r="G74" i="16"/>
  <c r="C149" i="16"/>
  <c r="G139" i="16"/>
  <c r="G149" i="16" s="1"/>
  <c r="C89" i="16"/>
  <c r="G76" i="16"/>
  <c r="G89" i="16" s="1"/>
  <c r="F155" i="16"/>
  <c r="C160" i="16"/>
  <c r="G160" i="16" s="1"/>
  <c r="C162" i="16"/>
  <c r="G162" i="16" s="1"/>
  <c r="C161" i="16"/>
  <c r="G161" i="16" s="1"/>
  <c r="C130" i="16"/>
  <c r="G87" i="16"/>
  <c r="G132" i="16"/>
  <c r="D85" i="16"/>
  <c r="D98" i="16" s="1"/>
  <c r="D99" i="16" s="1"/>
  <c r="D164" i="16"/>
  <c r="G152" i="16"/>
  <c r="F130" i="16"/>
  <c r="F131" i="16"/>
  <c r="G180" i="16"/>
  <c r="G189" i="16" s="1"/>
  <c r="C189" i="16"/>
  <c r="G128" i="14"/>
  <c r="D155" i="14"/>
  <c r="D164" i="14" s="1"/>
  <c r="E130" i="14"/>
  <c r="E136" i="14" s="1"/>
  <c r="E137" i="14" s="1"/>
  <c r="C88" i="14"/>
  <c r="C75" i="14"/>
  <c r="C87" i="14"/>
  <c r="G5" i="14"/>
  <c r="F130" i="14"/>
  <c r="F131" i="14"/>
  <c r="C155" i="14"/>
  <c r="C130" i="14"/>
  <c r="E155" i="14"/>
  <c r="E85" i="14" s="1"/>
  <c r="F180" i="14"/>
  <c r="C180" i="14"/>
  <c r="G19" i="14"/>
  <c r="D76" i="14"/>
  <c r="C76" i="14"/>
  <c r="C146" i="14"/>
  <c r="C143" i="14"/>
  <c r="C154" i="14"/>
  <c r="C144" i="14"/>
  <c r="C158" i="14"/>
  <c r="C145" i="14"/>
  <c r="F76" i="14"/>
  <c r="C139" i="14"/>
  <c r="F155" i="14"/>
  <c r="G116" i="13"/>
  <c r="C130" i="13"/>
  <c r="C136" i="13" s="1"/>
  <c r="C137" i="13" s="1"/>
  <c r="C88" i="13"/>
  <c r="C75" i="13"/>
  <c r="G75" i="13" s="1"/>
  <c r="G5" i="13"/>
  <c r="C87" i="13"/>
  <c r="F89" i="13"/>
  <c r="F86" i="13"/>
  <c r="G152" i="13"/>
  <c r="G132" i="13"/>
  <c r="G139" i="13"/>
  <c r="G149" i="13" s="1"/>
  <c r="C149" i="13"/>
  <c r="G76" i="13"/>
  <c r="C89" i="13"/>
  <c r="G135" i="13"/>
  <c r="G180" i="13"/>
  <c r="C189" i="13"/>
  <c r="D130" i="13"/>
  <c r="E164" i="13" l="1"/>
  <c r="F136" i="17"/>
  <c r="F137" i="17" s="1"/>
  <c r="G129" i="13"/>
  <c r="G69" i="13" s="1"/>
  <c r="F99" i="17"/>
  <c r="F86" i="17"/>
  <c r="E86" i="13"/>
  <c r="D136" i="14"/>
  <c r="D137" i="14" s="1"/>
  <c r="D204" i="14" s="1"/>
  <c r="G69" i="16"/>
  <c r="J129" i="16"/>
  <c r="E86" i="16"/>
  <c r="E164" i="16"/>
  <c r="G145" i="14"/>
  <c r="G144" i="14"/>
  <c r="G146" i="14"/>
  <c r="G158" i="14"/>
  <c r="G75" i="14"/>
  <c r="G143" i="14"/>
  <c r="C85" i="13"/>
  <c r="F189" i="14"/>
  <c r="G189" i="13"/>
  <c r="G89" i="13"/>
  <c r="D86" i="16"/>
  <c r="E131" i="16"/>
  <c r="G131" i="16" s="1"/>
  <c r="J131" i="16" s="1"/>
  <c r="E164" i="17"/>
  <c r="E98" i="17"/>
  <c r="G131" i="13"/>
  <c r="F136" i="13"/>
  <c r="F137" i="13" s="1"/>
  <c r="F204" i="13" s="1"/>
  <c r="F217" i="13" s="1"/>
  <c r="F218" i="13" s="1"/>
  <c r="E136" i="13"/>
  <c r="E137" i="13" s="1"/>
  <c r="E204" i="13" s="1"/>
  <c r="F98" i="13"/>
  <c r="F99" i="13" s="1"/>
  <c r="D85" i="17"/>
  <c r="D98" i="17" s="1"/>
  <c r="D99" i="17" s="1"/>
  <c r="D136" i="17"/>
  <c r="D137" i="17" s="1"/>
  <c r="D204" i="17" s="1"/>
  <c r="G155" i="13"/>
  <c r="D85" i="13"/>
  <c r="G129" i="14"/>
  <c r="G70" i="14" s="1"/>
  <c r="D85" i="14"/>
  <c r="D98" i="14" s="1"/>
  <c r="D98" i="13"/>
  <c r="D99" i="13" s="1"/>
  <c r="D86" i="13"/>
  <c r="C98" i="13"/>
  <c r="C99" i="13" s="1"/>
  <c r="G131" i="17"/>
  <c r="E130" i="17"/>
  <c r="E136" i="17" s="1"/>
  <c r="E137" i="17" s="1"/>
  <c r="G132" i="17"/>
  <c r="C161" i="17"/>
  <c r="G161" i="17" s="1"/>
  <c r="C160" i="17"/>
  <c r="G160" i="17" s="1"/>
  <c r="G87" i="17"/>
  <c r="H19" i="17" s="1"/>
  <c r="I19" i="17" s="1"/>
  <c r="G70" i="17"/>
  <c r="C85" i="17"/>
  <c r="G155" i="17"/>
  <c r="C136" i="17"/>
  <c r="C137" i="17" s="1"/>
  <c r="F204" i="17"/>
  <c r="G70" i="16"/>
  <c r="H19" i="16"/>
  <c r="I19" i="16" s="1"/>
  <c r="C164" i="16"/>
  <c r="F136" i="16"/>
  <c r="F137" i="16" s="1"/>
  <c r="F164" i="16"/>
  <c r="F85" i="16"/>
  <c r="G85" i="16" s="1"/>
  <c r="G98" i="16" s="1"/>
  <c r="G99" i="16" s="1"/>
  <c r="D204" i="16"/>
  <c r="G130" i="16"/>
  <c r="C136" i="16"/>
  <c r="C137" i="16" s="1"/>
  <c r="G155" i="16"/>
  <c r="G164" i="16" s="1"/>
  <c r="C98" i="16"/>
  <c r="C99" i="16" s="1"/>
  <c r="G132" i="14"/>
  <c r="G74" i="14"/>
  <c r="E98" i="14"/>
  <c r="E86" i="14"/>
  <c r="G131" i="14"/>
  <c r="G87" i="14"/>
  <c r="G88" i="14"/>
  <c r="E164" i="14"/>
  <c r="E204" i="14" s="1"/>
  <c r="G152" i="14"/>
  <c r="D89" i="14"/>
  <c r="F136" i="14"/>
  <c r="F137" i="14" s="1"/>
  <c r="G154" i="14"/>
  <c r="G180" i="14"/>
  <c r="G189" i="14" s="1"/>
  <c r="C189" i="14"/>
  <c r="C136" i="14"/>
  <c r="C137" i="14" s="1"/>
  <c r="G130" i="14"/>
  <c r="C160" i="14"/>
  <c r="G160" i="14" s="1"/>
  <c r="C162" i="14"/>
  <c r="G162" i="14" s="1"/>
  <c r="C161" i="14"/>
  <c r="G161" i="14" s="1"/>
  <c r="C149" i="14"/>
  <c r="G139" i="14"/>
  <c r="F89" i="14"/>
  <c r="G197" i="14"/>
  <c r="C202" i="14"/>
  <c r="F85" i="14"/>
  <c r="F164" i="14"/>
  <c r="C85" i="14"/>
  <c r="C86" i="14" s="1"/>
  <c r="G155" i="14"/>
  <c r="G76" i="14"/>
  <c r="G89" i="14" s="1"/>
  <c r="C89" i="14"/>
  <c r="G70" i="13"/>
  <c r="G130" i="13"/>
  <c r="G136" i="13" s="1"/>
  <c r="G137" i="13" s="1"/>
  <c r="G87" i="13"/>
  <c r="G88" i="13"/>
  <c r="D136" i="13"/>
  <c r="D137" i="13" s="1"/>
  <c r="D204" i="13" s="1"/>
  <c r="C161" i="13"/>
  <c r="G161" i="13" s="1"/>
  <c r="C160" i="13"/>
  <c r="C162" i="13"/>
  <c r="G162" i="13" s="1"/>
  <c r="G74" i="13"/>
  <c r="C86" i="13"/>
  <c r="E217" i="13" l="1"/>
  <c r="E218" i="13" s="1"/>
  <c r="F217" i="17"/>
  <c r="F218" i="17" s="1"/>
  <c r="G85" i="13"/>
  <c r="G98" i="13" s="1"/>
  <c r="F98" i="14"/>
  <c r="G202" i="14"/>
  <c r="F86" i="14"/>
  <c r="G149" i="14"/>
  <c r="E136" i="16"/>
  <c r="E137" i="16" s="1"/>
  <c r="E204" i="16" s="1"/>
  <c r="E217" i="16" s="1"/>
  <c r="E218" i="16" s="1"/>
  <c r="E204" i="17"/>
  <c r="E217" i="17" s="1"/>
  <c r="E218" i="17" s="1"/>
  <c r="G69" i="14"/>
  <c r="D86" i="17"/>
  <c r="C164" i="14"/>
  <c r="C204" i="14" s="1"/>
  <c r="D86" i="14"/>
  <c r="D99" i="14"/>
  <c r="G86" i="13"/>
  <c r="G130" i="17"/>
  <c r="G136" i="17" s="1"/>
  <c r="G137" i="17" s="1"/>
  <c r="G164" i="17"/>
  <c r="C164" i="17"/>
  <c r="C204" i="17" s="1"/>
  <c r="C98" i="17"/>
  <c r="C99" i="17" s="1"/>
  <c r="G85" i="17"/>
  <c r="C86" i="17"/>
  <c r="C204" i="16"/>
  <c r="F98" i="16"/>
  <c r="F99" i="16" s="1"/>
  <c r="F86" i="16"/>
  <c r="G86" i="16"/>
  <c r="F204" i="16"/>
  <c r="G136" i="16"/>
  <c r="G137" i="16" s="1"/>
  <c r="D217" i="16"/>
  <c r="H19" i="14"/>
  <c r="I19" i="14" s="1"/>
  <c r="F204" i="14"/>
  <c r="F217" i="14" s="1"/>
  <c r="F218" i="14" s="1"/>
  <c r="E217" i="14"/>
  <c r="E218" i="14" s="1"/>
  <c r="F99" i="14"/>
  <c r="G136" i="14"/>
  <c r="G137" i="14" s="1"/>
  <c r="G164" i="14"/>
  <c r="C98" i="14"/>
  <c r="C99" i="14" s="1"/>
  <c r="G85" i="14"/>
  <c r="G98" i="14" s="1"/>
  <c r="G99" i="14" s="1"/>
  <c r="G160" i="13"/>
  <c r="G164" i="13" s="1"/>
  <c r="G204" i="13" s="1"/>
  <c r="C164" i="13"/>
  <c r="D217" i="13"/>
  <c r="G99" i="13"/>
  <c r="H19" i="13"/>
  <c r="I19" i="13" s="1"/>
  <c r="G71" i="13" l="1"/>
  <c r="D217" i="17"/>
  <c r="D217" i="14"/>
  <c r="C204" i="13"/>
  <c r="G204" i="17"/>
  <c r="G68" i="17" s="1"/>
  <c r="C217" i="17"/>
  <c r="G98" i="17"/>
  <c r="G99" i="17" s="1"/>
  <c r="G86" i="17"/>
  <c r="C217" i="16"/>
  <c r="G71" i="16"/>
  <c r="F217" i="16"/>
  <c r="F218" i="16" s="1"/>
  <c r="D218" i="16"/>
  <c r="G204" i="16"/>
  <c r="C217" i="14"/>
  <c r="G204" i="14"/>
  <c r="G86" i="14"/>
  <c r="G217" i="13"/>
  <c r="G68" i="13"/>
  <c r="D218" i="13"/>
  <c r="D218" i="17" l="1"/>
  <c r="C217" i="13"/>
  <c r="D218" i="14"/>
  <c r="G217" i="17"/>
  <c r="G71" i="17"/>
  <c r="C218" i="17"/>
  <c r="C218" i="16"/>
  <c r="G68" i="16"/>
  <c r="G217" i="16"/>
  <c r="G68" i="14"/>
  <c r="G71" i="14"/>
  <c r="G217" i="14"/>
  <c r="C218" i="14"/>
  <c r="G218" i="13"/>
  <c r="C218" i="13" l="1"/>
  <c r="G218" i="17"/>
  <c r="G218" i="16"/>
  <c r="G218" i="14"/>
  <c r="F113" i="10" l="1"/>
  <c r="F113" i="15" s="1"/>
  <c r="C250" i="15"/>
  <c r="D250" i="15"/>
  <c r="G208" i="15"/>
  <c r="G210" i="15"/>
  <c r="G212" i="15"/>
  <c r="C231" i="15"/>
  <c r="D231" i="15"/>
  <c r="D252" i="15"/>
  <c r="C229" i="15"/>
  <c r="D173" i="15"/>
  <c r="F90" i="15"/>
  <c r="E92" i="15"/>
  <c r="E94" i="15"/>
  <c r="E95" i="15"/>
  <c r="F95" i="15"/>
  <c r="D96" i="15"/>
  <c r="E96" i="15"/>
  <c r="F96" i="15"/>
  <c r="D97" i="15"/>
  <c r="G84" i="15"/>
  <c r="K44" i="15"/>
  <c r="K49" i="15"/>
  <c r="K54" i="15"/>
  <c r="K58" i="15"/>
  <c r="K34" i="15"/>
  <c r="K37" i="15"/>
  <c r="K38" i="15"/>
  <c r="D88" i="15"/>
  <c r="F87" i="15"/>
  <c r="G258" i="15"/>
  <c r="D258" i="15"/>
  <c r="C258" i="15"/>
  <c r="C252" i="15"/>
  <c r="B252" i="15"/>
  <c r="C251" i="15"/>
  <c r="B251" i="15"/>
  <c r="B250" i="15"/>
  <c r="D249" i="15"/>
  <c r="B249" i="15"/>
  <c r="C232" i="15"/>
  <c r="B232" i="15"/>
  <c r="B231" i="15"/>
  <c r="D230" i="15"/>
  <c r="B230" i="15"/>
  <c r="D229" i="15"/>
  <c r="B229" i="15"/>
  <c r="G220" i="15"/>
  <c r="G245" i="15" s="1"/>
  <c r="F220" i="15"/>
  <c r="E220" i="15"/>
  <c r="D220" i="15"/>
  <c r="D245" i="15" s="1"/>
  <c r="C220" i="15"/>
  <c r="C245" i="15" s="1"/>
  <c r="B220" i="15"/>
  <c r="G215" i="15"/>
  <c r="G209" i="15"/>
  <c r="E189" i="15"/>
  <c r="D189" i="15"/>
  <c r="G179" i="15"/>
  <c r="F179" i="15"/>
  <c r="F190" i="15" s="1"/>
  <c r="E179" i="15"/>
  <c r="E190" i="15" s="1"/>
  <c r="D179" i="15"/>
  <c r="D190" i="15" s="1"/>
  <c r="C179" i="15"/>
  <c r="C190" i="15" s="1"/>
  <c r="F178" i="15"/>
  <c r="G150" i="15"/>
  <c r="F150" i="15"/>
  <c r="F165" i="15" s="1"/>
  <c r="E150" i="15"/>
  <c r="E165" i="15" s="1"/>
  <c r="D150" i="15"/>
  <c r="D165" i="15" s="1"/>
  <c r="C150" i="15"/>
  <c r="C165" i="15" s="1"/>
  <c r="G138" i="15"/>
  <c r="F138" i="15"/>
  <c r="E138" i="15"/>
  <c r="D138" i="15"/>
  <c r="C138" i="15"/>
  <c r="G117" i="15"/>
  <c r="F117" i="15"/>
  <c r="E117" i="15"/>
  <c r="D117" i="15"/>
  <c r="C117" i="15"/>
  <c r="G109" i="15"/>
  <c r="G105" i="15"/>
  <c r="G101" i="15"/>
  <c r="F101" i="15"/>
  <c r="E101" i="15"/>
  <c r="D101" i="15"/>
  <c r="C101" i="15"/>
  <c r="F97" i="15"/>
  <c r="E97" i="15"/>
  <c r="C97" i="15"/>
  <c r="C96" i="15"/>
  <c r="A96" i="15"/>
  <c r="C95" i="15"/>
  <c r="F94" i="15"/>
  <c r="F93" i="15"/>
  <c r="E93" i="15"/>
  <c r="A93" i="15"/>
  <c r="F92" i="15"/>
  <c r="F91" i="15"/>
  <c r="A91" i="15"/>
  <c r="A90" i="15"/>
  <c r="E89" i="15"/>
  <c r="A89" i="15"/>
  <c r="A87" i="15"/>
  <c r="G73" i="15"/>
  <c r="F73" i="15"/>
  <c r="D73" i="15"/>
  <c r="C73" i="15"/>
  <c r="G27" i="15"/>
  <c r="K27" i="15" s="1"/>
  <c r="G3" i="15"/>
  <c r="K3" i="15" s="1"/>
  <c r="K88" i="15" s="1"/>
  <c r="K99" i="15" s="1"/>
  <c r="G2" i="15"/>
  <c r="K227" i="15" l="1"/>
  <c r="K235" i="15" s="1"/>
  <c r="K240" i="15"/>
  <c r="K241" i="15" s="1"/>
  <c r="K242" i="15" s="1"/>
  <c r="G190" i="15"/>
  <c r="G165" i="15"/>
  <c r="G97" i="15"/>
  <c r="K35" i="15"/>
  <c r="C178" i="15"/>
  <c r="D232" i="15"/>
  <c r="D233" i="15" s="1"/>
  <c r="K36" i="15"/>
  <c r="D87" i="15"/>
  <c r="K60" i="15"/>
  <c r="E128" i="15"/>
  <c r="K61" i="15"/>
  <c r="G211" i="15"/>
  <c r="D39" i="15"/>
  <c r="D64" i="15" s="1"/>
  <c r="G83" i="15"/>
  <c r="E202" i="15"/>
  <c r="F39" i="15"/>
  <c r="F64" i="15" s="1"/>
  <c r="G82" i="15"/>
  <c r="C230" i="15"/>
  <c r="C233" i="15" s="1"/>
  <c r="G111" i="15"/>
  <c r="G104" i="15"/>
  <c r="G106" i="15"/>
  <c r="K55" i="15"/>
  <c r="F62" i="15"/>
  <c r="F65" i="15" s="1"/>
  <c r="K50" i="15"/>
  <c r="K48" i="15"/>
  <c r="K43" i="15"/>
  <c r="C62" i="15"/>
  <c r="C65" i="15" s="1"/>
  <c r="D92" i="15"/>
  <c r="D251" i="15"/>
  <c r="D253" i="15" s="1"/>
  <c r="G213" i="15"/>
  <c r="G214" i="15"/>
  <c r="G207" i="15"/>
  <c r="C249" i="15"/>
  <c r="C253" i="15" s="1"/>
  <c r="D202" i="15"/>
  <c r="F202" i="15"/>
  <c r="E178" i="15"/>
  <c r="D178" i="15"/>
  <c r="F173" i="15"/>
  <c r="E173" i="15"/>
  <c r="C173" i="15"/>
  <c r="F149" i="15"/>
  <c r="F128" i="15"/>
  <c r="F116" i="15"/>
  <c r="D95" i="15"/>
  <c r="E62" i="15"/>
  <c r="E65" i="15" s="1"/>
  <c r="D62" i="15"/>
  <c r="D65" i="15" s="1"/>
  <c r="K42" i="15"/>
  <c r="C39" i="15"/>
  <c r="F88" i="15"/>
  <c r="E87" i="15"/>
  <c r="G103" i="15"/>
  <c r="G107" i="15"/>
  <c r="C128" i="15"/>
  <c r="E147" i="10"/>
  <c r="E147" i="15" s="1"/>
  <c r="G133" i="10"/>
  <c r="H133" i="15" s="1"/>
  <c r="I133" i="15" s="1"/>
  <c r="G134" i="10"/>
  <c r="H134" i="15" s="1"/>
  <c r="I134" i="15" s="1"/>
  <c r="G114" i="15"/>
  <c r="G110" i="15"/>
  <c r="E77" i="10"/>
  <c r="E77" i="15" s="1"/>
  <c r="K39" i="15" l="1"/>
  <c r="K64" i="15" s="1"/>
  <c r="G231" i="15"/>
  <c r="G229" i="15"/>
  <c r="E90" i="15"/>
  <c r="D66" i="15"/>
  <c r="K62" i="15"/>
  <c r="K65" i="15" s="1"/>
  <c r="G96" i="15"/>
  <c r="G95" i="15"/>
  <c r="G249" i="15"/>
  <c r="G39" i="15"/>
  <c r="G64" i="15" s="1"/>
  <c r="G173" i="15"/>
  <c r="G251" i="15"/>
  <c r="G178" i="15"/>
  <c r="F66" i="15"/>
  <c r="E116" i="15"/>
  <c r="E129" i="15" s="1"/>
  <c r="G62" i="15"/>
  <c r="G65" i="15" s="1"/>
  <c r="G250" i="15"/>
  <c r="G230" i="15"/>
  <c r="G252" i="15"/>
  <c r="G232" i="15"/>
  <c r="F129" i="15"/>
  <c r="E64" i="15"/>
  <c r="E66" i="15" s="1"/>
  <c r="C64" i="15"/>
  <c r="C66" i="15" s="1"/>
  <c r="K66" i="15" l="1"/>
  <c r="E149" i="15"/>
  <c r="G253" i="15"/>
  <c r="G66" i="15"/>
  <c r="J66" i="15" s="1"/>
  <c r="G233" i="15"/>
  <c r="G73" i="10" l="1"/>
  <c r="E78" i="15"/>
  <c r="E91" i="15" l="1"/>
  <c r="C115" i="10"/>
  <c r="C115" i="15" s="1"/>
  <c r="G3" i="10" l="1"/>
  <c r="E189" i="10"/>
  <c r="D189" i="10"/>
  <c r="E178" i="10"/>
  <c r="D178" i="10"/>
  <c r="E173" i="10"/>
  <c r="D173" i="10"/>
  <c r="D115" i="10"/>
  <c r="D115" i="15" s="1"/>
  <c r="D116" i="15" s="1"/>
  <c r="G115" i="15" l="1"/>
  <c r="G183" i="10"/>
  <c r="F149" i="10"/>
  <c r="E138" i="10"/>
  <c r="E220" i="10"/>
  <c r="G207" i="10"/>
  <c r="H207" i="15" s="1"/>
  <c r="I207" i="15" s="1"/>
  <c r="G208" i="10"/>
  <c r="H208" i="15" s="1"/>
  <c r="I208" i="15" s="1"/>
  <c r="G209" i="10"/>
  <c r="H209" i="15" s="1"/>
  <c r="I209" i="15" s="1"/>
  <c r="G210" i="10"/>
  <c r="H210" i="15" s="1"/>
  <c r="I210" i="15" s="1"/>
  <c r="G211" i="10"/>
  <c r="H211" i="15" s="1"/>
  <c r="I211" i="15" s="1"/>
  <c r="G212" i="10"/>
  <c r="H212" i="15" s="1"/>
  <c r="I212" i="15" s="1"/>
  <c r="G213" i="10"/>
  <c r="H213" i="15" s="1"/>
  <c r="I213" i="15" s="1"/>
  <c r="G214" i="10"/>
  <c r="H214" i="15" s="1"/>
  <c r="I214" i="15" s="1"/>
  <c r="G215" i="10"/>
  <c r="H215" i="15" s="1"/>
  <c r="I215" i="15" s="1"/>
  <c r="G206" i="10"/>
  <c r="H206" i="15" s="1"/>
  <c r="I206" i="15" s="1"/>
  <c r="G192" i="10"/>
  <c r="G193" i="10"/>
  <c r="G195" i="10"/>
  <c r="G198" i="10"/>
  <c r="G199" i="10"/>
  <c r="G200" i="10"/>
  <c r="G201" i="10"/>
  <c r="H201" i="15" s="1"/>
  <c r="I201" i="15" s="1"/>
  <c r="G191" i="10"/>
  <c r="G181" i="10"/>
  <c r="G182" i="10"/>
  <c r="G184" i="10"/>
  <c r="G186" i="10"/>
  <c r="G187" i="10"/>
  <c r="G188" i="10"/>
  <c r="G168" i="10"/>
  <c r="G169" i="10"/>
  <c r="G170" i="10"/>
  <c r="G171" i="10"/>
  <c r="G156" i="10"/>
  <c r="H156" i="15" s="1"/>
  <c r="I156" i="15" s="1"/>
  <c r="G157" i="10"/>
  <c r="G159" i="10"/>
  <c r="G140" i="10"/>
  <c r="H140" i="15" s="1"/>
  <c r="I140" i="15" s="1"/>
  <c r="G141" i="10"/>
  <c r="G142" i="10"/>
  <c r="H142" i="15" s="1"/>
  <c r="I142" i="15" s="1"/>
  <c r="G119" i="10"/>
  <c r="G120" i="10"/>
  <c r="H120" i="15" s="1"/>
  <c r="I120" i="15" s="1"/>
  <c r="G121" i="10"/>
  <c r="H121" i="15" s="1"/>
  <c r="I121" i="15" s="1"/>
  <c r="G122" i="10"/>
  <c r="H122" i="15" s="1"/>
  <c r="I122" i="15" s="1"/>
  <c r="G123" i="10"/>
  <c r="G124" i="10"/>
  <c r="G125" i="10"/>
  <c r="H125" i="15" s="1"/>
  <c r="I125" i="15" s="1"/>
  <c r="G118" i="10"/>
  <c r="H118" i="15" s="1"/>
  <c r="I118" i="15" s="1"/>
  <c r="G104" i="10"/>
  <c r="G105" i="10"/>
  <c r="G106" i="10"/>
  <c r="G107" i="10"/>
  <c r="G109" i="10"/>
  <c r="H109" i="15" s="1"/>
  <c r="I109" i="15" s="1"/>
  <c r="G103" i="10"/>
  <c r="G30" i="10"/>
  <c r="G31" i="10"/>
  <c r="G32" i="10"/>
  <c r="G33" i="10"/>
  <c r="G34" i="10"/>
  <c r="G35" i="10"/>
  <c r="G36" i="10"/>
  <c r="G37" i="10"/>
  <c r="G38" i="10"/>
  <c r="G29" i="10"/>
  <c r="E128" i="10"/>
  <c r="E202" i="10"/>
  <c r="E179" i="10"/>
  <c r="E190" i="10" s="1"/>
  <c r="E150" i="10"/>
  <c r="E165" i="10" s="1"/>
  <c r="E149" i="10"/>
  <c r="E97" i="10"/>
  <c r="E96" i="10"/>
  <c r="E95" i="10"/>
  <c r="E94" i="10"/>
  <c r="E93" i="10"/>
  <c r="E92" i="10"/>
  <c r="E89" i="10"/>
  <c r="E88" i="10"/>
  <c r="E87" i="10"/>
  <c r="E65" i="10"/>
  <c r="D65" i="10"/>
  <c r="F65" i="10"/>
  <c r="E39" i="10"/>
  <c r="D39" i="10"/>
  <c r="D64" i="10" s="1"/>
  <c r="F39" i="10"/>
  <c r="E101" i="10"/>
  <c r="E117" i="10"/>
  <c r="F116" i="10"/>
  <c r="E91" i="10"/>
  <c r="G23" i="10"/>
  <c r="G24" i="10"/>
  <c r="G25" i="10"/>
  <c r="G27" i="10"/>
  <c r="G22" i="10"/>
  <c r="D150" i="10"/>
  <c r="D165" i="10" s="1"/>
  <c r="F150" i="10"/>
  <c r="F165" i="10" s="1"/>
  <c r="G150" i="10"/>
  <c r="C150" i="10"/>
  <c r="C165" i="10" s="1"/>
  <c r="D138" i="10"/>
  <c r="F138" i="10"/>
  <c r="G138" i="10"/>
  <c r="H138" i="15" s="1"/>
  <c r="I138" i="15" s="1"/>
  <c r="C138" i="10"/>
  <c r="D117" i="10"/>
  <c r="F117" i="10"/>
  <c r="G117" i="10"/>
  <c r="H117" i="15" s="1"/>
  <c r="I117" i="15" s="1"/>
  <c r="C117" i="10"/>
  <c r="D73" i="10"/>
  <c r="F73" i="10"/>
  <c r="C73" i="10"/>
  <c r="F101" i="10"/>
  <c r="F87" i="10"/>
  <c r="F88" i="10"/>
  <c r="F90" i="10"/>
  <c r="F91" i="10"/>
  <c r="F92" i="10"/>
  <c r="F93" i="10"/>
  <c r="F94" i="10"/>
  <c r="F95" i="10"/>
  <c r="F96" i="10"/>
  <c r="F97" i="10"/>
  <c r="F220" i="10"/>
  <c r="F173" i="10"/>
  <c r="F178" i="10"/>
  <c r="D202" i="10"/>
  <c r="F202" i="10"/>
  <c r="G151" i="10"/>
  <c r="F179" i="10"/>
  <c r="F190" i="10" s="1"/>
  <c r="D116" i="10"/>
  <c r="G114" i="10"/>
  <c r="G82" i="10"/>
  <c r="G83" i="10"/>
  <c r="H83" i="15" s="1"/>
  <c r="G84" i="10"/>
  <c r="G112" i="15"/>
  <c r="G15" i="10"/>
  <c r="G16" i="10"/>
  <c r="G17" i="10"/>
  <c r="G18" i="10"/>
  <c r="G2" i="10"/>
  <c r="G220" i="10"/>
  <c r="D220" i="10"/>
  <c r="G179" i="10"/>
  <c r="D179" i="10"/>
  <c r="D190" i="10" s="1"/>
  <c r="D147" i="10"/>
  <c r="D147" i="15" s="1"/>
  <c r="D126" i="10"/>
  <c r="G101" i="10"/>
  <c r="H101" i="15" s="1"/>
  <c r="I101" i="15" s="1"/>
  <c r="D101" i="10"/>
  <c r="D97" i="10"/>
  <c r="D96" i="10"/>
  <c r="D95" i="10"/>
  <c r="D92" i="10"/>
  <c r="D78" i="10"/>
  <c r="D77" i="10"/>
  <c r="F64" i="10" l="1"/>
  <c r="F135" i="10"/>
  <c r="F135" i="15" s="1"/>
  <c r="H157" i="15"/>
  <c r="I157" i="15" s="1"/>
  <c r="D91" i="10"/>
  <c r="D78" i="15"/>
  <c r="D91" i="15" s="1"/>
  <c r="G165" i="10"/>
  <c r="H165" i="15" s="1"/>
  <c r="I165" i="15" s="1"/>
  <c r="H150" i="15"/>
  <c r="I150" i="15" s="1"/>
  <c r="H169" i="15"/>
  <c r="I169" i="15" s="1"/>
  <c r="H141" i="15"/>
  <c r="I141" i="15" s="1"/>
  <c r="H168" i="15"/>
  <c r="I168" i="15" s="1"/>
  <c r="G97" i="10"/>
  <c r="H97" i="15" s="1"/>
  <c r="I97" i="15" s="1"/>
  <c r="H84" i="15"/>
  <c r="I84" i="15" s="1"/>
  <c r="H186" i="15"/>
  <c r="I186" i="15" s="1"/>
  <c r="G190" i="10"/>
  <c r="H190" i="15" s="1"/>
  <c r="I190" i="15" s="1"/>
  <c r="H179" i="15"/>
  <c r="I179" i="15" s="1"/>
  <c r="H103" i="15"/>
  <c r="I103" i="15" s="1"/>
  <c r="H124" i="15"/>
  <c r="I124" i="15" s="1"/>
  <c r="H200" i="15"/>
  <c r="I200" i="15" s="1"/>
  <c r="H123" i="15"/>
  <c r="I123" i="15" s="1"/>
  <c r="H159" i="15"/>
  <c r="I159" i="15" s="1"/>
  <c r="H187" i="15"/>
  <c r="I187" i="15" s="1"/>
  <c r="H199" i="15"/>
  <c r="I199" i="15" s="1"/>
  <c r="G95" i="10"/>
  <c r="H95" i="15" s="1"/>
  <c r="I95" i="15" s="1"/>
  <c r="H82" i="15"/>
  <c r="I82" i="15" s="1"/>
  <c r="H105" i="15"/>
  <c r="I105" i="15" s="1"/>
  <c r="H182" i="15"/>
  <c r="I182" i="15" s="1"/>
  <c r="H193" i="15"/>
  <c r="I193" i="15" s="1"/>
  <c r="H107" i="15"/>
  <c r="I107" i="15" s="1"/>
  <c r="H184" i="15"/>
  <c r="I184" i="15" s="1"/>
  <c r="H195" i="15"/>
  <c r="I195" i="15" s="1"/>
  <c r="H183" i="15"/>
  <c r="I183" i="15" s="1"/>
  <c r="D90" i="10"/>
  <c r="D77" i="15"/>
  <c r="D90" i="15" s="1"/>
  <c r="D128" i="10"/>
  <c r="D126" i="15"/>
  <c r="H114" i="15"/>
  <c r="I114" i="15" s="1"/>
  <c r="H104" i="15"/>
  <c r="I104" i="15" s="1"/>
  <c r="H119" i="15"/>
  <c r="I119" i="15" s="1"/>
  <c r="H170" i="15"/>
  <c r="I170" i="15" s="1"/>
  <c r="H181" i="15"/>
  <c r="I181" i="15" s="1"/>
  <c r="H188" i="15"/>
  <c r="I188" i="15" s="1"/>
  <c r="H151" i="15"/>
  <c r="I151" i="15" s="1"/>
  <c r="H198" i="15"/>
  <c r="I198" i="15" s="1"/>
  <c r="H106" i="15"/>
  <c r="I106" i="15" s="1"/>
  <c r="H192" i="15"/>
  <c r="I192" i="15" s="1"/>
  <c r="H191" i="15"/>
  <c r="I191" i="15" s="1"/>
  <c r="H171" i="15"/>
  <c r="I171" i="15" s="1"/>
  <c r="G96" i="10"/>
  <c r="I83" i="15"/>
  <c r="E64" i="10"/>
  <c r="E66" i="10" s="1"/>
  <c r="E135" i="10"/>
  <c r="E135" i="15" s="1"/>
  <c r="D94" i="10"/>
  <c r="D93" i="10"/>
  <c r="E116" i="10"/>
  <c r="E129" i="10" s="1"/>
  <c r="G39" i="10"/>
  <c r="G64" i="10" s="1"/>
  <c r="G126" i="10"/>
  <c r="E90" i="10"/>
  <c r="G26" i="10"/>
  <c r="G65" i="10"/>
  <c r="F66" i="10"/>
  <c r="F132" i="10" s="1"/>
  <c r="F132" i="15" s="1"/>
  <c r="D66" i="10"/>
  <c r="D145" i="10"/>
  <c r="D145" i="15" s="1"/>
  <c r="D143" i="10"/>
  <c r="D143" i="15" s="1"/>
  <c r="D146" i="10"/>
  <c r="D146" i="15" s="1"/>
  <c r="D87" i="10"/>
  <c r="D74" i="10"/>
  <c r="D74" i="15" s="1"/>
  <c r="D88" i="10"/>
  <c r="D75" i="10"/>
  <c r="D75" i="15" s="1"/>
  <c r="C81" i="10"/>
  <c r="C80" i="10"/>
  <c r="C79" i="10"/>
  <c r="H126" i="15" l="1"/>
  <c r="H96" i="15"/>
  <c r="I96" i="15" s="1"/>
  <c r="D149" i="15"/>
  <c r="G126" i="15"/>
  <c r="G128" i="15" s="1"/>
  <c r="D128" i="15"/>
  <c r="D129" i="15" s="1"/>
  <c r="G79" i="10"/>
  <c r="H79" i="15" s="1"/>
  <c r="C79" i="15"/>
  <c r="G80" i="10"/>
  <c r="H80" i="15" s="1"/>
  <c r="C80" i="15"/>
  <c r="C93" i="15" s="1"/>
  <c r="G81" i="10"/>
  <c r="H81" i="15" s="1"/>
  <c r="C81" i="15"/>
  <c r="C94" i="15" s="1"/>
  <c r="D132" i="10"/>
  <c r="D132" i="15" s="1"/>
  <c r="E132" i="10"/>
  <c r="E132" i="15" s="1"/>
  <c r="G92" i="10"/>
  <c r="E131" i="10"/>
  <c r="E131" i="15" s="1"/>
  <c r="E130" i="10"/>
  <c r="E130" i="15" s="1"/>
  <c r="D155" i="10"/>
  <c r="D155" i="15" s="1"/>
  <c r="E155" i="10"/>
  <c r="E155" i="15" s="1"/>
  <c r="D94" i="15"/>
  <c r="D93" i="15"/>
  <c r="F155" i="10"/>
  <c r="D149" i="10"/>
  <c r="G66" i="10"/>
  <c r="D129" i="10"/>
  <c r="G7" i="10"/>
  <c r="G93" i="10" l="1"/>
  <c r="H93" i="15" s="1"/>
  <c r="G81" i="15"/>
  <c r="F85" i="10"/>
  <c r="F155" i="15"/>
  <c r="G80" i="15"/>
  <c r="G93" i="15" s="1"/>
  <c r="I93" i="15" s="1"/>
  <c r="G94" i="10"/>
  <c r="H94" i="15" s="1"/>
  <c r="G79" i="15"/>
  <c r="C92" i="15"/>
  <c r="I126" i="15"/>
  <c r="H92" i="15"/>
  <c r="E85" i="10"/>
  <c r="E85" i="15" s="1"/>
  <c r="G94" i="15"/>
  <c r="I81" i="15"/>
  <c r="D131" i="10"/>
  <c r="D131" i="15" s="1"/>
  <c r="D130" i="10"/>
  <c r="D130" i="15" s="1"/>
  <c r="D85" i="10"/>
  <c r="D85" i="15" s="1"/>
  <c r="D164" i="15"/>
  <c r="D164" i="10"/>
  <c r="E136" i="15"/>
  <c r="E137" i="15" s="1"/>
  <c r="F164" i="10"/>
  <c r="E136" i="10"/>
  <c r="E137" i="10" s="1"/>
  <c r="I80" i="15" l="1"/>
  <c r="G92" i="15"/>
  <c r="I79" i="15"/>
  <c r="I92" i="15"/>
  <c r="F85" i="15"/>
  <c r="F98" i="15" s="1"/>
  <c r="F98" i="10"/>
  <c r="I94" i="15"/>
  <c r="E98" i="10"/>
  <c r="E86" i="10"/>
  <c r="D98" i="15"/>
  <c r="D98" i="10"/>
  <c r="F164" i="15"/>
  <c r="D136" i="10"/>
  <c r="D137" i="10" s="1"/>
  <c r="D204" i="10" s="1"/>
  <c r="C220" i="10"/>
  <c r="B220" i="10"/>
  <c r="G196" i="10"/>
  <c r="G194" i="10"/>
  <c r="G185" i="10"/>
  <c r="C179" i="10"/>
  <c r="C190" i="10" s="1"/>
  <c r="G177" i="10"/>
  <c r="G176" i="10"/>
  <c r="G175" i="10"/>
  <c r="G172" i="10"/>
  <c r="G167" i="10"/>
  <c r="G166" i="10"/>
  <c r="G153" i="10"/>
  <c r="H153" i="15" s="1"/>
  <c r="I153" i="15" s="1"/>
  <c r="C147" i="10"/>
  <c r="G127" i="10"/>
  <c r="G115" i="10"/>
  <c r="H115" i="15" s="1"/>
  <c r="I115" i="15" s="1"/>
  <c r="G112" i="10"/>
  <c r="G111" i="10"/>
  <c r="G110" i="10"/>
  <c r="C101" i="10"/>
  <c r="C97" i="10"/>
  <c r="C96" i="10"/>
  <c r="A96" i="10"/>
  <c r="C95" i="10"/>
  <c r="C94" i="10"/>
  <c r="A93" i="10"/>
  <c r="A91" i="10"/>
  <c r="A90" i="10"/>
  <c r="A89" i="10"/>
  <c r="A87" i="10"/>
  <c r="C93" i="10"/>
  <c r="C92" i="10"/>
  <c r="C78" i="10"/>
  <c r="C77" i="10"/>
  <c r="C90" i="10" s="1"/>
  <c r="C65" i="10"/>
  <c r="C39" i="10"/>
  <c r="G14" i="10"/>
  <c r="G13" i="10"/>
  <c r="G12" i="10"/>
  <c r="G11" i="10"/>
  <c r="G10" i="10"/>
  <c r="G8" i="10"/>
  <c r="C108" i="10" l="1"/>
  <c r="C108" i="15" s="1"/>
  <c r="G108" i="15" s="1"/>
  <c r="H166" i="15"/>
  <c r="I166" i="15" s="1"/>
  <c r="G78" i="10"/>
  <c r="H78" i="15" s="1"/>
  <c r="C78" i="15"/>
  <c r="H111" i="15"/>
  <c r="I111" i="15" s="1"/>
  <c r="H172" i="15"/>
  <c r="I172" i="15" s="1"/>
  <c r="H112" i="15"/>
  <c r="I112" i="15" s="1"/>
  <c r="H175" i="15"/>
  <c r="I175" i="15" s="1"/>
  <c r="H176" i="15"/>
  <c r="I176" i="15" s="1"/>
  <c r="G77" i="10"/>
  <c r="H77" i="15" s="1"/>
  <c r="C77" i="15"/>
  <c r="H167" i="15"/>
  <c r="I167" i="15" s="1"/>
  <c r="G147" i="10"/>
  <c r="C147" i="15"/>
  <c r="G147" i="15" s="1"/>
  <c r="H127" i="15"/>
  <c r="I127" i="15" s="1"/>
  <c r="H185" i="15"/>
  <c r="I185" i="15" s="1"/>
  <c r="H110" i="15"/>
  <c r="I110" i="15" s="1"/>
  <c r="H196" i="15"/>
  <c r="I196" i="15" s="1"/>
  <c r="H177" i="15"/>
  <c r="I177" i="15" s="1"/>
  <c r="H194" i="15"/>
  <c r="I194" i="15" s="1"/>
  <c r="E98" i="15"/>
  <c r="E86" i="15"/>
  <c r="G113" i="10"/>
  <c r="H113" i="15" s="1"/>
  <c r="G113" i="15"/>
  <c r="C64" i="10"/>
  <c r="C66" i="10" s="1"/>
  <c r="C132" i="10" s="1"/>
  <c r="C132" i="15" s="1"/>
  <c r="C135" i="10"/>
  <c r="G178" i="10"/>
  <c r="G128" i="10"/>
  <c r="C19" i="10"/>
  <c r="G6" i="10"/>
  <c r="C173" i="10"/>
  <c r="G173" i="10"/>
  <c r="C178" i="10"/>
  <c r="C5" i="10"/>
  <c r="C74" i="10" s="1"/>
  <c r="G9" i="10"/>
  <c r="C91" i="10"/>
  <c r="C128" i="10"/>
  <c r="F128" i="10"/>
  <c r="F129" i="10" s="1"/>
  <c r="G90" i="10" l="1"/>
  <c r="H147" i="15"/>
  <c r="I147" i="15" s="1"/>
  <c r="C90" i="15"/>
  <c r="G77" i="15"/>
  <c r="C5" i="15"/>
  <c r="G5" i="15" s="1"/>
  <c r="H90" i="15"/>
  <c r="C135" i="15"/>
  <c r="G135" i="15" s="1"/>
  <c r="C91" i="15"/>
  <c r="G78" i="15"/>
  <c r="E152" i="10"/>
  <c r="E152" i="15" s="1"/>
  <c r="G152" i="15" s="1"/>
  <c r="C197" i="10"/>
  <c r="C197" i="15" s="1"/>
  <c r="G197" i="15" s="1"/>
  <c r="H128" i="15"/>
  <c r="I128" i="15" s="1"/>
  <c r="G91" i="10"/>
  <c r="H178" i="15"/>
  <c r="I178" i="15" s="1"/>
  <c r="H173" i="15"/>
  <c r="I173" i="15" s="1"/>
  <c r="G132" i="15"/>
  <c r="F180" i="10"/>
  <c r="F76" i="10"/>
  <c r="F76" i="15" s="1"/>
  <c r="I113" i="15"/>
  <c r="C116" i="15"/>
  <c r="C129" i="15" s="1"/>
  <c r="F131" i="10"/>
  <c r="F131" i="15" s="1"/>
  <c r="F130" i="10"/>
  <c r="F130" i="15" s="1"/>
  <c r="G135" i="10"/>
  <c r="G116" i="15"/>
  <c r="G129" i="15" s="1"/>
  <c r="G70" i="15" s="1"/>
  <c r="G5" i="10"/>
  <c r="G88" i="10" s="1"/>
  <c r="H88" i="15" s="1"/>
  <c r="C155" i="10"/>
  <c r="C155" i="15" s="1"/>
  <c r="C139" i="10"/>
  <c r="C144" i="10"/>
  <c r="C158" i="10"/>
  <c r="C75" i="10"/>
  <c r="C75" i="15" s="1"/>
  <c r="C143" i="10"/>
  <c r="C87" i="10"/>
  <c r="C145" i="10"/>
  <c r="C146" i="10"/>
  <c r="C116" i="10"/>
  <c r="C129" i="10" s="1"/>
  <c r="G108" i="10"/>
  <c r="H108" i="15" s="1"/>
  <c r="C154" i="10"/>
  <c r="C88" i="10"/>
  <c r="C74" i="15"/>
  <c r="D76" i="10"/>
  <c r="D76" i="15" s="1"/>
  <c r="C76" i="10"/>
  <c r="C76" i="15" s="1"/>
  <c r="G19" i="10"/>
  <c r="C180" i="10"/>
  <c r="C180" i="15" s="1"/>
  <c r="C146" i="15" l="1"/>
  <c r="G146" i="15" s="1"/>
  <c r="C145" i="15"/>
  <c r="G145" i="15" s="1"/>
  <c r="F180" i="15"/>
  <c r="F189" i="15" s="1"/>
  <c r="C143" i="15"/>
  <c r="G143" i="15" s="1"/>
  <c r="G91" i="15"/>
  <c r="I78" i="15"/>
  <c r="G90" i="15"/>
  <c r="I90" i="15" s="1"/>
  <c r="I77" i="15"/>
  <c r="C154" i="15"/>
  <c r="G154" i="15" s="1"/>
  <c r="C158" i="15"/>
  <c r="G158" i="15" s="1"/>
  <c r="C144" i="15"/>
  <c r="G144" i="15" s="1"/>
  <c r="C139" i="15"/>
  <c r="G139" i="15" s="1"/>
  <c r="H91" i="15"/>
  <c r="I91" i="15" s="1"/>
  <c r="H135" i="15"/>
  <c r="I135" i="15" s="1"/>
  <c r="G87" i="10"/>
  <c r="C85" i="10"/>
  <c r="C85" i="15" s="1"/>
  <c r="G155" i="15"/>
  <c r="C130" i="10"/>
  <c r="C130" i="15" s="1"/>
  <c r="C131" i="10"/>
  <c r="C131" i="15" s="1"/>
  <c r="G116" i="10"/>
  <c r="H116" i="15" s="1"/>
  <c r="I108" i="15"/>
  <c r="G69" i="15"/>
  <c r="G132" i="10"/>
  <c r="F189" i="10"/>
  <c r="E164" i="10"/>
  <c r="E204" i="10" s="1"/>
  <c r="E217" i="10" s="1"/>
  <c r="E218" i="10" s="1"/>
  <c r="G139" i="10"/>
  <c r="G154" i="10"/>
  <c r="G197" i="10"/>
  <c r="H197" i="15" s="1"/>
  <c r="E164" i="15"/>
  <c r="E204" i="15" s="1"/>
  <c r="E217" i="15" s="1"/>
  <c r="C189" i="15"/>
  <c r="G76" i="15"/>
  <c r="C89" i="15"/>
  <c r="G158" i="10"/>
  <c r="F89" i="15"/>
  <c r="F99" i="15" s="1"/>
  <c r="F86" i="15"/>
  <c r="G74" i="10"/>
  <c r="H74" i="15" s="1"/>
  <c r="G143" i="10"/>
  <c r="G75" i="10"/>
  <c r="H75" i="15" s="1"/>
  <c r="G75" i="15"/>
  <c r="D89" i="15"/>
  <c r="D99" i="15" s="1"/>
  <c r="D86" i="15"/>
  <c r="G144" i="10"/>
  <c r="C87" i="15"/>
  <c r="C88" i="15"/>
  <c r="G145" i="10"/>
  <c r="G146" i="10"/>
  <c r="F136" i="15"/>
  <c r="F137" i="15" s="1"/>
  <c r="G152" i="10"/>
  <c r="C162" i="10"/>
  <c r="C162" i="15" s="1"/>
  <c r="G180" i="10"/>
  <c r="H180" i="15" s="1"/>
  <c r="C160" i="10"/>
  <c r="C160" i="15" s="1"/>
  <c r="C161" i="10"/>
  <c r="C161" i="15" s="1"/>
  <c r="C149" i="10"/>
  <c r="C202" i="10"/>
  <c r="G155" i="10"/>
  <c r="H155" i="15" s="1"/>
  <c r="F86" i="10"/>
  <c r="F89" i="10"/>
  <c r="F99" i="10" s="1"/>
  <c r="G76" i="10"/>
  <c r="H76" i="15" s="1"/>
  <c r="D89" i="10"/>
  <c r="D99" i="10" s="1"/>
  <c r="D86" i="10"/>
  <c r="C189" i="10"/>
  <c r="C89" i="10"/>
  <c r="F136" i="10"/>
  <c r="F137" i="10" s="1"/>
  <c r="F204" i="10" l="1"/>
  <c r="G180" i="15"/>
  <c r="G189" i="15" s="1"/>
  <c r="H143" i="15"/>
  <c r="I143" i="15" s="1"/>
  <c r="H145" i="15"/>
  <c r="I145" i="15" s="1"/>
  <c r="H154" i="15"/>
  <c r="I154" i="15" s="1"/>
  <c r="H144" i="15"/>
  <c r="I144" i="15" s="1"/>
  <c r="H139" i="15"/>
  <c r="I139" i="15" s="1"/>
  <c r="H158" i="15"/>
  <c r="I158" i="15" s="1"/>
  <c r="H146" i="15"/>
  <c r="I146" i="15" s="1"/>
  <c r="C86" i="10"/>
  <c r="F204" i="15"/>
  <c r="F217" i="15" s="1"/>
  <c r="F218" i="15" s="1"/>
  <c r="H152" i="15"/>
  <c r="I152" i="15" s="1"/>
  <c r="H132" i="15"/>
  <c r="I132" i="15" s="1"/>
  <c r="M19" i="15"/>
  <c r="N19" i="15" s="1"/>
  <c r="H19" i="10"/>
  <c r="I19" i="10" s="1"/>
  <c r="H87" i="15"/>
  <c r="E218" i="15"/>
  <c r="G89" i="10"/>
  <c r="H89" i="15" s="1"/>
  <c r="I76" i="15"/>
  <c r="G189" i="10"/>
  <c r="G162" i="15"/>
  <c r="G161" i="15"/>
  <c r="G160" i="15"/>
  <c r="G202" i="10"/>
  <c r="H202" i="15" s="1"/>
  <c r="I197" i="15"/>
  <c r="G89" i="15"/>
  <c r="I75" i="15"/>
  <c r="K86" i="15"/>
  <c r="I155" i="15"/>
  <c r="G85" i="10"/>
  <c r="C98" i="10"/>
  <c r="C99" i="10" s="1"/>
  <c r="G129" i="10"/>
  <c r="H129" i="15" s="1"/>
  <c r="G130" i="10"/>
  <c r="H130" i="15" s="1"/>
  <c r="G162" i="10"/>
  <c r="H162" i="15" s="1"/>
  <c r="G202" i="15"/>
  <c r="C202" i="15"/>
  <c r="G87" i="15"/>
  <c r="H19" i="15" s="1"/>
  <c r="I19" i="15" s="1"/>
  <c r="I88" i="15"/>
  <c r="G161" i="10"/>
  <c r="H161" i="15" s="1"/>
  <c r="G160" i="10"/>
  <c r="H160" i="15" s="1"/>
  <c r="G74" i="15"/>
  <c r="I74" i="15" s="1"/>
  <c r="C149" i="15"/>
  <c r="G149" i="15"/>
  <c r="C136" i="10"/>
  <c r="C137" i="10" s="1"/>
  <c r="G131" i="10"/>
  <c r="H131" i="15" s="1"/>
  <c r="F217" i="10"/>
  <c r="F218" i="10" s="1"/>
  <c r="C164" i="10"/>
  <c r="G149" i="10"/>
  <c r="H149" i="15" s="1"/>
  <c r="D217" i="10"/>
  <c r="D218" i="10" s="1"/>
  <c r="I180" i="15" l="1"/>
  <c r="H189" i="15"/>
  <c r="I189" i="15" s="1"/>
  <c r="G86" i="10"/>
  <c r="H86" i="15" s="1"/>
  <c r="H85" i="15"/>
  <c r="I202" i="15"/>
  <c r="I89" i="15"/>
  <c r="I160" i="15"/>
  <c r="I162" i="15"/>
  <c r="I149" i="15"/>
  <c r="K71" i="15"/>
  <c r="K217" i="15"/>
  <c r="K247" i="15"/>
  <c r="K255" i="15" s="1"/>
  <c r="I87" i="15"/>
  <c r="G164" i="10"/>
  <c r="H164" i="15" s="1"/>
  <c r="I161" i="15"/>
  <c r="C98" i="15"/>
  <c r="C99" i="15" s="1"/>
  <c r="G85" i="15"/>
  <c r="G86" i="15" s="1"/>
  <c r="C86" i="15"/>
  <c r="G98" i="10"/>
  <c r="H98" i="15" s="1"/>
  <c r="G69" i="10"/>
  <c r="G70" i="10"/>
  <c r="G136" i="10"/>
  <c r="H136" i="15" s="1"/>
  <c r="G164" i="15"/>
  <c r="C164" i="15"/>
  <c r="C204" i="10"/>
  <c r="G71" i="10" l="1"/>
  <c r="K260" i="15"/>
  <c r="K261" i="15" s="1"/>
  <c r="K262" i="15" s="1"/>
  <c r="K218" i="15"/>
  <c r="I164" i="15"/>
  <c r="G71" i="15"/>
  <c r="I86" i="15"/>
  <c r="G99" i="10"/>
  <c r="H99" i="15" s="1"/>
  <c r="G98" i="15"/>
  <c r="I85" i="15"/>
  <c r="G137" i="10"/>
  <c r="H137" i="15" s="1"/>
  <c r="C217" i="10"/>
  <c r="C218" i="10" s="1"/>
  <c r="I98" i="15" l="1"/>
  <c r="G99" i="15"/>
  <c r="I99" i="15" s="1"/>
  <c r="G204" i="10"/>
  <c r="G217" i="10" l="1"/>
  <c r="H217" i="15" s="1"/>
  <c r="H204" i="15"/>
  <c r="G68" i="10"/>
  <c r="G218" i="10" l="1"/>
  <c r="I129" i="15" l="1"/>
  <c r="I116" i="15"/>
  <c r="D136" i="15"/>
  <c r="D137" i="15" s="1"/>
  <c r="D204" i="15" s="1"/>
  <c r="D217" i="15" s="1"/>
  <c r="G130" i="15" l="1"/>
  <c r="D247" i="15"/>
  <c r="D255" i="15" s="1"/>
  <c r="D240" i="15"/>
  <c r="D241" i="15" s="1"/>
  <c r="D242" i="15" s="1"/>
  <c r="D227" i="15"/>
  <c r="D235" i="15" s="1"/>
  <c r="G131" i="15"/>
  <c r="I130" i="15" l="1"/>
  <c r="I131" i="15"/>
  <c r="G136" i="15"/>
  <c r="G137" i="15" s="1"/>
  <c r="D260" i="15"/>
  <c r="D261" i="15" s="1"/>
  <c r="D262" i="15" s="1"/>
  <c r="D218" i="15"/>
  <c r="C136" i="15"/>
  <c r="C137" i="15" s="1"/>
  <c r="C204" i="15" s="1"/>
  <c r="C217" i="15" s="1"/>
  <c r="I136" i="15" l="1"/>
  <c r="G204" i="15"/>
  <c r="I204" i="15" s="1"/>
  <c r="C227" i="15"/>
  <c r="C235" i="15" s="1"/>
  <c r="C240" i="15"/>
  <c r="C241" i="15" s="1"/>
  <c r="C242" i="15" s="1"/>
  <c r="C247" i="15"/>
  <c r="C255" i="15" s="1"/>
  <c r="G68" i="15" l="1"/>
  <c r="G217" i="15"/>
  <c r="I217" i="15" s="1"/>
  <c r="I137" i="15"/>
  <c r="G240" i="15"/>
  <c r="G241" i="15" s="1"/>
  <c r="G242" i="15" s="1"/>
  <c r="G247" i="15"/>
  <c r="G255" i="15" s="1"/>
  <c r="G227" i="15"/>
  <c r="G235" i="15" s="1"/>
  <c r="C260" i="15"/>
  <c r="C261" i="15" s="1"/>
  <c r="C262" i="15" s="1"/>
  <c r="C218" i="15"/>
  <c r="G218" i="15" l="1"/>
  <c r="G260" i="15"/>
  <c r="G261" i="15" s="1"/>
  <c r="G262" i="15" s="1"/>
  <c r="B128" i="33"/>
  <c r="B129" i="33" s="1"/>
  <c r="AX128" i="33"/>
  <c r="AX129" i="33" s="1"/>
  <c r="F128" i="33"/>
  <c r="F129" i="33" s="1"/>
  <c r="BB137" i="33"/>
  <c r="C137" i="39" s="1"/>
  <c r="B131" i="33" l="1"/>
  <c r="AX131" i="33" s="1"/>
  <c r="B130" i="33"/>
  <c r="AX130" i="33" s="1"/>
  <c r="F70" i="33"/>
  <c r="F69" i="33"/>
  <c r="C127" i="39"/>
  <c r="F137" i="33"/>
  <c r="C137" i="49" s="1"/>
  <c r="C128" i="39" l="1"/>
  <c r="C129" i="39" s="1"/>
  <c r="BB131" i="33"/>
  <c r="C131" i="39" s="1"/>
  <c r="F131" i="33"/>
  <c r="C131" i="49" s="1"/>
  <c r="F130" i="33"/>
  <c r="C130" i="49" s="1"/>
  <c r="C138" i="49" s="1"/>
  <c r="C139" i="49" s="1"/>
  <c r="B138" i="33"/>
  <c r="B139" i="33" s="1"/>
  <c r="B207" i="33" s="1"/>
  <c r="B220" i="33" s="1"/>
  <c r="B221" i="33" s="1"/>
  <c r="BB128" i="33"/>
  <c r="BB129" i="33" s="1"/>
  <c r="BB70" i="33" s="1"/>
  <c r="C207" i="49" l="1"/>
  <c r="C68" i="49" s="1"/>
  <c r="C69" i="39"/>
  <c r="D20" i="44"/>
  <c r="D48" i="44" s="1"/>
  <c r="C70" i="39"/>
  <c r="F138" i="33"/>
  <c r="F139" i="33" s="1"/>
  <c r="F207" i="33" s="1"/>
  <c r="F220" i="33" s="1"/>
  <c r="AX138" i="33"/>
  <c r="AX139" i="33" s="1"/>
  <c r="AX207" i="33" s="1"/>
  <c r="AX220" i="33" s="1"/>
  <c r="AX221" i="33" s="1"/>
  <c r="BB130" i="33"/>
  <c r="BB69" i="33"/>
  <c r="C253" i="49" l="1"/>
  <c r="I253" i="49" s="1"/>
  <c r="C254" i="49"/>
  <c r="I254" i="49" s="1"/>
  <c r="C252" i="49"/>
  <c r="I252" i="49" s="1"/>
  <c r="C220" i="49"/>
  <c r="C250" i="49"/>
  <c r="I250" i="49" s="1"/>
  <c r="C257" i="49"/>
  <c r="I257" i="49" s="1"/>
  <c r="C228" i="49"/>
  <c r="C237" i="49" s="1"/>
  <c r="C258" i="49"/>
  <c r="I258" i="49" s="1"/>
  <c r="C249" i="49"/>
  <c r="I249" i="49" s="1"/>
  <c r="C256" i="49"/>
  <c r="I256" i="49" s="1"/>
  <c r="C261" i="49"/>
  <c r="I261" i="49" s="1"/>
  <c r="C255" i="49"/>
  <c r="I255" i="49" s="1"/>
  <c r="C259" i="49"/>
  <c r="I259" i="49" s="1"/>
  <c r="C248" i="49"/>
  <c r="I248" i="49" s="1"/>
  <c r="C260" i="49"/>
  <c r="I260" i="49" s="1"/>
  <c r="C247" i="49"/>
  <c r="C251" i="49"/>
  <c r="I251" i="49" s="1"/>
  <c r="F221" i="33"/>
  <c r="BB138" i="33"/>
  <c r="BB139" i="33" s="1"/>
  <c r="BB207" i="33" s="1"/>
  <c r="BB220" i="33" s="1"/>
  <c r="C130" i="39"/>
  <c r="F68" i="33"/>
  <c r="C263" i="49" l="1"/>
  <c r="I247" i="49"/>
  <c r="I263" i="49" s="1"/>
  <c r="C221" i="49"/>
  <c r="C242" i="49"/>
  <c r="C243" i="49" s="1"/>
  <c r="C225" i="49"/>
  <c r="C138" i="39"/>
  <c r="D49" i="44"/>
  <c r="D50" i="44" s="1"/>
  <c r="D53" i="44" s="1"/>
  <c r="BB221" i="33"/>
  <c r="BB68" i="33"/>
  <c r="AP2" i="30"/>
  <c r="AP87" i="30" s="1"/>
  <c r="AP99" i="30" s="1"/>
  <c r="AL87" i="30"/>
  <c r="AP74" i="30"/>
  <c r="AP86" i="30" s="1"/>
  <c r="D240" i="49" l="1"/>
  <c r="D243" i="49" s="1"/>
  <c r="C244" i="49"/>
  <c r="AL99" i="30"/>
  <c r="AL165" i="30"/>
  <c r="AL164" i="30"/>
  <c r="AL163" i="30"/>
  <c r="AR163" i="30" s="1"/>
  <c r="C139" i="39"/>
  <c r="C207" i="39" s="1"/>
  <c r="AR87" i="30"/>
  <c r="AP71" i="30"/>
  <c r="AL86" i="30"/>
  <c r="AR74" i="30"/>
  <c r="C255" i="39" l="1"/>
  <c r="C248" i="39"/>
  <c r="AP163" i="30"/>
  <c r="C68" i="39"/>
  <c r="C261" i="39"/>
  <c r="C220" i="39"/>
  <c r="D244" i="49"/>
  <c r="E240" i="49"/>
  <c r="E243" i="49" s="1"/>
  <c r="C250" i="39"/>
  <c r="C251" i="39"/>
  <c r="C247" i="39"/>
  <c r="C249" i="39"/>
  <c r="C252" i="39"/>
  <c r="C254" i="39"/>
  <c r="C256" i="39"/>
  <c r="C257" i="39"/>
  <c r="C258" i="39"/>
  <c r="C259" i="39"/>
  <c r="C260" i="39"/>
  <c r="C253" i="39"/>
  <c r="C228" i="39"/>
  <c r="C237" i="39" s="1"/>
  <c r="AR2" i="30"/>
  <c r="AV87" i="30"/>
  <c r="AR165" i="30"/>
  <c r="AV165" i="30" s="1"/>
  <c r="B165" i="39" s="1"/>
  <c r="AP165" i="30"/>
  <c r="AV163" i="30"/>
  <c r="B163" i="39" s="1"/>
  <c r="AR164" i="30"/>
  <c r="AV164" i="30" s="1"/>
  <c r="B164" i="39" s="1"/>
  <c r="AP164" i="30"/>
  <c r="AL167" i="30"/>
  <c r="AL207" i="30" s="1"/>
  <c r="AL220" i="30" s="1"/>
  <c r="AR86" i="30"/>
  <c r="AV74" i="30"/>
  <c r="AP167" i="30"/>
  <c r="AP207" i="30" s="1"/>
  <c r="F240" i="49" l="1"/>
  <c r="F243" i="49" s="1"/>
  <c r="E244" i="49"/>
  <c r="C263" i="39"/>
  <c r="C221" i="39"/>
  <c r="C225" i="39"/>
  <c r="C242" i="39"/>
  <c r="AV86" i="30"/>
  <c r="AV71" i="30" s="1"/>
  <c r="B74" i="39"/>
  <c r="B86" i="39" s="1"/>
  <c r="B167" i="39"/>
  <c r="B207" i="39" s="1"/>
  <c r="AR167" i="30"/>
  <c r="AR207" i="30" s="1"/>
  <c r="AR220" i="30" s="1"/>
  <c r="AV167" i="30"/>
  <c r="AV207" i="30" s="1"/>
  <c r="AV68" i="30" s="1"/>
  <c r="AV2" i="30"/>
  <c r="B2" i="47" s="1"/>
  <c r="J2" i="47" s="1"/>
  <c r="AR99" i="30"/>
  <c r="AP68" i="30"/>
  <c r="AP220" i="30"/>
  <c r="AX99" i="33"/>
  <c r="AX2" i="33"/>
  <c r="BB2" i="33" s="1"/>
  <c r="F2" i="39"/>
  <c r="N2" i="39" s="1"/>
  <c r="B250" i="39" l="1"/>
  <c r="B255" i="39"/>
  <c r="B248" i="39"/>
  <c r="B261" i="39"/>
  <c r="I261" i="39" s="1"/>
  <c r="G240" i="49"/>
  <c r="G243" i="49" s="1"/>
  <c r="G244" i="49" s="1"/>
  <c r="F244" i="49"/>
  <c r="AP221" i="30"/>
  <c r="B257" i="39"/>
  <c r="I257" i="39" s="1"/>
  <c r="B252" i="39"/>
  <c r="I252" i="39" s="1"/>
  <c r="I248" i="39"/>
  <c r="B259" i="39"/>
  <c r="I259" i="39" s="1"/>
  <c r="B254" i="39"/>
  <c r="I254" i="39" s="1"/>
  <c r="B247" i="39"/>
  <c r="B258" i="39"/>
  <c r="I258" i="39" s="1"/>
  <c r="B251" i="39"/>
  <c r="I251" i="39" s="1"/>
  <c r="B260" i="39"/>
  <c r="I260" i="39" s="1"/>
  <c r="B253" i="39"/>
  <c r="I253" i="39" s="1"/>
  <c r="I255" i="39"/>
  <c r="B249" i="39"/>
  <c r="I249" i="39" s="1"/>
  <c r="B256" i="39"/>
  <c r="I256" i="39" s="1"/>
  <c r="B71" i="39"/>
  <c r="B228" i="39"/>
  <c r="B237" i="39" s="1"/>
  <c r="I250" i="39"/>
  <c r="D2" i="39"/>
  <c r="B2" i="39"/>
  <c r="B220" i="39"/>
  <c r="B68" i="39"/>
  <c r="C2" i="39"/>
  <c r="AV220" i="30"/>
  <c r="AV221" i="30" s="1"/>
  <c r="E2" i="39"/>
  <c r="M2" i="39" s="1"/>
  <c r="L2" i="39" l="1"/>
  <c r="K2" i="39"/>
  <c r="J2" i="39"/>
  <c r="I247" i="39"/>
  <c r="I263" i="39" s="1"/>
  <c r="B263" i="39"/>
  <c r="B221" i="39"/>
  <c r="B242" i="39"/>
  <c r="B243" i="39" s="1"/>
  <c r="B225" i="39"/>
  <c r="D87" i="39"/>
  <c r="D99" i="39" s="1"/>
  <c r="AV99" i="30"/>
  <c r="B87" i="39"/>
  <c r="B99" i="39" s="1"/>
  <c r="BB99" i="33"/>
  <c r="C87" i="39"/>
  <c r="C99" i="39" s="1"/>
  <c r="E87" i="39"/>
  <c r="E99" i="39" s="1"/>
  <c r="F87" i="39"/>
  <c r="F99" i="39" s="1"/>
  <c r="B244" i="39" l="1"/>
  <c r="C240" i="39"/>
  <c r="C243" i="39" s="1"/>
  <c r="C244" i="39" l="1"/>
  <c r="D240" i="39"/>
  <c r="D243" i="39" s="1"/>
  <c r="E240" i="39" l="1"/>
  <c r="E243" i="39" s="1"/>
  <c r="D244" i="39"/>
  <c r="E244" i="39" l="1"/>
  <c r="F240" i="39"/>
  <c r="F243" i="39" s="1"/>
  <c r="F244" i="39" l="1"/>
  <c r="G240" i="39"/>
  <c r="G243" i="39" s="1"/>
  <c r="G244" i="39" s="1"/>
  <c r="S12" i="48" l="1"/>
  <c r="S13" i="48" s="1"/>
  <c r="X12" i="48"/>
  <c r="X13" i="48" s="1"/>
  <c r="U12" i="48"/>
  <c r="U13" i="48" s="1"/>
  <c r="T12" i="48"/>
  <c r="T13" i="48" s="1"/>
  <c r="W12" i="48"/>
  <c r="W13" i="48" s="1"/>
  <c r="V12" i="48"/>
  <c r="V13" i="4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</authors>
  <commentList>
    <comment ref="G5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K5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  <comment ref="K5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  <author>Matt Padron</author>
  </authors>
  <commentList>
    <comment ref="B201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FY21 ending cash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  <author>Matt Padron</author>
  </authors>
  <commentList>
    <comment ref="B20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  <author>Matt Padron</author>
  </authors>
  <commentList>
    <comment ref="B201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  <author>Matt Padron</author>
  </authors>
  <commentList>
    <comment ref="B20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  <author>Matt Padron</author>
  </authors>
  <commentList>
    <comment ref="B201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  <author>Matt Padron</author>
  </authors>
  <commentList>
    <comment ref="B20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Dang</author>
  </authors>
  <commentList>
    <comment ref="C12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Michael Dang:</t>
        </r>
        <r>
          <rPr>
            <sz val="9"/>
            <color indexed="81"/>
            <rFont val="Tahoma"/>
            <family val="2"/>
          </rPr>
          <t xml:space="preserve">
Insert fall year of start of projections, such as 2019 for school year 2019-2020.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</authors>
  <commentList>
    <comment ref="C19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</authors>
  <commentList>
    <comment ref="G5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</authors>
  <commentList>
    <comment ref="G5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</authors>
  <commentList>
    <comment ref="G5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</authors>
  <commentList>
    <comment ref="G5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</authors>
  <commentList>
    <comment ref="G5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</authors>
  <commentList>
    <comment ref="AR20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Goodsell</author>
    <author>Matt Padron</author>
  </authors>
  <commentList>
    <comment ref="B201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FY21 ending cash</t>
        </r>
      </text>
    </comment>
  </commentList>
</comments>
</file>

<file path=xl/sharedStrings.xml><?xml version="1.0" encoding="utf-8"?>
<sst xmlns="http://schemas.openxmlformats.org/spreadsheetml/2006/main" count="5431" uniqueCount="458">
  <si>
    <t xml:space="preserve">Pinecrest FY 22 </t>
  </si>
  <si>
    <t>Operating</t>
  </si>
  <si>
    <t>Weights</t>
  </si>
  <si>
    <t>SPED</t>
  </si>
  <si>
    <t>NSLP</t>
  </si>
  <si>
    <t xml:space="preserve"> Pinecrest Totals</t>
  </si>
  <si>
    <t>FY21</t>
  </si>
  <si>
    <t>Statewide Base (w/ District Adj)</t>
  </si>
  <si>
    <t>Total Students (FTEs)</t>
  </si>
  <si>
    <t>Kinder</t>
  </si>
  <si>
    <t>1st Grade</t>
  </si>
  <si>
    <t>2nd Grade</t>
  </si>
  <si>
    <t>3rd Grade</t>
  </si>
  <si>
    <t>4th Grade</t>
  </si>
  <si>
    <t>5th Grade</t>
  </si>
  <si>
    <t>6th Grade</t>
  </si>
  <si>
    <t>7th Grade</t>
  </si>
  <si>
    <t>8th Grade</t>
  </si>
  <si>
    <t>9th Grade</t>
  </si>
  <si>
    <t>10th Grade</t>
  </si>
  <si>
    <t>11th Grade</t>
  </si>
  <si>
    <t>12th Grade</t>
  </si>
  <si>
    <r>
      <rPr>
        <b/>
        <i/>
        <u/>
        <sz val="11"/>
        <color rgb="FF0000FF"/>
        <rFont val="Calibri"/>
        <family val="2"/>
        <scheme val="minor"/>
      </rPr>
      <t xml:space="preserve">PRIOR </t>
    </r>
    <r>
      <rPr>
        <b/>
        <sz val="11"/>
        <rFont val="Calibri"/>
        <family val="2"/>
        <scheme val="minor"/>
      </rPr>
      <t>YEAR NUMBERS</t>
    </r>
  </si>
  <si>
    <t>SPED Count</t>
  </si>
  <si>
    <t>ELL Count</t>
  </si>
  <si>
    <t>GATE Count</t>
  </si>
  <si>
    <t>FRL %</t>
  </si>
  <si>
    <t>At-Risk (FRL) Count</t>
  </si>
  <si>
    <t>TEACHING STAFF</t>
  </si>
  <si>
    <t>Classroom Teachers</t>
  </si>
  <si>
    <t>SPED Teachers</t>
  </si>
  <si>
    <t>Art Teacher</t>
  </si>
  <si>
    <t>Music</t>
  </si>
  <si>
    <t>PE Teacher</t>
  </si>
  <si>
    <t xml:space="preserve">Dance </t>
  </si>
  <si>
    <t>Technology (STEM)</t>
  </si>
  <si>
    <t>Theatre</t>
  </si>
  <si>
    <t>Spanish / Language</t>
  </si>
  <si>
    <t>Additional Elective Teachers</t>
  </si>
  <si>
    <t xml:space="preserve">     Total Teaching Staff</t>
  </si>
  <si>
    <t>ADMIN &amp; SUPPORT</t>
  </si>
  <si>
    <t>Principal</t>
  </si>
  <si>
    <t>Assistant Principal</t>
  </si>
  <si>
    <t>ELL Coordinator</t>
  </si>
  <si>
    <t>Counselor/ Student Support Advocate</t>
  </si>
  <si>
    <t>Curriculum Coach</t>
  </si>
  <si>
    <t>Office Manager</t>
  </si>
  <si>
    <t>Registrar</t>
  </si>
  <si>
    <t>Clinic Aide/ FASA</t>
  </si>
  <si>
    <t>Receptionist</t>
  </si>
  <si>
    <t>Teacher Assistants (SPED Included)</t>
  </si>
  <si>
    <t>Campus Monitor/Custodian</t>
  </si>
  <si>
    <t>Cafeteria Manager</t>
  </si>
  <si>
    <t>Parent Engagement Corrdinator</t>
  </si>
  <si>
    <t>SPED Facilitator</t>
  </si>
  <si>
    <t>Speech Pathologist</t>
  </si>
  <si>
    <t>School Psychologist</t>
  </si>
  <si>
    <t>OT</t>
  </si>
  <si>
    <t>School Nurse</t>
  </si>
  <si>
    <t>Gate Teacher</t>
  </si>
  <si>
    <t xml:space="preserve">     Total Admin &amp; Support</t>
  </si>
  <si>
    <t>Total # Teachers</t>
  </si>
  <si>
    <t>Total # Admin &amp; Support</t>
  </si>
  <si>
    <t>Total Staff</t>
  </si>
  <si>
    <t>Total Salaries &amp; Benefits as % of Expenses</t>
  </si>
  <si>
    <t>Instruction Salaries as % of Total Salaries</t>
  </si>
  <si>
    <t>Admin &amp; Support Salaries as % of Total Salaries</t>
  </si>
  <si>
    <t>Rent as % of Revenue</t>
  </si>
  <si>
    <t>REVENUE (@ 97%)</t>
  </si>
  <si>
    <t>State Base Revenue</t>
  </si>
  <si>
    <t>Local SPED</t>
  </si>
  <si>
    <t>National School Lunch Program (NSLP)</t>
  </si>
  <si>
    <t>SPED Funding (Part B)</t>
  </si>
  <si>
    <t>SPED Discretionary Unit</t>
  </si>
  <si>
    <t>ELL Weight</t>
  </si>
  <si>
    <t>Gifted and Talented Education (GATE) Weight</t>
  </si>
  <si>
    <t>At-Risk Weight</t>
  </si>
  <si>
    <r>
      <rPr>
        <b/>
        <sz val="11"/>
        <rFont val="Calibri"/>
        <family val="2"/>
        <scheme val="minor"/>
      </rPr>
      <t>OTHER:</t>
    </r>
    <r>
      <rPr>
        <sz val="11"/>
        <rFont val="Calibri"/>
        <family val="2"/>
        <scheme val="minor"/>
      </rPr>
      <t xml:space="preserve"> </t>
    </r>
  </si>
  <si>
    <r>
      <t>OTHER:</t>
    </r>
    <r>
      <rPr>
        <sz val="11"/>
        <rFont val="Calibri"/>
        <family val="2"/>
        <scheme val="minor"/>
      </rPr>
      <t xml:space="preserve"> </t>
    </r>
  </si>
  <si>
    <r>
      <t xml:space="preserve">OTHER: </t>
    </r>
    <r>
      <rPr>
        <sz val="11"/>
        <rFont val="Calibri"/>
        <family val="2"/>
        <scheme val="minor"/>
      </rPr>
      <t>Academica Donation - Payroll Fees</t>
    </r>
  </si>
  <si>
    <t xml:space="preserve">Total Revenues </t>
  </si>
  <si>
    <t xml:space="preserve">Total Actual Revenues </t>
  </si>
  <si>
    <t>EXPENSES</t>
  </si>
  <si>
    <t>Personnel Costs - Unrestricted Salaries</t>
  </si>
  <si>
    <t>Assistant Principal(s)</t>
  </si>
  <si>
    <t>ELL Coordinator/SWxS/RBG3</t>
  </si>
  <si>
    <t>105/106</t>
  </si>
  <si>
    <t>Counselor / Student Support Advocate/Dean</t>
  </si>
  <si>
    <t>101 /103</t>
  </si>
  <si>
    <t xml:space="preserve">Teachers Salaries </t>
  </si>
  <si>
    <t>Prior Grant/Categorical Positions</t>
  </si>
  <si>
    <t>Office Manager/ Registrar / Banker</t>
  </si>
  <si>
    <t>Secretary &amp; FASA</t>
  </si>
  <si>
    <t>Teacher Assistants (including SPED)</t>
  </si>
  <si>
    <t>Campus Monitors</t>
  </si>
  <si>
    <t xml:space="preserve">Total Unrestricted Salaries </t>
  </si>
  <si>
    <t>Personnel Costs - Restricted Salaries</t>
  </si>
  <si>
    <t xml:space="preserve">OT </t>
  </si>
  <si>
    <t>GATE Teacher</t>
  </si>
  <si>
    <t>NSLP Manager</t>
  </si>
  <si>
    <t>Cafeteria Manager - NSLP</t>
  </si>
  <si>
    <t>On Campus Sub</t>
  </si>
  <si>
    <t xml:space="preserve">Total Restricted Salaries </t>
  </si>
  <si>
    <t xml:space="preserve">Total Salaries and Wages </t>
  </si>
  <si>
    <t>PERS - 29.75%</t>
  </si>
  <si>
    <t xml:space="preserve">Insurances/Employment Taxes/Other Benefits </t>
  </si>
  <si>
    <t>Incentives / Bonuses</t>
  </si>
  <si>
    <t>Stipend</t>
  </si>
  <si>
    <t>Tuition Reimbursements</t>
  </si>
  <si>
    <t xml:space="preserve">Subst. Teachers (10 days/Teacher) </t>
  </si>
  <si>
    <t xml:space="preserve">Total Benefits and Related </t>
  </si>
  <si>
    <t xml:space="preserve">Total Payroll / Benefits and Related </t>
  </si>
  <si>
    <t>Supplies</t>
  </si>
  <si>
    <t xml:space="preserve">Consumables </t>
  </si>
  <si>
    <t>Duel Enrollment - Student Fees/Textbooks</t>
  </si>
  <si>
    <t>Zion's FFE Lease - payments</t>
  </si>
  <si>
    <t>Cash instead of Zion Lease - Curriculum/Tech/Furniture</t>
  </si>
  <si>
    <t>Office Supplies</t>
  </si>
  <si>
    <t>Classroom Supplies</t>
  </si>
  <si>
    <t>Copier Supplies</t>
  </si>
  <si>
    <t>Nursing Supplies</t>
  </si>
  <si>
    <t>SPED Supplies</t>
  </si>
  <si>
    <t>Athletics/Extra</t>
  </si>
  <si>
    <t xml:space="preserve">Total Supplies </t>
  </si>
  <si>
    <t>Purchased Services</t>
  </si>
  <si>
    <t>Data Analysts</t>
  </si>
  <si>
    <t>Special Education Contracted Services</t>
  </si>
  <si>
    <t xml:space="preserve">Contracted Services: </t>
  </si>
  <si>
    <t xml:space="preserve">Management Fee </t>
  </si>
  <si>
    <t>Payroll Services</t>
  </si>
  <si>
    <t>Audit/Tax</t>
  </si>
  <si>
    <t>Legal Fees</t>
  </si>
  <si>
    <t xml:space="preserve">IT Services </t>
  </si>
  <si>
    <t>IT Set-up Fees</t>
  </si>
  <si>
    <t>State Administrative Fee (1.25%)</t>
  </si>
  <si>
    <t>Affiliation Fee - Inc. (1/2 of 1%)</t>
  </si>
  <si>
    <t>Affiliation Fee - Professional Development (1/2 of 1%)</t>
  </si>
  <si>
    <t xml:space="preserve">Affiliation Fee - </t>
  </si>
  <si>
    <t xml:space="preserve">Total Purchased Services </t>
  </si>
  <si>
    <t>General Operations</t>
  </si>
  <si>
    <t>Telephone</t>
  </si>
  <si>
    <t>Internet</t>
  </si>
  <si>
    <t>Cell Phones</t>
  </si>
  <si>
    <t>Postage</t>
  </si>
  <si>
    <t>Website</t>
  </si>
  <si>
    <t>Copier / Printing</t>
  </si>
  <si>
    <t>Infinite Campus</t>
  </si>
  <si>
    <t xml:space="preserve">Total General Operations </t>
  </si>
  <si>
    <t>Insurances</t>
  </si>
  <si>
    <t>Property Insurance</t>
  </si>
  <si>
    <t>Liability Insurance</t>
  </si>
  <si>
    <t>Other Insurances</t>
  </si>
  <si>
    <t xml:space="preserve">Total Insurances </t>
  </si>
  <si>
    <t>Other</t>
  </si>
  <si>
    <t>Lunch Program-NSLP</t>
  </si>
  <si>
    <t>Advertising/Marketing</t>
  </si>
  <si>
    <t xml:space="preserve">Travel </t>
  </si>
  <si>
    <t>Background and Fingerprinting</t>
  </si>
  <si>
    <t>Dues and Fees</t>
  </si>
  <si>
    <t>Loan Payment / Interest Expense</t>
  </si>
  <si>
    <t>Prior Year Surplus allocated by board</t>
  </si>
  <si>
    <t>Graduation</t>
  </si>
  <si>
    <t>Other Purchases</t>
  </si>
  <si>
    <t xml:space="preserve">Total Other </t>
  </si>
  <si>
    <t>Facilities</t>
  </si>
  <si>
    <t>Public Utilities</t>
  </si>
  <si>
    <t>Natural Gas</t>
  </si>
  <si>
    <t>Water / Sewer</t>
  </si>
  <si>
    <t>Garbage/Disposal</t>
  </si>
  <si>
    <t>Fire and Security alarms</t>
  </si>
  <si>
    <t>Contracted Janitorial Services</t>
  </si>
  <si>
    <t>Custodial Supplies</t>
  </si>
  <si>
    <t>430/431</t>
  </si>
  <si>
    <t>Facility Maintenance/Repairs/Capital Outlay</t>
  </si>
  <si>
    <t>Lawn Care</t>
  </si>
  <si>
    <t>Snow removal</t>
  </si>
  <si>
    <t>AC Maintenance &amp; Repair</t>
  </si>
  <si>
    <t xml:space="preserve">Total Facilities </t>
  </si>
  <si>
    <t xml:space="preserve">Total Expenses Before Bldg </t>
  </si>
  <si>
    <t>Scheduled Lease Payment</t>
  </si>
  <si>
    <t>Scheduled Bond Payment</t>
  </si>
  <si>
    <t>Additional Parking</t>
  </si>
  <si>
    <t>Assessments</t>
  </si>
  <si>
    <t>Surplus (Revenues-Total Expenses-Lease-Bond)</t>
  </si>
  <si>
    <t>Depreciation</t>
  </si>
  <si>
    <t>Amortization</t>
  </si>
  <si>
    <t>At 100%</t>
  </si>
  <si>
    <t>Adjusted Net Income Available Before Lease and Debt Service</t>
  </si>
  <si>
    <t>Total Lease Payments &amp; Net Debt Service</t>
  </si>
  <si>
    <t xml:space="preserve">Annual Debt Service Coverage </t>
  </si>
  <si>
    <t>Days Cash on Hand Calculation</t>
  </si>
  <si>
    <t>Beginning Cash Balance - FYE 2019 Audited (System)</t>
  </si>
  <si>
    <t>Accounts Receivable</t>
  </si>
  <si>
    <t>Plus:  Operating Surplus</t>
  </si>
  <si>
    <t>Ending Cash Balance</t>
  </si>
  <si>
    <t>Projected Days Cash on Hand</t>
  </si>
  <si>
    <t>At 95%</t>
  </si>
  <si>
    <t xml:space="preserve">Horizon FY 22 </t>
  </si>
  <si>
    <t>Saddle</t>
  </si>
  <si>
    <t>ELL Coordinator/RBG3/SWxS</t>
  </si>
  <si>
    <t>Office Manager/Banker</t>
  </si>
  <si>
    <t>Local/Outside Revenue</t>
  </si>
  <si>
    <r>
      <rPr>
        <b/>
        <sz val="11"/>
        <rFont val="Calibri"/>
        <family val="2"/>
        <scheme val="minor"/>
      </rPr>
      <t>OTHER:</t>
    </r>
    <r>
      <rPr>
        <sz val="11"/>
        <rFont val="Calibri"/>
        <family val="2"/>
        <scheme val="minor"/>
      </rPr>
      <t xml:space="preserve"> Title</t>
    </r>
  </si>
  <si>
    <r>
      <rPr>
        <b/>
        <sz val="11"/>
        <rFont val="Calibri"/>
        <family val="2"/>
        <scheme val="minor"/>
      </rPr>
      <t>OTHER</t>
    </r>
    <r>
      <rPr>
        <sz val="11"/>
        <rFont val="Calibri"/>
        <family val="2"/>
        <scheme val="minor"/>
      </rPr>
      <t xml:space="preserve">: </t>
    </r>
  </si>
  <si>
    <t xml:space="preserve">OTHER: </t>
  </si>
  <si>
    <t>$300 per</t>
  </si>
  <si>
    <t>Parking</t>
  </si>
  <si>
    <t xml:space="preserve">Cadence FY 22 </t>
  </si>
  <si>
    <t>Cadence</t>
  </si>
  <si>
    <t>Needs to increase next year</t>
  </si>
  <si>
    <r>
      <t>ELL Coordinator/SWxS/</t>
    </r>
    <r>
      <rPr>
        <b/>
        <sz val="11"/>
        <rFont val="Calibri"/>
        <family val="2"/>
        <scheme val="minor"/>
      </rPr>
      <t>RBG3</t>
    </r>
  </si>
  <si>
    <t>3 deans/2 couns</t>
  </si>
  <si>
    <t>Looking, don't have at this point</t>
  </si>
  <si>
    <t>$150 per</t>
  </si>
  <si>
    <t xml:space="preserve">St. Rose FY 22 </t>
  </si>
  <si>
    <t>St. Rose</t>
  </si>
  <si>
    <r>
      <t>Counselor / Student Support Advocate/</t>
    </r>
    <r>
      <rPr>
        <b/>
        <sz val="11"/>
        <rFont val="Calibri"/>
        <family val="2"/>
        <scheme val="minor"/>
      </rPr>
      <t>Dean</t>
    </r>
  </si>
  <si>
    <t>4 teachers and one will fill this role</t>
  </si>
  <si>
    <t>Share Inspirada</t>
  </si>
  <si>
    <t>OT is through SESS</t>
  </si>
  <si>
    <t>Take Facilitator out</t>
  </si>
  <si>
    <t xml:space="preserve">Sloan FY 22 </t>
  </si>
  <si>
    <t>Sloan</t>
  </si>
  <si>
    <t>Move Instructiona Coaches to ESSR and 1 TA</t>
  </si>
  <si>
    <t>FY22</t>
  </si>
  <si>
    <t>FY23</t>
  </si>
  <si>
    <t>1/2 time</t>
  </si>
  <si>
    <t>have</t>
  </si>
  <si>
    <t>SESS</t>
  </si>
  <si>
    <t>Will add in ESSR 3</t>
  </si>
  <si>
    <t xml:space="preserve">Inspirada FY 22 </t>
  </si>
  <si>
    <t>Inspirada</t>
  </si>
  <si>
    <t>Share St. Rose</t>
  </si>
  <si>
    <t>Sloan/Inspirada</t>
  </si>
  <si>
    <t>Sloan shared</t>
  </si>
  <si>
    <t xml:space="preserve">System FY 22 </t>
  </si>
  <si>
    <t>System</t>
  </si>
  <si>
    <t>REVENUE (@ 95%)</t>
  </si>
  <si>
    <t>Horizon</t>
  </si>
  <si>
    <t xml:space="preserve"> FY 23</t>
  </si>
  <si>
    <t>Sloan Canyon</t>
  </si>
  <si>
    <t>System Wide</t>
  </si>
  <si>
    <t>Virtual</t>
  </si>
  <si>
    <t>Pinecrest System</t>
  </si>
  <si>
    <t>Parent Engagement Coordinator</t>
  </si>
  <si>
    <t>Virtual Coordinator</t>
  </si>
  <si>
    <t>REVENUE (@ 100%)</t>
  </si>
  <si>
    <r>
      <rPr>
        <b/>
        <sz val="11"/>
        <rFont val="Calibri"/>
        <family val="2"/>
        <scheme val="minor"/>
      </rPr>
      <t>OTHER:</t>
    </r>
    <r>
      <rPr>
        <sz val="11"/>
        <rFont val="Calibri"/>
        <family val="2"/>
        <scheme val="minor"/>
      </rPr>
      <t xml:space="preserve"> Administrative Fee - Virtual</t>
    </r>
  </si>
  <si>
    <t>Virtual School Corrdinator</t>
  </si>
  <si>
    <t>Retention Bonuses</t>
  </si>
  <si>
    <t>Holiday Bonuses</t>
  </si>
  <si>
    <t>Additional Bonuses</t>
  </si>
  <si>
    <t>Dual Enrollment - Student Fees/Textbooks</t>
  </si>
  <si>
    <t>AVE Credits</t>
  </si>
  <si>
    <t>Administrative Fee to Cadence</t>
  </si>
  <si>
    <t>Scheduled Bond Payment (S2018)</t>
  </si>
  <si>
    <t>Scheduled Bond Payment (S2020)</t>
  </si>
  <si>
    <t xml:space="preserve"> FY 24</t>
  </si>
  <si>
    <t>Springs</t>
  </si>
  <si>
    <t xml:space="preserve"> FY 25</t>
  </si>
  <si>
    <t xml:space="preserve"> FY 26</t>
  </si>
  <si>
    <t xml:space="preserve"> FY 27</t>
  </si>
  <si>
    <t xml:space="preserve"> FY 28</t>
  </si>
  <si>
    <t>Pinecrest Academy of Nevada - Springs</t>
  </si>
  <si>
    <t>Actual Beginning Cash Balance (based on FY21 Audit)</t>
  </si>
  <si>
    <t>Avg</t>
  </si>
  <si>
    <t>Personnel</t>
  </si>
  <si>
    <t>Benefits</t>
  </si>
  <si>
    <t>Contractual</t>
  </si>
  <si>
    <t>Contracted Services</t>
  </si>
  <si>
    <t>Equipment</t>
  </si>
  <si>
    <t>Insurance</t>
  </si>
  <si>
    <t>Facility</t>
  </si>
  <si>
    <t>Athletics</t>
  </si>
  <si>
    <t>Travel</t>
  </si>
  <si>
    <t>Accounting, Audit, &amp; Legal Fees</t>
  </si>
  <si>
    <t>Technology</t>
  </si>
  <si>
    <t>Pinecrest Academy of Nevada</t>
  </si>
  <si>
    <t>23-24 (FY24)</t>
  </si>
  <si>
    <t>Budget</t>
  </si>
  <si>
    <t>Difference</t>
  </si>
  <si>
    <t>Total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</si>
  <si>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</si>
  <si>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</si>
  <si>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</si>
  <si>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</si>
  <si>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</si>
  <si>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</si>
  <si>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</si>
  <si>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</si>
  <si>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</si>
  <si>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</si>
  <si>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</si>
  <si>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</si>
  <si>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Monthly Cash Flow (negative)</t>
  </si>
  <si>
    <t>Cumulative (negative)</t>
  </si>
  <si>
    <t>***Differences in salaries and beneifts are due to teachers being paid over the summer.</t>
  </si>
  <si>
    <t>Pinecrest Academy of Nevada - Horizon</t>
  </si>
  <si>
    <t>Actual Beginning Cash Balance (based on FY20 Audit)</t>
  </si>
  <si>
    <t>Pinecrest Academy of Nevada - Cadence</t>
  </si>
  <si>
    <t>Pinecrest Academy of Nevada - Inspirada</t>
  </si>
  <si>
    <t>Pinecrest Academy of Nevada - St. Rose</t>
  </si>
  <si>
    <t>Pinecrest Academy of Nevada - Sloan Canyon</t>
  </si>
  <si>
    <t>First payment date</t>
  </si>
  <si>
    <t>Expiration</t>
  </si>
  <si>
    <t>Schedule #</t>
  </si>
  <si>
    <t>10</t>
  </si>
  <si>
    <t>12</t>
  </si>
  <si>
    <t>14</t>
  </si>
  <si>
    <t>15</t>
  </si>
  <si>
    <t>16</t>
  </si>
  <si>
    <t>##</t>
  </si>
  <si>
    <t>Borrowed Amount</t>
  </si>
  <si>
    <t>Monthly Payment</t>
  </si>
  <si>
    <t>Interest rate</t>
  </si>
  <si>
    <t>subtotal</t>
  </si>
  <si>
    <t>Total Per Year</t>
  </si>
  <si>
    <t>Fiscal Year</t>
  </si>
  <si>
    <t>2017-2018</t>
  </si>
  <si>
    <t>2018-2019</t>
  </si>
  <si>
    <t>system total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</si>
  <si>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</si>
  <si>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</si>
  <si>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</si>
  <si>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</si>
  <si>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</si>
  <si>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</si>
  <si>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</si>
  <si>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</si>
  <si>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</si>
  <si>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</si>
  <si>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</si>
  <si>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Horizon</t>
    </r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</si>
  <si>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St. Rose</t>
    </r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</si>
  <si>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Inspirada</t>
    </r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</si>
  <si>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Cadence</t>
    </r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</si>
  <si>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Sloan Canyon</t>
    </r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</si>
  <si>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Springs</t>
    </r>
  </si>
  <si>
    <t>FY24</t>
  </si>
  <si>
    <t>FY25</t>
  </si>
  <si>
    <t>FY26</t>
  </si>
  <si>
    <t>FY27</t>
  </si>
  <si>
    <t>FY28</t>
  </si>
  <si>
    <t>Pinecrest Academy of Nevada (Horizon/St.Rose/Inspirada)</t>
  </si>
  <si>
    <t>Pinecrest Academy of Nevada (Sloan Canyon)</t>
  </si>
  <si>
    <t>Pinecrest Academy of Nevada (Cadence)</t>
  </si>
  <si>
    <t>Series 2018AB Lease Schedule</t>
  </si>
  <si>
    <t>Series 2020AB Lease Schedule</t>
  </si>
  <si>
    <t>A-2</t>
  </si>
  <si>
    <t>A-1</t>
  </si>
  <si>
    <t>Total Loan Payments:</t>
  </si>
  <si>
    <t>Las Vegas</t>
  </si>
  <si>
    <t>Online</t>
  </si>
  <si>
    <t>PCFP (New Formula)</t>
  </si>
  <si>
    <t>Base</t>
  </si>
  <si>
    <t>ELL</t>
  </si>
  <si>
    <t>GATE</t>
  </si>
  <si>
    <t>At-Risk</t>
  </si>
  <si>
    <t>FY 2022</t>
  </si>
  <si>
    <t>FY 2023</t>
  </si>
  <si>
    <t>??</t>
  </si>
  <si>
    <t>$ Change</t>
  </si>
  <si>
    <t>% Change</t>
  </si>
  <si>
    <t>FY 2024</t>
  </si>
  <si>
    <t>FY 2025</t>
  </si>
  <si>
    <t>FY 2026</t>
  </si>
  <si>
    <t>FY 2027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</si>
  <si>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</si>
  <si>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</si>
  <si>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</si>
  <si>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</si>
  <si>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</si>
  <si>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</si>
  <si>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</si>
  <si>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</si>
  <si>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</si>
  <si>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</si>
  <si>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</si>
  <si>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</si>
  <si>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Position</t>
  </si>
  <si>
    <t>ELL Corrdinator / Virtual Coordinator</t>
  </si>
  <si>
    <t>Counselor / Student Support Advocate / Dean</t>
  </si>
  <si>
    <t>Classroom Teachers (Core)</t>
  </si>
  <si>
    <t>Classroom Teachers (Specials)</t>
  </si>
  <si>
    <t>Special Education Teachers</t>
  </si>
  <si>
    <t>SPED Facilitator / Speech Pathologist / School Psych / OT / School Nurse</t>
  </si>
  <si>
    <t>Receptionist / Clinic Aide/ FASA</t>
  </si>
  <si>
    <t xml:space="preserve">Total Staff: </t>
  </si>
  <si>
    <t xml:space="preserve">Total Staff Cost: </t>
  </si>
  <si>
    <t>Pinecrest - Springs (Proposed Campus)</t>
  </si>
  <si>
    <t xml:space="preserve">Total Salaries and Wages: </t>
  </si>
  <si>
    <t xml:space="preserve">Benefits % of Salaries: </t>
  </si>
  <si>
    <t xml:space="preserve">Total Cost of Benefits: </t>
  </si>
  <si>
    <t>Enrollment Tables</t>
  </si>
  <si>
    <t>Nevada State Public Charter School Authority</t>
  </si>
  <si>
    <t>Mike Dang</t>
  </si>
  <si>
    <t>OPERATIONS PLAN</t>
  </si>
  <si>
    <t>STUDENT RECRUITMENT AND ENROLLMENT</t>
  </si>
  <si>
    <t>(a)  Minimum Enrollment (Must Correspond to Break Even Budget Scenario</t>
  </si>
  <si>
    <t>Assumptions discussed in budget narrative)</t>
  </si>
  <si>
    <t>Grade Level</t>
  </si>
  <si>
    <t>Number of Students</t>
  </si>
  <si>
    <t>Pre-K</t>
  </si>
  <si>
    <t>K</t>
  </si>
  <si>
    <t>(b)  Planned Enrollment (Must Correspond to Budget Worksheet Assumptions)</t>
  </si>
  <si>
    <t>(c)	Maximum Enrollment (Note: Enrolling more than 10 percent of the</t>
  </si>
  <si>
    <t>planned enrollment described in subsection b will necessitate a charter</t>
  </si>
  <si>
    <t>amendment)</t>
  </si>
  <si>
    <t xml:space="preserve">Pinecrest Academy of Nevada - Springs </t>
  </si>
  <si>
    <t>Staffing Tables of Projected Staffing Needs</t>
  </si>
  <si>
    <t>School Years</t>
  </si>
  <si>
    <t>Projections for school years beginning</t>
  </si>
  <si>
    <t>Proposed New Campus(es)</t>
  </si>
  <si>
    <t>Management Organization Positions</t>
  </si>
  <si>
    <t>Chief Operating Officer (Academica Nevada)</t>
  </si>
  <si>
    <t>Chief Financial Officer  (Academica Nevada)</t>
  </si>
  <si>
    <t>Chief Legal Officer (Academica Nevada)</t>
  </si>
  <si>
    <t>Bookkeepers  (Academica Nevada)</t>
  </si>
  <si>
    <t>Procurement Director (Academica Nevada)</t>
  </si>
  <si>
    <t>Facility Manager (Academica Nevada)</t>
  </si>
  <si>
    <t>Paralegal, Director of Growth &amp; Management  (Academica Nevada)</t>
  </si>
  <si>
    <t>HR, Event Coordinator, Other (Academica Nevada)</t>
  </si>
  <si>
    <t>Total Back-Office FTEs</t>
  </si>
  <si>
    <t>School Staff</t>
  </si>
  <si>
    <t>Principals</t>
  </si>
  <si>
    <t>Assistant Principals</t>
  </si>
  <si>
    <t>Counselor  / Student Support Advocate</t>
  </si>
  <si>
    <t>Curriculum/Instructional Coach/ELL Coordinator</t>
  </si>
  <si>
    <t>SPED Facilitator / Speech Psychologist</t>
  </si>
  <si>
    <t>Classroom Teachers (Core Subjects)</t>
  </si>
  <si>
    <t>Receptionist / Clinic Aide FASA</t>
  </si>
  <si>
    <t>Instructional Aide(s)</t>
  </si>
  <si>
    <t>School Operations Support Staff</t>
  </si>
  <si>
    <t>Total FTEs at School</t>
  </si>
  <si>
    <t>Network</t>
  </si>
  <si>
    <t>Year</t>
  </si>
  <si>
    <t>2022-23</t>
  </si>
  <si>
    <t>2023-24</t>
  </si>
  <si>
    <t>2024-25</t>
  </si>
  <si>
    <t>2025-26</t>
  </si>
  <si>
    <t>2026-27</t>
  </si>
  <si>
    <t>2027-28</t>
  </si>
  <si>
    <t>Number of elementary schools</t>
  </si>
  <si>
    <t>Number of middle schools</t>
  </si>
  <si>
    <t>Number of high schools</t>
  </si>
  <si>
    <t>Total schools</t>
  </si>
  <si>
    <t xml:space="preserve">Total Student enrollment </t>
  </si>
  <si>
    <t>Elementary School Staff</t>
  </si>
  <si>
    <t xml:space="preserve">Curriculum/Instructional Coach </t>
  </si>
  <si>
    <t>SPED Facilitator / Speech Pathologist / School Psychologist / OT</t>
  </si>
  <si>
    <t>EL Coordinator / Virtual Coordinator</t>
  </si>
  <si>
    <t>Teacher Aides and Assistants</t>
  </si>
  <si>
    <t>Total FTEs at Elementary Schools</t>
  </si>
  <si>
    <t>Middle School Staff</t>
  </si>
  <si>
    <t>Total FTEs at Middle Schools</t>
  </si>
  <si>
    <t>High School Staff</t>
  </si>
  <si>
    <t>Total FTEs at High Schools</t>
  </si>
  <si>
    <t>Total Network FTEs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</si>
</sst>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_);_(* \(#,##0.000\);_(* &quot;-&quot;??_);_(@_)"/>
    <numFmt numFmtId="167" formatCode="0.000"/>
    <numFmt numFmtId="168" formatCode="mm/dd/yy;@"/>
    <numFmt numFmtId="169" formatCode="#,##0.0_);\(#,##0.0\)"/>
    <numFmt numFmtId="170" formatCode="0.0"/>
    <numFmt numFmtId="171" formatCode="#,##0.0"/>
    <numFmt numFmtId="172" formatCode="_(#,##0_);[Red]_(\(#,##0\);_(&quot;-&quot;_);_(@_)"/>
    <numFmt numFmtId="173" formatCode="_(#,##0.00_);[Red]_(\(#,##0.00\);_(&quot;-&quot;_);_(@_)"/>
    <numFmt numFmtId="174" formatCode="_(#,##0.0_);[Red]_(\(#,##0.0\);_(&quot;-&quot;_);_(@_)"/>
    <numFmt numFmtId="175" formatCode="0_);[Red]\(0\)"/>
    <numFmt numFmtId="176" formatCode="0.000%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u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sz val="7"/>
      <color rgb="FF0000FF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rgb="FFFF0000"/>
      <name val="Arial"/>
      <family val="2"/>
    </font>
    <font>
      <sz val="11"/>
      <name val="Times New Roman"/>
      <family val="1"/>
    </font>
    <font>
      <sz val="10"/>
      <name val="Cambria"/>
      <family val="1"/>
    </font>
    <font>
      <b/>
      <sz val="10"/>
      <name val="Cambria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i/>
      <sz val="9"/>
      <color indexed="8"/>
      <name val="Times New Roman"/>
      <family val="1"/>
    </font>
    <font>
      <b/>
      <sz val="9"/>
      <color indexed="23"/>
      <name val="Arial"/>
      <family val="2"/>
    </font>
    <font>
      <b/>
      <sz val="10"/>
      <color indexed="23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Calibri"/>
      <family val="2"/>
    </font>
    <font>
      <b/>
      <sz val="8"/>
      <name val="Times New Roman"/>
      <family val="1"/>
    </font>
    <font>
      <sz val="11"/>
      <name val="Calibri"/>
      <family val="2"/>
    </font>
    <font>
      <b/>
      <sz val="11"/>
      <name val="Arial"/>
      <family val="2"/>
    </font>
    <font>
      <b/>
      <sz val="10"/>
      <color rgb="FF0000FF"/>
      <name val="Arial"/>
      <family val="2"/>
    </font>
    <font>
      <i/>
      <sz val="9"/>
      <color indexed="8"/>
      <name val="Arial"/>
      <family val="2"/>
    </font>
    <font>
      <b/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0F3F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8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00"/>
        <bgColor indexed="64"/>
      </patternFill>
    </fill>
  </fills>
  <borders count="64">
    <border>
      <left/>
      <right/>
      <top/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22"/>
      </left>
      <right style="hair">
        <color indexed="22"/>
      </right>
      <top style="thin">
        <color indexed="64"/>
      </top>
      <bottom/>
      <diagonal/>
    </border>
    <border>
      <left style="hair">
        <color indexed="22"/>
      </left>
      <right style="hair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</cellStyleXfs>
  <cellXfs count="407">
    <xf numFmtId="0" fontId="0" fillId="0" borderId="0" xfId="0"/>
    <xf numFmtId="0" fontId="3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Font="1"/>
    <xf numFmtId="0" fontId="8" fillId="0" borderId="1" xfId="2" applyNumberFormat="1" applyFont="1" applyFill="1" applyBorder="1" applyAlignment="1">
      <alignment horizontal="right"/>
    </xf>
    <xf numFmtId="164" fontId="0" fillId="0" borderId="3" xfId="1" applyNumberFormat="1" applyFont="1" applyBorder="1"/>
    <xf numFmtId="0" fontId="8" fillId="0" borderId="4" xfId="2" applyNumberFormat="1" applyFont="1" applyFill="1" applyBorder="1" applyAlignment="1">
      <alignment horizontal="right"/>
    </xf>
    <xf numFmtId="164" fontId="3" fillId="0" borderId="3" xfId="1" applyNumberFormat="1" applyFont="1" applyBorder="1"/>
    <xf numFmtId="0" fontId="8" fillId="0" borderId="7" xfId="0" applyFont="1" applyFill="1" applyBorder="1" applyAlignment="1">
      <alignment horizontal="right"/>
    </xf>
    <xf numFmtId="164" fontId="8" fillId="0" borderId="3" xfId="1" applyNumberFormat="1" applyFont="1" applyFill="1" applyBorder="1"/>
    <xf numFmtId="0" fontId="8" fillId="0" borderId="7" xfId="2" applyNumberFormat="1" applyFont="1" applyFill="1" applyBorder="1" applyAlignment="1">
      <alignment horizontal="right"/>
    </xf>
    <xf numFmtId="0" fontId="0" fillId="0" borderId="7" xfId="0" applyFont="1" applyFill="1" applyBorder="1" applyAlignment="1">
      <alignment horizontal="right"/>
    </xf>
    <xf numFmtId="164" fontId="8" fillId="0" borderId="3" xfId="1" applyNumberFormat="1" applyFont="1" applyBorder="1"/>
    <xf numFmtId="164" fontId="0" fillId="0" borderId="3" xfId="1" applyNumberFormat="1" applyFont="1" applyFill="1" applyBorder="1"/>
    <xf numFmtId="0" fontId="0" fillId="0" borderId="4" xfId="0" applyFont="1" applyFill="1" applyBorder="1" applyAlignment="1">
      <alignment horizontal="right"/>
    </xf>
    <xf numFmtId="0" fontId="5" fillId="2" borderId="8" xfId="0" applyFont="1" applyFill="1" applyBorder="1"/>
    <xf numFmtId="3" fontId="5" fillId="2" borderId="3" xfId="0" applyNumberFormat="1" applyFont="1" applyFill="1" applyBorder="1" applyAlignment="1">
      <alignment horizontal="center"/>
    </xf>
    <xf numFmtId="9" fontId="0" fillId="0" borderId="3" xfId="3" applyFont="1" applyBorder="1"/>
    <xf numFmtId="0" fontId="4" fillId="0" borderId="4" xfId="0" applyFont="1" applyFill="1" applyBorder="1" applyAlignment="1">
      <alignment horizontal="right"/>
    </xf>
    <xf numFmtId="0" fontId="8" fillId="0" borderId="4" xfId="0" applyFont="1" applyFill="1" applyBorder="1" applyProtection="1">
      <protection locked="0"/>
    </xf>
    <xf numFmtId="43" fontId="8" fillId="0" borderId="3" xfId="0" applyNumberFormat="1" applyFont="1" applyFill="1" applyBorder="1" applyAlignment="1" applyProtection="1">
      <alignment horizontal="center"/>
      <protection locked="0"/>
    </xf>
    <xf numFmtId="43" fontId="0" fillId="0" borderId="3" xfId="1" applyNumberFormat="1" applyFont="1" applyBorder="1"/>
    <xf numFmtId="0" fontId="8" fillId="0" borderId="6" xfId="0" applyFont="1" applyFill="1" applyBorder="1" applyProtection="1">
      <protection locked="0"/>
    </xf>
    <xf numFmtId="0" fontId="7" fillId="0" borderId="0" xfId="0" applyFont="1" applyFill="1" applyAlignment="1">
      <alignment horizontal="center"/>
    </xf>
    <xf numFmtId="43" fontId="0" fillId="0" borderId="3" xfId="1" applyNumberFormat="1" applyFont="1" applyFill="1" applyBorder="1"/>
    <xf numFmtId="0" fontId="8" fillId="0" borderId="4" xfId="0" applyFont="1" applyFill="1" applyBorder="1" applyAlignment="1" applyProtection="1">
      <alignment horizontal="left"/>
      <protection locked="0"/>
    </xf>
    <xf numFmtId="0" fontId="8" fillId="0" borderId="6" xfId="0" applyFont="1" applyFill="1" applyBorder="1" applyAlignment="1" applyProtection="1">
      <alignment horizontal="left"/>
      <protection locked="0"/>
    </xf>
    <xf numFmtId="0" fontId="6" fillId="3" borderId="7" xfId="0" applyFont="1" applyFill="1" applyBorder="1"/>
    <xf numFmtId="43" fontId="6" fillId="3" borderId="3" xfId="1" applyNumberFormat="1" applyFont="1" applyFill="1" applyBorder="1"/>
    <xf numFmtId="0" fontId="5" fillId="0" borderId="4" xfId="0" applyFont="1" applyFill="1" applyBorder="1"/>
    <xf numFmtId="43" fontId="5" fillId="2" borderId="3" xfId="0" applyNumberFormat="1" applyFont="1" applyFill="1" applyBorder="1" applyAlignment="1">
      <alignment horizontal="center"/>
    </xf>
    <xf numFmtId="0" fontId="8" fillId="0" borderId="4" xfId="0" applyFont="1" applyFill="1" applyBorder="1" applyAlignment="1" applyProtection="1">
      <alignment wrapText="1"/>
      <protection locked="0"/>
    </xf>
    <xf numFmtId="0" fontId="8" fillId="0" borderId="4" xfId="0" applyFont="1" applyFill="1" applyBorder="1"/>
    <xf numFmtId="0" fontId="8" fillId="0" borderId="6" xfId="0" applyFont="1" applyFill="1" applyBorder="1"/>
    <xf numFmtId="0" fontId="5" fillId="4" borderId="4" xfId="0" applyFont="1" applyFill="1" applyBorder="1"/>
    <xf numFmtId="164" fontId="0" fillId="0" borderId="2" xfId="1" applyNumberFormat="1" applyFont="1" applyBorder="1"/>
    <xf numFmtId="43" fontId="0" fillId="0" borderId="2" xfId="1" applyNumberFormat="1" applyFont="1" applyBorder="1"/>
    <xf numFmtId="43" fontId="6" fillId="0" borderId="10" xfId="1" applyNumberFormat="1" applyFont="1" applyBorder="1"/>
    <xf numFmtId="0" fontId="6" fillId="4" borderId="7" xfId="0" applyFont="1" applyFill="1" applyBorder="1"/>
    <xf numFmtId="43" fontId="6" fillId="0" borderId="11" xfId="1" applyNumberFormat="1" applyFont="1" applyBorder="1"/>
    <xf numFmtId="0" fontId="6" fillId="4" borderId="12" xfId="0" applyFont="1" applyFill="1" applyBorder="1"/>
    <xf numFmtId="43" fontId="6" fillId="0" borderId="14" xfId="1" applyNumberFormat="1" applyFont="1" applyBorder="1"/>
    <xf numFmtId="0" fontId="6" fillId="4" borderId="15" xfId="0" applyFont="1" applyFill="1" applyBorder="1"/>
    <xf numFmtId="164" fontId="0" fillId="0" borderId="5" xfId="1" applyNumberFormat="1" applyFont="1" applyBorder="1"/>
    <xf numFmtId="9" fontId="7" fillId="0" borderId="10" xfId="3" applyNumberFormat="1" applyFont="1" applyBorder="1" applyAlignment="1">
      <alignment horizontal="center"/>
    </xf>
    <xf numFmtId="0" fontId="5" fillId="0" borderId="10" xfId="0" applyFont="1" applyFill="1" applyBorder="1"/>
    <xf numFmtId="9" fontId="7" fillId="0" borderId="11" xfId="3" applyNumberFormat="1" applyFont="1" applyBorder="1" applyAlignment="1">
      <alignment horizontal="center"/>
    </xf>
    <xf numFmtId="0" fontId="5" fillId="0" borderId="17" xfId="0" applyFont="1" applyFill="1" applyBorder="1"/>
    <xf numFmtId="0" fontId="7" fillId="0" borderId="0" xfId="0" applyFont="1" applyBorder="1" applyAlignment="1">
      <alignment horizontal="center"/>
    </xf>
    <xf numFmtId="0" fontId="5" fillId="0" borderId="13" xfId="0" applyFont="1" applyFill="1" applyBorder="1"/>
    <xf numFmtId="9" fontId="7" fillId="0" borderId="14" xfId="3" applyNumberFormat="1" applyFont="1" applyBorder="1" applyAlignment="1">
      <alignment horizontal="center"/>
    </xf>
    <xf numFmtId="0" fontId="5" fillId="0" borderId="16" xfId="0" applyFont="1" applyFill="1" applyBorder="1"/>
    <xf numFmtId="0" fontId="9" fillId="0" borderId="0" xfId="0" applyFont="1" applyFill="1" applyBorder="1"/>
    <xf numFmtId="164" fontId="0" fillId="0" borderId="0" xfId="1" applyNumberFormat="1" applyFont="1" applyBorder="1"/>
    <xf numFmtId="0" fontId="7" fillId="3" borderId="3" xfId="0" applyFont="1" applyFill="1" applyBorder="1" applyAlignment="1">
      <alignment horizontal="center"/>
    </xf>
    <xf numFmtId="0" fontId="5" fillId="3" borderId="3" xfId="0" applyFont="1" applyFill="1" applyBorder="1"/>
    <xf numFmtId="164" fontId="3" fillId="3" borderId="3" xfId="1" applyNumberFormat="1" applyFont="1" applyFill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8" fillId="0" borderId="19" xfId="0" applyFont="1" applyFill="1" applyBorder="1"/>
    <xf numFmtId="164" fontId="0" fillId="0" borderId="9" xfId="1" applyNumberFormat="1" applyFont="1" applyBorder="1"/>
    <xf numFmtId="0" fontId="8" fillId="0" borderId="20" xfId="0" applyFont="1" applyFill="1" applyBorder="1"/>
    <xf numFmtId="0" fontId="7" fillId="0" borderId="19" xfId="0" applyFont="1" applyBorder="1" applyAlignment="1">
      <alignment horizontal="center"/>
    </xf>
    <xf numFmtId="0" fontId="7" fillId="6" borderId="18" xfId="0" applyFont="1" applyFill="1" applyBorder="1" applyAlignment="1">
      <alignment horizontal="center"/>
    </xf>
    <xf numFmtId="0" fontId="5" fillId="0" borderId="22" xfId="0" applyFont="1" applyFill="1" applyBorder="1"/>
    <xf numFmtId="0" fontId="7" fillId="5" borderId="23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right"/>
    </xf>
    <xf numFmtId="164" fontId="6" fillId="5" borderId="25" xfId="1" applyNumberFormat="1" applyFont="1" applyFill="1" applyBorder="1"/>
    <xf numFmtId="0" fontId="7" fillId="0" borderId="0" xfId="0" applyFont="1"/>
    <xf numFmtId="0" fontId="0" fillId="0" borderId="0" xfId="0" applyFont="1" applyBorder="1"/>
    <xf numFmtId="0" fontId="8" fillId="0" borderId="0" xfId="0" applyFont="1" applyBorder="1"/>
    <xf numFmtId="0" fontId="7" fillId="7" borderId="26" xfId="0" applyFont="1" applyFill="1" applyBorder="1" applyAlignment="1">
      <alignment horizontal="center"/>
    </xf>
    <xf numFmtId="0" fontId="5" fillId="7" borderId="26" xfId="0" applyFont="1" applyFill="1" applyBorder="1" applyAlignment="1">
      <alignment horizontal="left"/>
    </xf>
    <xf numFmtId="164" fontId="3" fillId="7" borderId="2" xfId="1" applyNumberFormat="1" applyFont="1" applyFill="1" applyBorder="1" applyAlignment="1">
      <alignment horizontal="center"/>
    </xf>
    <xf numFmtId="0" fontId="7" fillId="2" borderId="18" xfId="0" applyFont="1" applyFill="1" applyBorder="1"/>
    <xf numFmtId="0" fontId="10" fillId="2" borderId="27" xfId="0" applyFont="1" applyFill="1" applyBorder="1"/>
    <xf numFmtId="0" fontId="5" fillId="2" borderId="28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164" fontId="0" fillId="0" borderId="9" xfId="1" applyNumberFormat="1" applyFont="1" applyFill="1" applyBorder="1"/>
    <xf numFmtId="164" fontId="8" fillId="0" borderId="2" xfId="1" applyNumberFormat="1" applyFont="1" applyBorder="1"/>
    <xf numFmtId="0" fontId="8" fillId="7" borderId="21" xfId="0" applyFont="1" applyFill="1" applyBorder="1" applyAlignment="1">
      <alignment horizontal="right"/>
    </xf>
    <xf numFmtId="164" fontId="7" fillId="7" borderId="21" xfId="1" applyNumberFormat="1" applyFont="1" applyFill="1" applyBorder="1"/>
    <xf numFmtId="0" fontId="10" fillId="2" borderId="18" xfId="0" applyFont="1" applyFill="1" applyBorder="1"/>
    <xf numFmtId="0" fontId="7" fillId="0" borderId="18" xfId="0" applyFont="1" applyBorder="1"/>
    <xf numFmtId="164" fontId="0" fillId="0" borderId="2" xfId="1" applyNumberFormat="1" applyFont="1" applyFill="1" applyBorder="1"/>
    <xf numFmtId="164" fontId="7" fillId="7" borderId="2" xfId="1" applyNumberFormat="1" applyFont="1" applyFill="1" applyBorder="1"/>
    <xf numFmtId="0" fontId="7" fillId="7" borderId="29" xfId="0" applyFont="1" applyFill="1" applyBorder="1" applyAlignment="1">
      <alignment horizontal="center"/>
    </xf>
    <xf numFmtId="0" fontId="5" fillId="7" borderId="21" xfId="0" applyFont="1" applyFill="1" applyBorder="1" applyAlignment="1">
      <alignment horizontal="right"/>
    </xf>
    <xf numFmtId="164" fontId="7" fillId="7" borderId="25" xfId="1" applyNumberFormat="1" applyFont="1" applyFill="1" applyBorder="1"/>
    <xf numFmtId="0" fontId="5" fillId="7" borderId="26" xfId="0" applyFont="1" applyFill="1" applyBorder="1" applyAlignment="1">
      <alignment horizontal="right"/>
    </xf>
    <xf numFmtId="164" fontId="7" fillId="7" borderId="30" xfId="1" applyNumberFormat="1" applyFont="1" applyFill="1" applyBorder="1"/>
    <xf numFmtId="0" fontId="7" fillId="0" borderId="31" xfId="0" applyFont="1" applyBorder="1" applyAlignment="1">
      <alignment horizontal="center"/>
    </xf>
    <xf numFmtId="164" fontId="1" fillId="0" borderId="3" xfId="1" applyNumberFormat="1" applyFont="1" applyBorder="1"/>
    <xf numFmtId="0" fontId="5" fillId="7" borderId="32" xfId="0" applyFont="1" applyFill="1" applyBorder="1" applyAlignment="1">
      <alignment horizontal="right"/>
    </xf>
    <xf numFmtId="0" fontId="5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8" fillId="0" borderId="19" xfId="0" applyFont="1" applyFill="1" applyBorder="1" applyAlignment="1">
      <alignment horizontal="left"/>
    </xf>
    <xf numFmtId="0" fontId="8" fillId="0" borderId="20" xfId="0" applyFont="1" applyFill="1" applyBorder="1" applyAlignment="1">
      <alignment horizontal="left"/>
    </xf>
    <xf numFmtId="0" fontId="7" fillId="6" borderId="19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left"/>
    </xf>
    <xf numFmtId="0" fontId="10" fillId="0" borderId="19" xfId="0" applyFont="1" applyFill="1" applyBorder="1" applyAlignment="1">
      <alignment horizontal="right"/>
    </xf>
    <xf numFmtId="0" fontId="8" fillId="0" borderId="33" xfId="0" applyFont="1" applyBorder="1"/>
    <xf numFmtId="164" fontId="6" fillId="7" borderId="25" xfId="1" applyNumberFormat="1" applyFont="1" applyFill="1" applyBorder="1"/>
    <xf numFmtId="0" fontId="10" fillId="0" borderId="20" xfId="0" applyFont="1" applyFill="1" applyBorder="1"/>
    <xf numFmtId="0" fontId="10" fillId="0" borderId="3" xfId="0" applyFont="1" applyBorder="1"/>
    <xf numFmtId="0" fontId="3" fillId="0" borderId="3" xfId="0" applyFont="1" applyBorder="1"/>
    <xf numFmtId="0" fontId="0" fillId="0" borderId="22" xfId="0" applyFont="1" applyBorder="1"/>
    <xf numFmtId="164" fontId="0" fillId="0" borderId="0" xfId="1" applyNumberFormat="1" applyFont="1"/>
    <xf numFmtId="10" fontId="0" fillId="0" borderId="9" xfId="3" applyNumberFormat="1" applyFont="1" applyBorder="1"/>
    <xf numFmtId="43" fontId="0" fillId="0" borderId="0" xfId="1" applyNumberFormat="1" applyFont="1"/>
    <xf numFmtId="0" fontId="3" fillId="0" borderId="0" xfId="0" applyFont="1" applyAlignment="1">
      <alignment horizontal="center"/>
    </xf>
    <xf numFmtId="0" fontId="8" fillId="0" borderId="3" xfId="0" applyFont="1" applyFill="1" applyBorder="1"/>
    <xf numFmtId="0" fontId="0" fillId="0" borderId="34" xfId="0" applyFont="1" applyBorder="1"/>
    <xf numFmtId="0" fontId="8" fillId="0" borderId="35" xfId="0" applyFont="1" applyBorder="1"/>
    <xf numFmtId="0" fontId="3" fillId="8" borderId="7" xfId="0" applyFont="1" applyFill="1" applyBorder="1"/>
    <xf numFmtId="164" fontId="8" fillId="8" borderId="36" xfId="0" applyNumberFormat="1" applyFont="1" applyFill="1" applyBorder="1"/>
    <xf numFmtId="0" fontId="0" fillId="0" borderId="4" xfId="0" applyFont="1" applyBorder="1"/>
    <xf numFmtId="0" fontId="8" fillId="0" borderId="37" xfId="0" applyFont="1" applyBorder="1"/>
    <xf numFmtId="0" fontId="10" fillId="0" borderId="4" xfId="0" applyFont="1" applyBorder="1"/>
    <xf numFmtId="164" fontId="8" fillId="0" borderId="37" xfId="0" applyNumberFormat="1" applyFont="1" applyBorder="1"/>
    <xf numFmtId="164" fontId="8" fillId="0" borderId="37" xfId="1" applyNumberFormat="1" applyFont="1" applyBorder="1"/>
    <xf numFmtId="0" fontId="3" fillId="5" borderId="7" xfId="0" applyFont="1" applyFill="1" applyBorder="1"/>
    <xf numFmtId="164" fontId="8" fillId="5" borderId="36" xfId="1" applyNumberFormat="1" applyFont="1" applyFill="1" applyBorder="1"/>
    <xf numFmtId="43" fontId="5" fillId="8" borderId="36" xfId="1" applyFont="1" applyFill="1" applyBorder="1"/>
    <xf numFmtId="43" fontId="8" fillId="0" borderId="37" xfId="0" applyNumberFormat="1" applyFont="1" applyBorder="1"/>
    <xf numFmtId="0" fontId="3" fillId="6" borderId="7" xfId="0" applyFont="1" applyFill="1" applyBorder="1" applyAlignment="1"/>
    <xf numFmtId="0" fontId="8" fillId="6" borderId="36" xfId="0" applyFont="1" applyFill="1" applyBorder="1"/>
    <xf numFmtId="164" fontId="8" fillId="10" borderId="37" xfId="1" applyNumberFormat="1" applyFont="1" applyFill="1" applyBorder="1"/>
    <xf numFmtId="0" fontId="8" fillId="0" borderId="4" xfId="0" applyFont="1" applyBorder="1"/>
    <xf numFmtId="0" fontId="0" fillId="6" borderId="7" xfId="0" applyFont="1" applyFill="1" applyBorder="1"/>
    <xf numFmtId="164" fontId="7" fillId="6" borderId="36" xfId="1" applyNumberFormat="1" applyFont="1" applyFill="1" applyBorder="1"/>
    <xf numFmtId="0" fontId="5" fillId="0" borderId="37" xfId="0" applyFont="1" applyBorder="1" applyAlignment="1">
      <alignment horizontal="center"/>
    </xf>
    <xf numFmtId="43" fontId="5" fillId="8" borderId="36" xfId="1" applyNumberFormat="1" applyFont="1" applyFill="1" applyBorder="1"/>
    <xf numFmtId="0" fontId="3" fillId="8" borderId="12" xfId="0" applyFont="1" applyFill="1" applyBorder="1"/>
    <xf numFmtId="43" fontId="5" fillId="8" borderId="38" xfId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164" fontId="6" fillId="0" borderId="3" xfId="1" applyNumberFormat="1" applyFont="1" applyBorder="1"/>
    <xf numFmtId="0" fontId="0" fillId="0" borderId="6" xfId="0" applyFont="1" applyFill="1" applyBorder="1" applyAlignment="1">
      <alignment horizontal="right"/>
    </xf>
    <xf numFmtId="0" fontId="8" fillId="0" borderId="0" xfId="0" applyFont="1" applyFill="1" applyBorder="1"/>
    <xf numFmtId="164" fontId="2" fillId="0" borderId="3" xfId="1" applyNumberFormat="1" applyFont="1" applyBorder="1"/>
    <xf numFmtId="0" fontId="7" fillId="0" borderId="3" xfId="0" applyFont="1" applyBorder="1" applyAlignment="1">
      <alignment horizontal="center"/>
    </xf>
    <xf numFmtId="0" fontId="11" fillId="9" borderId="22" xfId="0" applyFont="1" applyFill="1" applyBorder="1" applyAlignment="1">
      <alignment wrapText="1"/>
    </xf>
    <xf numFmtId="164" fontId="6" fillId="9" borderId="16" xfId="1" applyNumberFormat="1" applyFont="1" applyFill="1" applyBorder="1"/>
    <xf numFmtId="0" fontId="0" fillId="0" borderId="3" xfId="0" applyBorder="1"/>
    <xf numFmtId="0" fontId="0" fillId="0" borderId="3" xfId="0" applyFont="1" applyBorder="1"/>
    <xf numFmtId="164" fontId="1" fillId="0" borderId="3" xfId="1" applyNumberFormat="1" applyFont="1" applyFill="1" applyBorder="1"/>
    <xf numFmtId="164" fontId="5" fillId="2" borderId="3" xfId="0" applyNumberFormat="1" applyFont="1" applyFill="1" applyBorder="1" applyAlignment="1">
      <alignment horizontal="center"/>
    </xf>
    <xf numFmtId="164" fontId="5" fillId="2" borderId="3" xfId="1" applyNumberFormat="1" applyFont="1" applyFill="1" applyBorder="1" applyAlignment="1">
      <alignment horizontal="center"/>
    </xf>
    <xf numFmtId="0" fontId="16" fillId="0" borderId="0" xfId="0" applyFont="1" applyAlignment="1">
      <alignment horizontal="right"/>
    </xf>
    <xf numFmtId="43" fontId="8" fillId="0" borderId="3" xfId="1" applyNumberFormat="1" applyFont="1" applyFill="1" applyBorder="1"/>
    <xf numFmtId="164" fontId="6" fillId="0" borderId="3" xfId="1" applyNumberFormat="1" applyFont="1" applyFill="1" applyBorder="1"/>
    <xf numFmtId="0" fontId="5" fillId="0" borderId="20" xfId="0" applyFont="1" applyFill="1" applyBorder="1"/>
    <xf numFmtId="43" fontId="0" fillId="0" borderId="0" xfId="0" applyNumberFormat="1"/>
    <xf numFmtId="0" fontId="0" fillId="0" borderId="39" xfId="0" applyBorder="1"/>
    <xf numFmtId="165" fontId="0" fillId="0" borderId="0" xfId="3" applyNumberFormat="1" applyFont="1"/>
    <xf numFmtId="44" fontId="0" fillId="0" borderId="0" xfId="2" applyFont="1"/>
    <xf numFmtId="44" fontId="0" fillId="0" borderId="0" xfId="0" applyNumberFormat="1"/>
    <xf numFmtId="44" fontId="7" fillId="0" borderId="0" xfId="2" applyFont="1"/>
    <xf numFmtId="10" fontId="0" fillId="0" borderId="3" xfId="3" applyNumberFormat="1" applyFont="1" applyBorder="1"/>
    <xf numFmtId="164" fontId="7" fillId="0" borderId="3" xfId="1" applyNumberFormat="1" applyFont="1" applyFill="1" applyBorder="1"/>
    <xf numFmtId="0" fontId="17" fillId="0" borderId="0" xfId="0" applyFont="1" applyAlignment="1">
      <alignment horizontal="right"/>
    </xf>
    <xf numFmtId="43" fontId="8" fillId="0" borderId="3" xfId="1" applyNumberFormat="1" applyFont="1" applyBorder="1"/>
    <xf numFmtId="164" fontId="8" fillId="7" borderId="3" xfId="1" applyNumberFormat="1" applyFont="1" applyFill="1" applyBorder="1"/>
    <xf numFmtId="164" fontId="8" fillId="11" borderId="3" xfId="1" applyNumberFormat="1" applyFont="1" applyFill="1" applyBorder="1"/>
    <xf numFmtId="164" fontId="0" fillId="0" borderId="0" xfId="0" applyNumberFormat="1" applyFill="1" applyBorder="1"/>
    <xf numFmtId="166" fontId="0" fillId="0" borderId="0" xfId="0" applyNumberFormat="1"/>
    <xf numFmtId="164" fontId="8" fillId="0" borderId="9" xfId="1" applyNumberFormat="1" applyFont="1" applyBorder="1"/>
    <xf numFmtId="164" fontId="0" fillId="6" borderId="3" xfId="1" applyNumberFormat="1" applyFont="1" applyFill="1" applyBorder="1"/>
    <xf numFmtId="6" fontId="0" fillId="0" borderId="0" xfId="0" applyNumberFormat="1"/>
    <xf numFmtId="43" fontId="0" fillId="0" borderId="0" xfId="1" applyFont="1"/>
    <xf numFmtId="43" fontId="8" fillId="12" borderId="3" xfId="1" applyNumberFormat="1" applyFont="1" applyFill="1" applyBorder="1"/>
    <xf numFmtId="43" fontId="6" fillId="0" borderId="17" xfId="1" applyNumberFormat="1" applyFont="1" applyFill="1" applyBorder="1"/>
    <xf numFmtId="9" fontId="0" fillId="0" borderId="0" xfId="3" applyFont="1"/>
    <xf numFmtId="9" fontId="0" fillId="0" borderId="0" xfId="0" applyNumberFormat="1"/>
    <xf numFmtId="43" fontId="0" fillId="13" borderId="3" xfId="1" applyNumberFormat="1" applyFont="1" applyFill="1" applyBorder="1"/>
    <xf numFmtId="165" fontId="0" fillId="0" borderId="3" xfId="3" applyNumberFormat="1" applyFont="1" applyBorder="1"/>
    <xf numFmtId="164" fontId="0" fillId="10" borderId="3" xfId="1" applyNumberFormat="1" applyFont="1" applyFill="1" applyBorder="1"/>
    <xf numFmtId="43" fontId="8" fillId="10" borderId="3" xfId="1" applyNumberFormat="1" applyFont="1" applyFill="1" applyBorder="1"/>
    <xf numFmtId="0" fontId="0" fillId="10" borderId="0" xfId="0" applyFill="1"/>
    <xf numFmtId="0" fontId="18" fillId="0" borderId="0" xfId="0" applyFont="1"/>
    <xf numFmtId="0" fontId="18" fillId="0" borderId="3" xfId="0" applyFont="1" applyBorder="1"/>
    <xf numFmtId="0" fontId="19" fillId="0" borderId="3" xfId="0" applyFont="1" applyBorder="1" applyAlignment="1">
      <alignment horizontal="center"/>
    </xf>
    <xf numFmtId="164" fontId="18" fillId="0" borderId="3" xfId="1" applyNumberFormat="1" applyFont="1" applyBorder="1"/>
    <xf numFmtId="0" fontId="18" fillId="2" borderId="3" xfId="0" applyFont="1" applyFill="1" applyBorder="1" applyAlignment="1">
      <alignment horizontal="center"/>
    </xf>
    <xf numFmtId="164" fontId="18" fillId="0" borderId="3" xfId="0" applyNumberFormat="1" applyFont="1" applyBorder="1"/>
    <xf numFmtId="165" fontId="18" fillId="0" borderId="3" xfId="3" applyNumberFormat="1" applyFont="1" applyBorder="1"/>
    <xf numFmtId="0" fontId="0" fillId="14" borderId="0" xfId="0" applyFill="1"/>
    <xf numFmtId="2" fontId="21" fillId="0" borderId="0" xfId="0" applyNumberFormat="1" applyFont="1"/>
    <xf numFmtId="2" fontId="16" fillId="0" borderId="0" xfId="0" applyNumberFormat="1" applyFont="1"/>
    <xf numFmtId="0" fontId="21" fillId="0" borderId="0" xfId="0" applyFont="1"/>
    <xf numFmtId="167" fontId="21" fillId="0" borderId="0" xfId="0" applyNumberFormat="1" applyFont="1"/>
    <xf numFmtId="0" fontId="22" fillId="0" borderId="3" xfId="0" applyFont="1" applyBorder="1"/>
    <xf numFmtId="164" fontId="22" fillId="0" borderId="3" xfId="0" applyNumberFormat="1" applyFont="1" applyBorder="1"/>
    <xf numFmtId="165" fontId="22" fillId="0" borderId="3" xfId="3" applyNumberFormat="1" applyFont="1" applyBorder="1"/>
    <xf numFmtId="164" fontId="0" fillId="7" borderId="3" xfId="1" applyNumberFormat="1" applyFont="1" applyFill="1" applyBorder="1"/>
    <xf numFmtId="164" fontId="8" fillId="10" borderId="3" xfId="1" applyNumberFormat="1" applyFont="1" applyFill="1" applyBorder="1"/>
    <xf numFmtId="0" fontId="23" fillId="0" borderId="0" xfId="0" applyFont="1" applyAlignment="1">
      <alignment horizontal="left"/>
    </xf>
    <xf numFmtId="43" fontId="23" fillId="0" borderId="0" xfId="0" applyNumberFormat="1" applyFont="1" applyAlignment="1">
      <alignment horizontal="left"/>
    </xf>
    <xf numFmtId="164" fontId="0" fillId="0" borderId="3" xfId="0" applyNumberFormat="1" applyBorder="1"/>
    <xf numFmtId="43" fontId="24" fillId="0" borderId="0" xfId="1" applyFont="1" applyAlignment="1"/>
    <xf numFmtId="168" fontId="0" fillId="0" borderId="0" xfId="0" applyNumberFormat="1" applyAlignment="1">
      <alignment horizontal="center"/>
    </xf>
    <xf numFmtId="44" fontId="3" fillId="0" borderId="0" xfId="0" applyNumberFormat="1" applyFont="1" applyAlignment="1">
      <alignment horizontal="center"/>
    </xf>
    <xf numFmtId="168" fontId="3" fillId="0" borderId="41" xfId="0" applyNumberFormat="1" applyFont="1" applyBorder="1" applyAlignment="1">
      <alignment horizontal="right"/>
    </xf>
    <xf numFmtId="44" fontId="3" fillId="0" borderId="41" xfId="0" applyNumberFormat="1" applyFont="1" applyBorder="1"/>
    <xf numFmtId="44" fontId="3" fillId="0" borderId="0" xfId="2" applyFont="1"/>
    <xf numFmtId="0" fontId="25" fillId="0" borderId="0" xfId="0" applyFont="1"/>
    <xf numFmtId="44" fontId="25" fillId="0" borderId="0" xfId="0" applyNumberFormat="1" applyFont="1"/>
    <xf numFmtId="0" fontId="10" fillId="0" borderId="3" xfId="0" applyFont="1" applyFill="1" applyBorder="1"/>
    <xf numFmtId="0" fontId="23" fillId="0" borderId="0" xfId="0" applyFont="1" applyFill="1" applyAlignment="1">
      <alignment horizontal="left"/>
    </xf>
    <xf numFmtId="0" fontId="0" fillId="0" borderId="0" xfId="0" applyFill="1"/>
    <xf numFmtId="0" fontId="3" fillId="0" borderId="3" xfId="0" applyFont="1" applyBorder="1" applyAlignment="1">
      <alignment horizontal="center"/>
    </xf>
    <xf numFmtId="164" fontId="23" fillId="0" borderId="0" xfId="1" applyNumberFormat="1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0" borderId="3" xfId="0" applyBorder="1" applyAlignment="1">
      <alignment horizontal="right"/>
    </xf>
    <xf numFmtId="0" fontId="0" fillId="0" borderId="3" xfId="0" applyFill="1" applyBorder="1"/>
    <xf numFmtId="0" fontId="3" fillId="0" borderId="0" xfId="0" applyFont="1"/>
    <xf numFmtId="43" fontId="23" fillId="0" borderId="0" xfId="1" applyFont="1" applyAlignment="1">
      <alignment horizontal="left"/>
    </xf>
    <xf numFmtId="164" fontId="23" fillId="0" borderId="0" xfId="0" applyNumberFormat="1" applyFont="1" applyAlignment="1">
      <alignment horizontal="left"/>
    </xf>
    <xf numFmtId="169" fontId="23" fillId="0" borderId="0" xfId="0" applyNumberFormat="1" applyFont="1" applyAlignment="1">
      <alignment horizontal="left"/>
    </xf>
    <xf numFmtId="170" fontId="23" fillId="0" borderId="0" xfId="0" applyNumberFormat="1" applyFont="1" applyAlignment="1">
      <alignment horizontal="left"/>
    </xf>
    <xf numFmtId="171" fontId="23" fillId="0" borderId="0" xfId="0" applyNumberFormat="1" applyFont="1" applyAlignment="1">
      <alignment horizontal="left"/>
    </xf>
    <xf numFmtId="164" fontId="1" fillId="0" borderId="20" xfId="1" applyNumberFormat="1" applyFont="1" applyFill="1" applyBorder="1"/>
    <xf numFmtId="164" fontId="1" fillId="0" borderId="2" xfId="1" applyNumberFormat="1" applyFont="1" applyBorder="1"/>
    <xf numFmtId="9" fontId="0" fillId="0" borderId="3" xfId="3" applyNumberFormat="1" applyFont="1" applyBorder="1"/>
    <xf numFmtId="0" fontId="12" fillId="0" borderId="0" xfId="4"/>
    <xf numFmtId="9" fontId="27" fillId="0" borderId="0" xfId="5" applyFont="1"/>
    <xf numFmtId="172" fontId="28" fillId="0" borderId="42" xfId="4" applyNumberFormat="1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7" fillId="0" borderId="0" xfId="4" applyFont="1"/>
    <xf numFmtId="173" fontId="28" fillId="0" borderId="43" xfId="4" applyNumberFormat="1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172" fontId="27" fillId="0" borderId="0" xfId="4" applyNumberFormat="1" applyFont="1"/>
    <xf numFmtId="172" fontId="12" fillId="0" borderId="0" xfId="4" applyNumberFormat="1"/>
    <xf numFmtId="0" fontId="28" fillId="0" borderId="43" xfId="4" applyFont="1" applyBorder="1" applyAlignment="1">
      <alignment horizontal="right" vertical="center" wrapText="1"/>
    </xf>
    <xf numFmtId="172" fontId="28" fillId="0" borderId="45" xfId="4" applyNumberFormat="1" applyFont="1" applyBorder="1" applyAlignment="1">
      <alignment vertical="center" wrapText="1"/>
    </xf>
    <xf numFmtId="0" fontId="28" fillId="0" borderId="46" xfId="4" applyFont="1" applyBorder="1" applyAlignment="1">
      <alignment horizontal="right" vertical="center" wrapText="1"/>
    </xf>
    <xf numFmtId="0" fontId="28" fillId="0" borderId="39" xfId="4" applyFont="1" applyBorder="1" applyAlignment="1">
      <alignment horizontal="right" vertical="center" wrapText="1"/>
    </xf>
    <xf numFmtId="0" fontId="28" fillId="0" borderId="31" xfId="4" applyFont="1" applyBorder="1" applyAlignment="1">
      <alignment horizontal="right" vertical="center" wrapText="1"/>
    </xf>
    <xf numFmtId="0" fontId="28" fillId="0" borderId="48" xfId="4" applyFont="1" applyBorder="1" applyAlignment="1">
      <alignment horizontal="right" vertical="center" wrapText="1"/>
    </xf>
    <xf numFmtId="0" fontId="28" fillId="0" borderId="49" xfId="4" applyFont="1" applyBorder="1" applyAlignment="1">
      <alignment horizontal="right" vertical="center" wrapText="1"/>
    </xf>
    <xf numFmtId="0" fontId="28" fillId="0" borderId="19" xfId="4" applyFont="1" applyBorder="1" applyAlignment="1">
      <alignment horizontal="right" vertical="center" wrapText="1"/>
    </xf>
    <xf numFmtId="172" fontId="29" fillId="0" borderId="0" xfId="4" applyNumberFormat="1" applyFont="1"/>
    <xf numFmtId="172" fontId="30" fillId="0" borderId="0" xfId="4" quotePrefix="1" applyNumberFormat="1" applyFont="1"/>
    <xf numFmtId="172" fontId="31" fillId="0" borderId="0" xfId="4" quotePrefix="1" applyNumberFormat="1" applyFont="1"/>
    <xf numFmtId="10" fontId="27" fillId="0" borderId="0" xfId="5" applyNumberFormat="1" applyFont="1"/>
    <xf numFmtId="172" fontId="28" fillId="0" borderId="43" xfId="4" applyNumberFormat="1" applyFont="1" applyBorder="1" applyAlignment="1">
      <alignment vertical="center" wrapText="1"/>
    </xf>
    <xf numFmtId="0" fontId="32" fillId="0" borderId="0" xfId="4" quotePrefix="1" applyFont="1" applyAlignment="1">
      <alignment horizontal="left" vertical="center"/>
    </xf>
    <xf numFmtId="0" fontId="28" fillId="15" borderId="19" xfId="4" applyFont="1" applyFill="1" applyBorder="1" applyAlignment="1">
      <alignment horizontal="right" vertical="center" wrapText="1"/>
    </xf>
    <xf numFmtId="172" fontId="31" fillId="0" borderId="0" xfId="4" applyNumberFormat="1" applyFont="1"/>
    <xf numFmtId="0" fontId="32" fillId="0" borderId="0" xfId="4" applyFont="1" applyAlignment="1">
      <alignment vertical="center"/>
    </xf>
    <xf numFmtId="0" fontId="33" fillId="0" borderId="0" xfId="4" applyFont="1"/>
    <xf numFmtId="0" fontId="34" fillId="0" borderId="0" xfId="4" applyFont="1"/>
    <xf numFmtId="0" fontId="35" fillId="0" borderId="0" xfId="4" applyFont="1"/>
    <xf numFmtId="0" fontId="36" fillId="16" borderId="0" xfId="4" applyFont="1" applyFill="1"/>
    <xf numFmtId="0" fontId="37" fillId="16" borderId="0" xfId="4" applyFont="1" applyFill="1"/>
    <xf numFmtId="0" fontId="37" fillId="17" borderId="0" xfId="4" applyFont="1" applyFill="1"/>
    <xf numFmtId="164" fontId="3" fillId="0" borderId="3" xfId="0" applyNumberFormat="1" applyFont="1" applyBorder="1"/>
    <xf numFmtId="0" fontId="3" fillId="0" borderId="3" xfId="0" applyFont="1" applyBorder="1" applyAlignment="1">
      <alignment horizontal="right"/>
    </xf>
    <xf numFmtId="10" fontId="0" fillId="0" borderId="3" xfId="3" applyNumberFormat="1" applyFont="1" applyBorder="1" applyAlignment="1">
      <alignment horizontal="center"/>
    </xf>
    <xf numFmtId="43" fontId="3" fillId="0" borderId="3" xfId="0" applyNumberFormat="1" applyFont="1" applyBorder="1"/>
    <xf numFmtId="43" fontId="0" fillId="0" borderId="3" xfId="0" applyNumberFormat="1" applyBorder="1"/>
    <xf numFmtId="0" fontId="0" fillId="0" borderId="3" xfId="0" applyBorder="1" applyAlignment="1">
      <alignment wrapText="1"/>
    </xf>
    <xf numFmtId="0" fontId="3" fillId="8" borderId="40" xfId="0" applyFont="1" applyFill="1" applyBorder="1"/>
    <xf numFmtId="164" fontId="8" fillId="8" borderId="40" xfId="0" applyNumberFormat="1" applyFont="1" applyFill="1" applyBorder="1"/>
    <xf numFmtId="0" fontId="8" fillId="0" borderId="0" xfId="0" applyFont="1"/>
    <xf numFmtId="164" fontId="8" fillId="0" borderId="0" xfId="1" applyNumberFormat="1" applyFont="1" applyBorder="1"/>
    <xf numFmtId="0" fontId="3" fillId="5" borderId="40" xfId="0" applyFont="1" applyFill="1" applyBorder="1"/>
    <xf numFmtId="164" fontId="8" fillId="5" borderId="40" xfId="1" applyNumberFormat="1" applyFont="1" applyFill="1" applyBorder="1"/>
    <xf numFmtId="43" fontId="5" fillId="8" borderId="40" xfId="1" applyFont="1" applyFill="1" applyBorder="1"/>
    <xf numFmtId="0" fontId="3" fillId="6" borderId="40" xfId="0" applyFont="1" applyFill="1" applyBorder="1"/>
    <xf numFmtId="41" fontId="8" fillId="13" borderId="0" xfId="0" applyNumberFormat="1" applyFont="1" applyFill="1"/>
    <xf numFmtId="41" fontId="8" fillId="3" borderId="0" xfId="0" applyNumberFormat="1" applyFont="1" applyFill="1"/>
    <xf numFmtId="0" fontId="1" fillId="6" borderId="40" xfId="0" applyFont="1" applyFill="1" applyBorder="1"/>
    <xf numFmtId="164" fontId="7" fillId="6" borderId="40" xfId="1" applyNumberFormat="1" applyFont="1" applyFill="1" applyBorder="1"/>
    <xf numFmtId="10" fontId="0" fillId="0" borderId="0" xfId="3" applyNumberFormat="1" applyFont="1"/>
    <xf numFmtId="10" fontId="0" fillId="0" borderId="0" xfId="0" applyNumberFormat="1"/>
    <xf numFmtId="40" fontId="12" fillId="0" borderId="0" xfId="4" applyNumberFormat="1"/>
    <xf numFmtId="0" fontId="38" fillId="0" borderId="0" xfId="4" applyFont="1" applyAlignment="1">
      <alignment vertical="center"/>
    </xf>
    <xf numFmtId="0" fontId="39" fillId="0" borderId="0" xfId="4" applyFont="1"/>
    <xf numFmtId="0" fontId="40" fillId="0" borderId="0" xfId="4" applyFont="1" applyAlignment="1">
      <alignment vertical="center" wrapText="1"/>
    </xf>
    <xf numFmtId="172" fontId="28" fillId="0" borderId="42" xfId="4" applyNumberFormat="1" applyFont="1" applyBorder="1" applyAlignment="1">
      <alignment horizontal="center" vertical="center" wrapText="1"/>
    </xf>
    <xf numFmtId="0" fontId="32" fillId="0" borderId="42" xfId="4" applyFont="1" applyBorder="1" applyAlignment="1">
      <alignment vertical="center" wrapText="1"/>
    </xf>
    <xf numFmtId="172" fontId="28" fillId="0" borderId="52" xfId="4" applyNumberFormat="1" applyFont="1" applyBorder="1" applyAlignment="1">
      <alignment horizontal="center" vertical="center" wrapText="1"/>
    </xf>
    <xf numFmtId="0" fontId="32" fillId="0" borderId="52" xfId="4" applyFont="1" applyBorder="1" applyAlignment="1">
      <alignment vertical="center" wrapText="1"/>
    </xf>
    <xf numFmtId="172" fontId="28" fillId="0" borderId="53" xfId="4" applyNumberFormat="1" applyFont="1" applyBorder="1" applyAlignment="1">
      <alignment horizontal="center" vertical="center" wrapText="1"/>
    </xf>
    <xf numFmtId="174" fontId="28" fillId="0" borderId="53" xfId="4" applyNumberFormat="1" applyFont="1" applyBorder="1" applyAlignment="1">
      <alignment horizontal="center" vertical="center" wrapText="1"/>
    </xf>
    <xf numFmtId="0" fontId="32" fillId="0" borderId="53" xfId="4" applyFont="1" applyBorder="1" applyAlignment="1">
      <alignment vertical="center" wrapText="1"/>
    </xf>
    <xf numFmtId="174" fontId="28" fillId="0" borderId="43" xfId="4" applyNumberFormat="1" applyFont="1" applyBorder="1" applyAlignment="1">
      <alignment horizontal="center" vertical="center" wrapText="1"/>
    </xf>
    <xf numFmtId="0" fontId="32" fillId="18" borderId="53" xfId="4" applyFont="1" applyFill="1" applyBorder="1" applyAlignment="1">
      <alignment vertical="center" wrapText="1"/>
    </xf>
    <xf numFmtId="0" fontId="32" fillId="0" borderId="0" xfId="4" applyFont="1" applyAlignment="1">
      <alignment horizontal="justify" vertical="center" wrapText="1"/>
    </xf>
    <xf numFmtId="0" fontId="32" fillId="0" borderId="0" xfId="4" applyFont="1" applyAlignment="1">
      <alignment vertical="center" wrapText="1"/>
    </xf>
    <xf numFmtId="0" fontId="12" fillId="0" borderId="0" xfId="4" applyAlignment="1">
      <alignment horizontal="center"/>
    </xf>
    <xf numFmtId="0" fontId="32" fillId="18" borderId="53" xfId="4" applyFont="1" applyFill="1" applyBorder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173" fontId="28" fillId="0" borderId="42" xfId="4" applyNumberFormat="1" applyFont="1" applyBorder="1" applyAlignment="1">
      <alignment horizontal="center" vertical="center" wrapText="1"/>
    </xf>
    <xf numFmtId="174" fontId="12" fillId="0" borderId="0" xfId="4" applyNumberFormat="1"/>
    <xf numFmtId="167" fontId="12" fillId="0" borderId="0" xfId="4" applyNumberFormat="1"/>
    <xf numFmtId="0" fontId="32" fillId="18" borderId="40" xfId="4" applyFont="1" applyFill="1" applyBorder="1" applyAlignment="1">
      <alignment vertical="center" wrapText="1"/>
    </xf>
    <xf numFmtId="172" fontId="28" fillId="0" borderId="45" xfId="4" applyNumberFormat="1" applyFont="1" applyBorder="1" applyAlignment="1">
      <alignment horizontal="center" vertical="center" wrapText="1"/>
    </xf>
    <xf numFmtId="0" fontId="28" fillId="0" borderId="45" xfId="4" applyFont="1" applyBorder="1" applyAlignment="1">
      <alignment vertical="center" wrapText="1"/>
    </xf>
    <xf numFmtId="0" fontId="32" fillId="18" borderId="54" xfId="4" applyFont="1" applyFill="1" applyBorder="1" applyAlignment="1">
      <alignment vertical="center" wrapText="1"/>
    </xf>
    <xf numFmtId="0" fontId="32" fillId="18" borderId="18" xfId="4" applyFont="1" applyFill="1" applyBorder="1" applyAlignment="1">
      <alignment vertical="center" wrapText="1"/>
    </xf>
    <xf numFmtId="0" fontId="28" fillId="0" borderId="0" xfId="4" applyFont="1" applyAlignment="1">
      <alignment vertical="center" wrapText="1"/>
    </xf>
    <xf numFmtId="0" fontId="32" fillId="0" borderId="49" xfId="4" applyFont="1" applyBorder="1" applyAlignment="1">
      <alignment vertical="center" wrapText="1"/>
    </xf>
    <xf numFmtId="172" fontId="28" fillId="0" borderId="44" xfId="4" applyNumberFormat="1" applyFont="1" applyBorder="1" applyAlignment="1">
      <alignment horizontal="center" vertical="center" wrapText="1"/>
    </xf>
    <xf numFmtId="0" fontId="32" fillId="18" borderId="55" xfId="4" applyFont="1" applyFill="1" applyBorder="1" applyAlignment="1">
      <alignment horizontal="center" vertical="center" wrapText="1"/>
    </xf>
    <xf numFmtId="0" fontId="32" fillId="18" borderId="56" xfId="4" applyFont="1" applyFill="1" applyBorder="1" applyAlignment="1">
      <alignment horizontal="center" vertical="center" wrapText="1"/>
    </xf>
    <xf numFmtId="0" fontId="32" fillId="18" borderId="57" xfId="4" applyFont="1" applyFill="1" applyBorder="1" applyAlignment="1">
      <alignment horizontal="right" vertical="center" wrapText="1" indent="4"/>
    </xf>
    <xf numFmtId="0" fontId="41" fillId="0" borderId="0" xfId="4" applyFont="1"/>
    <xf numFmtId="0" fontId="28" fillId="0" borderId="0" xfId="4" applyFont="1" applyAlignment="1">
      <alignment vertical="center"/>
    </xf>
    <xf numFmtId="172" fontId="32" fillId="0" borderId="0" xfId="4" applyNumberFormat="1" applyFont="1" applyAlignment="1">
      <alignment vertical="center" wrapText="1"/>
    </xf>
    <xf numFmtId="172" fontId="32" fillId="0" borderId="49" xfId="4" applyNumberFormat="1" applyFont="1" applyBorder="1" applyAlignment="1">
      <alignment horizontal="center" vertical="center" wrapText="1"/>
    </xf>
    <xf numFmtId="175" fontId="36" fillId="0" borderId="46" xfId="4" applyNumberFormat="1" applyFont="1" applyBorder="1"/>
    <xf numFmtId="175" fontId="36" fillId="0" borderId="39" xfId="4" applyNumberFormat="1" applyFont="1" applyBorder="1"/>
    <xf numFmtId="175" fontId="36" fillId="0" borderId="31" xfId="4" applyNumberFormat="1" applyFont="1" applyBorder="1"/>
    <xf numFmtId="175" fontId="36" fillId="0" borderId="48" xfId="4" applyNumberFormat="1" applyFont="1" applyBorder="1"/>
    <xf numFmtId="175" fontId="36" fillId="0" borderId="49" xfId="4" applyNumberFormat="1" applyFont="1" applyBorder="1"/>
    <xf numFmtId="175" fontId="42" fillId="15" borderId="19" xfId="4" applyNumberFormat="1" applyFont="1" applyFill="1" applyBorder="1"/>
    <xf numFmtId="172" fontId="36" fillId="0" borderId="49" xfId="4" applyNumberFormat="1" applyFont="1" applyBorder="1" applyAlignment="1">
      <alignment horizontal="right"/>
    </xf>
    <xf numFmtId="172" fontId="12" fillId="0" borderId="48" xfId="4" applyNumberFormat="1" applyBorder="1"/>
    <xf numFmtId="172" fontId="12" fillId="0" borderId="49" xfId="4" applyNumberFormat="1" applyBorder="1"/>
    <xf numFmtId="172" fontId="36" fillId="0" borderId="19" xfId="4" applyNumberFormat="1" applyFont="1" applyBorder="1"/>
    <xf numFmtId="0" fontId="43" fillId="0" borderId="0" xfId="4" applyFont="1"/>
    <xf numFmtId="2" fontId="0" fillId="0" borderId="0" xfId="0" applyNumberFormat="1"/>
    <xf numFmtId="43" fontId="0" fillId="0" borderId="3" xfId="1" applyFont="1" applyBorder="1"/>
    <xf numFmtId="170" fontId="23" fillId="0" borderId="0" xfId="0" applyNumberFormat="1" applyFont="1" applyAlignment="1">
      <alignment horizontal="left" vertical="center"/>
    </xf>
    <xf numFmtId="0" fontId="0" fillId="0" borderId="0" xfId="0" applyAlignment="1">
      <alignment horizontal="center"/>
    </xf>
    <xf numFmtId="0" fontId="0" fillId="19" borderId="0" xfId="0" applyFill="1"/>
    <xf numFmtId="1" fontId="0" fillId="0" borderId="0" xfId="0" quotePrefix="1" applyNumberFormat="1" applyAlignment="1">
      <alignment horizontal="center"/>
    </xf>
    <xf numFmtId="0" fontId="44" fillId="0" borderId="0" xfId="0" applyFont="1"/>
    <xf numFmtId="0" fontId="25" fillId="0" borderId="0" xfId="0" applyFont="1" applyAlignment="1">
      <alignment horizontal="left"/>
    </xf>
    <xf numFmtId="176" fontId="0" fillId="0" borderId="0" xfId="2" applyNumberFormat="1" applyFont="1" applyAlignment="1">
      <alignment horizontal="center"/>
    </xf>
    <xf numFmtId="0" fontId="19" fillId="0" borderId="0" xfId="0" applyFont="1"/>
    <xf numFmtId="2" fontId="23" fillId="0" borderId="0" xfId="0" applyNumberFormat="1" applyFont="1" applyAlignment="1">
      <alignment horizontal="left" vertical="center"/>
    </xf>
    <xf numFmtId="164" fontId="8" fillId="0" borderId="2" xfId="1" applyNumberFormat="1" applyFont="1" applyFill="1" applyBorder="1"/>
    <xf numFmtId="164" fontId="2" fillId="0" borderId="2" xfId="1" applyNumberFormat="1" applyFont="1" applyBorder="1"/>
    <xf numFmtId="164" fontId="3" fillId="12" borderId="0" xfId="1" applyNumberFormat="1" applyFont="1" applyFill="1" applyAlignment="1">
      <alignment horizontal="center"/>
    </xf>
    <xf numFmtId="165" fontId="0" fillId="0" borderId="5" xfId="3" applyNumberFormat="1" applyFont="1" applyFill="1" applyBorder="1"/>
    <xf numFmtId="41" fontId="0" fillId="0" borderId="0" xfId="0" applyNumberFormat="1"/>
    <xf numFmtId="0" fontId="26" fillId="0" borderId="0" xfId="0" applyFont="1"/>
    <xf numFmtId="0" fontId="2" fillId="0" borderId="0" xfId="0" applyFont="1"/>
    <xf numFmtId="168" fontId="2" fillId="0" borderId="0" xfId="0" applyNumberFormat="1" applyFont="1" applyAlignment="1">
      <alignment horizontal="center"/>
    </xf>
    <xf numFmtId="1" fontId="2" fillId="0" borderId="0" xfId="0" quotePrefix="1" applyNumberFormat="1" applyFont="1" applyAlignment="1">
      <alignment horizontal="center"/>
    </xf>
    <xf numFmtId="44" fontId="2" fillId="0" borderId="0" xfId="2" applyFont="1"/>
    <xf numFmtId="176" fontId="2" fillId="0" borderId="0" xfId="2" applyNumberFormat="1" applyFont="1" applyAlignment="1">
      <alignment horizontal="center"/>
    </xf>
    <xf numFmtId="0" fontId="2" fillId="19" borderId="0" xfId="0" applyFont="1" applyFill="1"/>
    <xf numFmtId="44" fontId="2" fillId="0" borderId="0" xfId="0" applyNumberFormat="1" applyFont="1"/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9" fontId="8" fillId="0" borderId="3" xfId="3" applyFont="1" applyFill="1" applyBorder="1"/>
    <xf numFmtId="9" fontId="1" fillId="0" borderId="3" xfId="3" applyFont="1" applyBorder="1"/>
    <xf numFmtId="43" fontId="1" fillId="0" borderId="3" xfId="1" applyNumberFormat="1" applyFont="1" applyBorder="1"/>
    <xf numFmtId="164" fontId="0" fillId="20" borderId="3" xfId="1" applyNumberFormat="1" applyFont="1" applyFill="1" applyBorder="1"/>
    <xf numFmtId="9" fontId="0" fillId="20" borderId="3" xfId="3" applyFont="1" applyFill="1" applyBorder="1"/>
    <xf numFmtId="43" fontId="0" fillId="20" borderId="3" xfId="1" applyFont="1" applyFill="1" applyBorder="1"/>
    <xf numFmtId="164" fontId="8" fillId="20" borderId="3" xfId="1" applyNumberFormat="1" applyFont="1" applyFill="1" applyBorder="1"/>
    <xf numFmtId="0" fontId="5" fillId="3" borderId="18" xfId="0" applyFont="1" applyFill="1" applyBorder="1"/>
    <xf numFmtId="0" fontId="10" fillId="0" borderId="18" xfId="0" applyFont="1" applyBorder="1"/>
    <xf numFmtId="0" fontId="0" fillId="0" borderId="18" xfId="0" applyFont="1" applyBorder="1"/>
    <xf numFmtId="164" fontId="0" fillId="0" borderId="54" xfId="1" applyNumberFormat="1" applyFont="1" applyBorder="1"/>
    <xf numFmtId="164" fontId="3" fillId="3" borderId="54" xfId="1" applyNumberFormat="1" applyFont="1" applyFill="1" applyBorder="1" applyAlignment="1">
      <alignment horizontal="center"/>
    </xf>
    <xf numFmtId="164" fontId="6" fillId="5" borderId="58" xfId="1" applyNumberFormat="1" applyFont="1" applyFill="1" applyBorder="1"/>
    <xf numFmtId="164" fontId="3" fillId="7" borderId="48" xfId="1" applyNumberFormat="1" applyFont="1" applyFill="1" applyBorder="1" applyAlignment="1">
      <alignment horizontal="center"/>
    </xf>
    <xf numFmtId="164" fontId="6" fillId="9" borderId="59" xfId="1" applyNumberFormat="1" applyFont="1" applyFill="1" applyBorder="1"/>
    <xf numFmtId="164" fontId="0" fillId="0" borderId="8" xfId="1" applyNumberFormat="1" applyFont="1" applyBorder="1"/>
    <xf numFmtId="164" fontId="0" fillId="0" borderId="60" xfId="1" applyNumberFormat="1" applyFont="1" applyBorder="1"/>
    <xf numFmtId="164" fontId="0" fillId="0" borderId="4" xfId="1" applyNumberFormat="1" applyFont="1" applyBorder="1"/>
    <xf numFmtId="164" fontId="0" fillId="0" borderId="37" xfId="1" applyNumberFormat="1" applyFont="1" applyBorder="1"/>
    <xf numFmtId="164" fontId="3" fillId="3" borderId="8" xfId="1" applyNumberFormat="1" applyFont="1" applyFill="1" applyBorder="1" applyAlignment="1">
      <alignment horizontal="center"/>
    </xf>
    <xf numFmtId="164" fontId="3" fillId="3" borderId="60" xfId="1" applyNumberFormat="1" applyFont="1" applyFill="1" applyBorder="1" applyAlignment="1">
      <alignment horizontal="center"/>
    </xf>
    <xf numFmtId="164" fontId="3" fillId="7" borderId="1" xfId="1" applyNumberFormat="1" applyFont="1" applyFill="1" applyBorder="1" applyAlignment="1">
      <alignment horizontal="center"/>
    </xf>
    <xf numFmtId="164" fontId="3" fillId="7" borderId="61" xfId="1" applyNumberFormat="1" applyFont="1" applyFill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8" fillId="0" borderId="62" xfId="0" applyFont="1" applyFill="1" applyBorder="1"/>
    <xf numFmtId="0" fontId="8" fillId="0" borderId="60" xfId="0" applyFont="1" applyFill="1" applyBorder="1"/>
    <xf numFmtId="0" fontId="8" fillId="0" borderId="60" xfId="0" applyFont="1" applyFill="1" applyBorder="1" applyAlignment="1">
      <alignment horizontal="left"/>
    </xf>
    <xf numFmtId="164" fontId="3" fillId="0" borderId="0" xfId="1" applyNumberFormat="1" applyFont="1" applyAlignment="1">
      <alignment horizontal="right"/>
    </xf>
    <xf numFmtId="38" fontId="0" fillId="0" borderId="9" xfId="1" applyNumberFormat="1" applyFont="1" applyBorder="1"/>
    <xf numFmtId="0" fontId="3" fillId="0" borderId="0" xfId="0" applyFont="1" applyAlignment="1">
      <alignment horizontal="right"/>
    </xf>
    <xf numFmtId="38" fontId="3" fillId="0" borderId="63" xfId="0" applyNumberFormat="1" applyFont="1" applyBorder="1"/>
    <xf numFmtId="164" fontId="25" fillId="0" borderId="0" xfId="0" applyNumberFormat="1" applyFont="1"/>
    <xf numFmtId="0" fontId="45" fillId="0" borderId="0" xfId="0" applyFont="1"/>
    <xf numFmtId="164" fontId="26" fillId="9" borderId="16" xfId="1" applyNumberFormat="1" applyFont="1" applyFill="1" applyBorder="1"/>
    <xf numFmtId="173" fontId="28" fillId="0" borderId="43" xfId="4" applyNumberFormat="1" applyFont="1" applyBorder="1" applyAlignment="1">
      <alignment horizontal="center" vertical="center" wrapText="1"/>
    </xf>
    <xf numFmtId="172" fontId="28" fillId="0" borderId="43" xfId="4" applyNumberFormat="1" applyFont="1" applyBorder="1" applyAlignment="1">
      <alignment horizontal="center" vertical="center" wrapText="1"/>
    </xf>
    <xf numFmtId="43" fontId="24" fillId="0" borderId="0" xfId="1" applyFont="1" applyAlignment="1">
      <alignment horizontal="center"/>
    </xf>
    <xf numFmtId="0" fontId="19" fillId="0" borderId="39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0" fillId="6" borderId="39" xfId="0" applyFill="1" applyBorder="1" applyAlignment="1">
      <alignment horizontal="center"/>
    </xf>
    <xf numFmtId="0" fontId="28" fillId="0" borderId="51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47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50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173" fontId="28" fillId="0" borderId="43" xfId="4" applyNumberFormat="1" applyFont="1" applyBorder="1" applyAlignment="1">
      <alignment horizontal="center" vertical="center" wrapText="1"/>
    </xf>
    <xf numFmtId="0" fontId="28" fillId="0" borderId="44" xfId="4" applyFont="1" applyBorder="1" applyAlignment="1">
      <alignment horizontal="left" vertical="center" wrapText="1"/>
    </xf>
    <xf numFmtId="0" fontId="28" fillId="0" borderId="45" xfId="4" applyFont="1" applyBorder="1" applyAlignment="1">
      <alignment horizontal="left" vertical="center" wrapText="1"/>
    </xf>
    <xf numFmtId="172" fontId="28" fillId="0" borderId="43" xfId="4" applyNumberFormat="1" applyFont="1" applyBorder="1" applyAlignment="1">
      <alignment horizontal="center" vertical="center" wrapText="1"/>
    </xf>
    <xf numFmtId="0" fontId="32" fillId="18" borderId="18" xfId="4" applyFont="1" applyFill="1" applyBorder="1" applyAlignment="1">
      <alignment horizontal="left" vertical="center" wrapText="1"/>
    </xf>
    <xf numFmtId="0" fontId="32" fillId="18" borderId="40" xfId="4" applyFont="1" applyFill="1" applyBorder="1" applyAlignment="1">
      <alignment horizontal="left" vertical="center" wrapText="1"/>
    </xf>
    <xf numFmtId="0" fontId="32" fillId="18" borderId="54" xfId="4" applyFont="1" applyFill="1" applyBorder="1" applyAlignment="1">
      <alignment horizontal="left" vertical="center" wrapText="1"/>
    </xf>
  </cellXfs>
  <cellStyles count="6">
    <cellStyle name="Comma" xfId="1" builtinId="3"/>
    <cellStyle name="Currency" xfId="2" builtinId="4"/>
    <cellStyle name="Normal" xfId="0" builtinId="0"/>
    <cellStyle name="Normal 2" xfId="4" xr:uid="{00000000-0005-0000-0000-000003000000}"/>
    <cellStyle name="Percent" xfId="3" builtinId="5"/>
    <cellStyle name="Percent 3" xfId="5" xr:uid="{00000000-0005-0000-0000-000005000000}"/>
  </cellStyles>
  <dxfs count="0"/>
  <tableStyles count="0" defaultTableStyle="TableStyleMedium2" defaultPivotStyle="PivotStyleLight16"/>
  <colors>
    <mruColors>
      <color rgb="FFFF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64"/>
  <sheetViews>
    <sheetView topLeftCell="A200" zoomScaleNormal="100" workbookViewId="0">
      <selection activeCell="A216" sqref="A216"/>
    </sheetView>
  </sheetViews>
  <sheetFormatPr defaultRowHeight="15" x14ac:dyDescent="0.25"/>
  <cols>
    <col min="1" max="1" width="10.42578125" customWidth="1"/>
    <col min="2" max="2" width="46.85546875" customWidth="1"/>
    <col min="3" max="3" width="16.42578125" customWidth="1"/>
    <col min="4" max="4" width="14.85546875" customWidth="1"/>
    <col min="5" max="5" width="16.42578125" customWidth="1"/>
    <col min="6" max="7" width="14.85546875" customWidth="1"/>
    <col min="8" max="8" width="11.85546875" customWidth="1"/>
    <col min="9" max="9" width="9.140625" customWidth="1"/>
    <col min="10" max="10" width="6.85546875" customWidth="1"/>
    <col min="11" max="11" width="14.85546875" customWidth="1"/>
    <col min="13" max="13" width="11" bestFit="1" customWidth="1"/>
    <col min="14" max="14" width="10.140625" bestFit="1" customWidth="1"/>
  </cols>
  <sheetData>
    <row r="1" spans="1:12" x14ac:dyDescent="0.25">
      <c r="A1" s="2"/>
      <c r="B1" s="1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K1" s="3" t="s">
        <v>6</v>
      </c>
    </row>
    <row r="2" spans="1:12" x14ac:dyDescent="0.25">
      <c r="A2" s="4"/>
      <c r="B2" s="6" t="s">
        <v>7</v>
      </c>
      <c r="C2" s="7">
        <v>7196.79</v>
      </c>
      <c r="D2" s="7">
        <v>0</v>
      </c>
      <c r="E2" s="7">
        <v>0</v>
      </c>
      <c r="F2" s="7">
        <v>0</v>
      </c>
      <c r="G2" s="7">
        <f>SUM(C2:F2)</f>
        <v>7196.79</v>
      </c>
      <c r="K2" s="7">
        <v>7185</v>
      </c>
      <c r="L2" s="138"/>
    </row>
    <row r="3" spans="1:12" x14ac:dyDescent="0.25">
      <c r="A3" s="4"/>
      <c r="B3" s="8"/>
      <c r="C3" s="7">
        <v>0</v>
      </c>
      <c r="D3" s="7">
        <v>0</v>
      </c>
      <c r="E3" s="7"/>
      <c r="F3" s="7">
        <v>0</v>
      </c>
      <c r="G3" s="7">
        <f>SUM(C3:F3)</f>
        <v>0</v>
      </c>
      <c r="K3" s="7">
        <f>SUM(G3:J3)</f>
        <v>0</v>
      </c>
    </row>
    <row r="4" spans="1:12" x14ac:dyDescent="0.25">
      <c r="A4" s="4"/>
      <c r="B4" s="8"/>
      <c r="C4" s="139"/>
      <c r="D4" s="139"/>
      <c r="E4" s="139"/>
      <c r="F4" s="139"/>
      <c r="G4" s="153"/>
      <c r="K4" s="153"/>
    </row>
    <row r="5" spans="1:12" x14ac:dyDescent="0.25">
      <c r="A5" s="4"/>
      <c r="B5" s="8" t="s">
        <v>8</v>
      </c>
      <c r="C5" s="9">
        <f>Horizon!C5+Cadence!C5+'St Rose'!C5+Sloan!C5+Inspirada!C5+'System Wide'!C5</f>
        <v>6979</v>
      </c>
      <c r="D5" s="9">
        <f>Horizon!D5+Cadence!D5+'St Rose'!D5+Sloan!D5+Inspirada!D5+'System Wide'!D5</f>
        <v>0</v>
      </c>
      <c r="E5" s="9">
        <f>Horizon!E5+Cadence!E5+'St Rose'!E5+Sloan!E5+Inspirada!E5+'System Wide'!E5</f>
        <v>0</v>
      </c>
      <c r="F5" s="9">
        <f>Horizon!F5+Cadence!F5+'St Rose'!F5+Sloan!F5+Inspirada!F5+'System Wide'!F5</f>
        <v>0</v>
      </c>
      <c r="G5" s="9">
        <f>SUM(C5:F5)</f>
        <v>6979</v>
      </c>
      <c r="K5" s="9">
        <v>6088</v>
      </c>
    </row>
    <row r="6" spans="1:12" x14ac:dyDescent="0.25">
      <c r="A6" s="151"/>
      <c r="B6" s="10" t="s">
        <v>9</v>
      </c>
      <c r="C6" s="94">
        <f>Horizon!C6+Cadence!C6+'St Rose'!C6+Sloan!C6+Inspirada!C6+'System Wide'!C6</f>
        <v>625</v>
      </c>
      <c r="D6" s="94">
        <f>Horizon!D6+Cadence!D6+'St Rose'!D6+Sloan!D6+Inspirada!D6+'System Wide'!D6</f>
        <v>0</v>
      </c>
      <c r="E6" s="94">
        <f>Horizon!E6+Cadence!E6+'St Rose'!E6+Sloan!E6+Inspirada!E6+'System Wide'!E6</f>
        <v>0</v>
      </c>
      <c r="F6" s="94">
        <f>Horizon!F6+Cadence!F6+'St Rose'!F6+Sloan!F6+Inspirada!F6+'System Wide'!F6</f>
        <v>0</v>
      </c>
      <c r="G6" s="94">
        <f>SUM(C6:F6)</f>
        <v>625</v>
      </c>
      <c r="K6" s="7">
        <v>525</v>
      </c>
    </row>
    <row r="7" spans="1:12" x14ac:dyDescent="0.25">
      <c r="A7" s="151"/>
      <c r="B7" s="12" t="s">
        <v>10</v>
      </c>
      <c r="C7" s="94">
        <f>Horizon!C7+Cadence!C7+'St Rose'!C7+Sloan!C7+Inspirada!C7+'System Wide'!C7</f>
        <v>630</v>
      </c>
      <c r="D7" s="94">
        <f>Horizon!D7+Cadence!D7+'St Rose'!D7+Sloan!D7+Inspirada!D7+'System Wide'!D7</f>
        <v>0</v>
      </c>
      <c r="E7" s="94">
        <f>Horizon!E7+Cadence!E7+'St Rose'!E7+Sloan!E7+Inspirada!E7+'System Wide'!E7</f>
        <v>0</v>
      </c>
      <c r="F7" s="94">
        <f>Horizon!F7+Cadence!F7+'St Rose'!F7+Sloan!F7+Inspirada!F7+'System Wide'!F7</f>
        <v>0</v>
      </c>
      <c r="G7" s="94">
        <f t="shared" ref="G7:G18" si="0">SUM(C7:F7)</f>
        <v>630</v>
      </c>
      <c r="K7" s="7">
        <v>525</v>
      </c>
    </row>
    <row r="8" spans="1:12" x14ac:dyDescent="0.25">
      <c r="A8" s="151"/>
      <c r="B8" s="12" t="s">
        <v>11</v>
      </c>
      <c r="C8" s="94">
        <f>Horizon!C8+Cadence!C8+'St Rose'!C8+Sloan!C8+Inspirada!C8+'System Wide'!C8</f>
        <v>727</v>
      </c>
      <c r="D8" s="94">
        <f>Horizon!D8+Cadence!D8+'St Rose'!D8+Sloan!D8+Inspirada!D8+'System Wide'!D8</f>
        <v>0</v>
      </c>
      <c r="E8" s="94">
        <f>Horizon!E8+Cadence!E8+'St Rose'!E8+Sloan!E8+Inspirada!E8+'System Wide'!E8</f>
        <v>0</v>
      </c>
      <c r="F8" s="94">
        <f>Horizon!F8+Cadence!F8+'St Rose'!F8+Sloan!F8+Inspirada!F8+'System Wide'!F8</f>
        <v>0</v>
      </c>
      <c r="G8" s="94">
        <f t="shared" si="0"/>
        <v>727</v>
      </c>
      <c r="K8" s="7">
        <v>546</v>
      </c>
    </row>
    <row r="9" spans="1:12" x14ac:dyDescent="0.25">
      <c r="A9" s="151"/>
      <c r="B9" s="13" t="s">
        <v>12</v>
      </c>
      <c r="C9" s="94">
        <f>Horizon!C9+Cadence!C9+'St Rose'!C9+Sloan!C9+Inspirada!C9+'System Wide'!C9</f>
        <v>710</v>
      </c>
      <c r="D9" s="94">
        <f>Horizon!D9+Cadence!D9+'St Rose'!D9+Sloan!D9+Inspirada!D9+'System Wide'!D9</f>
        <v>0</v>
      </c>
      <c r="E9" s="94">
        <f>Horizon!E9+Cadence!E9+'St Rose'!E9+Sloan!E9+Inspirada!E9+'System Wide'!E9</f>
        <v>0</v>
      </c>
      <c r="F9" s="94">
        <f>Horizon!F9+Cadence!F9+'St Rose'!F9+Sloan!F9+Inspirada!F9+'System Wide'!F9</f>
        <v>0</v>
      </c>
      <c r="G9" s="94">
        <f t="shared" si="0"/>
        <v>710</v>
      </c>
      <c r="K9" s="7">
        <v>546</v>
      </c>
    </row>
    <row r="10" spans="1:12" x14ac:dyDescent="0.25">
      <c r="A10" s="151"/>
      <c r="B10" s="13" t="s">
        <v>13</v>
      </c>
      <c r="C10" s="94">
        <f>Horizon!C10+Cadence!C10+'St Rose'!C10+Sloan!C10+Inspirada!C10+'System Wide'!C10</f>
        <v>667</v>
      </c>
      <c r="D10" s="94">
        <f>Horizon!D10+Cadence!D10+'St Rose'!D10+Sloan!D10+Inspirada!D10+'System Wide'!D10</f>
        <v>0</v>
      </c>
      <c r="E10" s="94">
        <f>Horizon!E10+Cadence!E10+'St Rose'!E10+Sloan!E10+Inspirada!E10+'System Wide'!E10</f>
        <v>0</v>
      </c>
      <c r="F10" s="94">
        <f>Horizon!F10+Cadence!F10+'St Rose'!F10+Sloan!F10+Inspirada!F10+'System Wide'!F10</f>
        <v>0</v>
      </c>
      <c r="G10" s="94">
        <f t="shared" si="0"/>
        <v>667</v>
      </c>
      <c r="K10" s="7">
        <v>588</v>
      </c>
    </row>
    <row r="11" spans="1:12" x14ac:dyDescent="0.25">
      <c r="A11" s="151"/>
      <c r="B11" s="13" t="s">
        <v>14</v>
      </c>
      <c r="C11" s="94">
        <f>Horizon!C11+Cadence!C11+'St Rose'!C11+Sloan!C11+Inspirada!C11+'System Wide'!C11</f>
        <v>632</v>
      </c>
      <c r="D11" s="94">
        <f>Horizon!D11+Cadence!D11+'St Rose'!D11+Sloan!D11+Inspirada!D11+'System Wide'!D11</f>
        <v>0</v>
      </c>
      <c r="E11" s="94">
        <f>Horizon!E11+Cadence!E11+'St Rose'!E11+Sloan!E11+Inspirada!E11+'System Wide'!E11</f>
        <v>0</v>
      </c>
      <c r="F11" s="94">
        <f>Horizon!F11+Cadence!F11+'St Rose'!F11+Sloan!F11+Inspirada!F11+'System Wide'!F11</f>
        <v>0</v>
      </c>
      <c r="G11" s="94">
        <f t="shared" si="0"/>
        <v>632</v>
      </c>
      <c r="K11" s="7">
        <v>588</v>
      </c>
    </row>
    <row r="12" spans="1:12" x14ac:dyDescent="0.25">
      <c r="A12" s="151"/>
      <c r="B12" s="13" t="s">
        <v>15</v>
      </c>
      <c r="C12" s="94">
        <f>Horizon!C12+Cadence!C12+'St Rose'!C12+Sloan!C12+Inspirada!C12+'System Wide'!C12</f>
        <v>672</v>
      </c>
      <c r="D12" s="94">
        <f>Horizon!D12+Cadence!D12+'St Rose'!D12+Sloan!D12+Inspirada!D12+'System Wide'!D12</f>
        <v>0</v>
      </c>
      <c r="E12" s="94">
        <f>Horizon!E12+Cadence!E12+'St Rose'!E12+Sloan!E12+Inspirada!E12+'System Wide'!E12</f>
        <v>0</v>
      </c>
      <c r="F12" s="94">
        <f>Horizon!F12+Cadence!F12+'St Rose'!F12+Sloan!F12+Inspirada!F12+'System Wide'!F12</f>
        <v>0</v>
      </c>
      <c r="G12" s="94">
        <f t="shared" si="0"/>
        <v>672</v>
      </c>
      <c r="K12" s="7">
        <v>682</v>
      </c>
    </row>
    <row r="13" spans="1:12" x14ac:dyDescent="0.25">
      <c r="A13" s="151"/>
      <c r="B13" s="13" t="s">
        <v>16</v>
      </c>
      <c r="C13" s="94">
        <f>Horizon!C13+Cadence!C13+'St Rose'!C13+Sloan!C13+Inspirada!C13+'System Wide'!C13</f>
        <v>646</v>
      </c>
      <c r="D13" s="94">
        <f>Horizon!D13+Cadence!D13+'St Rose'!D13+Sloan!D13+Inspirada!D13+'System Wide'!D13</f>
        <v>0</v>
      </c>
      <c r="E13" s="94">
        <f>Horizon!E13+Cadence!E13+'St Rose'!E13+Sloan!E13+Inspirada!E13+'System Wide'!E13</f>
        <v>0</v>
      </c>
      <c r="F13" s="94">
        <f>Horizon!F13+Cadence!F13+'St Rose'!F13+Sloan!F13+Inspirada!F13+'System Wide'!F13</f>
        <v>0</v>
      </c>
      <c r="G13" s="94">
        <f t="shared" si="0"/>
        <v>646</v>
      </c>
      <c r="K13" s="7">
        <v>682</v>
      </c>
    </row>
    <row r="14" spans="1:12" x14ac:dyDescent="0.25">
      <c r="A14" s="151"/>
      <c r="B14" s="13" t="s">
        <v>17</v>
      </c>
      <c r="C14" s="94">
        <f>Horizon!C14+Cadence!C14+'St Rose'!C14+Sloan!C14+Inspirada!C14+'System Wide'!C14</f>
        <v>610</v>
      </c>
      <c r="D14" s="94">
        <f>Horizon!D14+Cadence!D14+'St Rose'!D14+Sloan!D14+Inspirada!D14+'System Wide'!D14</f>
        <v>0</v>
      </c>
      <c r="E14" s="94">
        <f>Horizon!E14+Cadence!E14+'St Rose'!E14+Sloan!E14+Inspirada!E14+'System Wide'!E14</f>
        <v>0</v>
      </c>
      <c r="F14" s="94">
        <f>Horizon!F14+Cadence!F14+'St Rose'!F14+Sloan!F14+Inspirada!F14+'System Wide'!F14</f>
        <v>0</v>
      </c>
      <c r="G14" s="94">
        <f t="shared" si="0"/>
        <v>610</v>
      </c>
      <c r="K14" s="7">
        <v>666</v>
      </c>
    </row>
    <row r="15" spans="1:12" x14ac:dyDescent="0.25">
      <c r="A15" s="151"/>
      <c r="B15" s="13" t="s">
        <v>18</v>
      </c>
      <c r="C15" s="94">
        <f>Horizon!C15+Cadence!C15+'St Rose'!C15+Sloan!C15+Inspirada!C15+'System Wide'!C15</f>
        <v>419</v>
      </c>
      <c r="D15" s="94">
        <f>Horizon!D15+Cadence!D15+'St Rose'!D15+Sloan!D15+Inspirada!D15+'System Wide'!D15</f>
        <v>0</v>
      </c>
      <c r="E15" s="94">
        <f>Horizon!E15+Cadence!E15+'St Rose'!E15+Sloan!E15+Inspirada!E15+'System Wide'!E15</f>
        <v>0</v>
      </c>
      <c r="F15" s="94">
        <f>Horizon!F15+Cadence!F15+'St Rose'!F15+Sloan!F15+Inspirada!F15+'System Wide'!F15</f>
        <v>0</v>
      </c>
      <c r="G15" s="94">
        <f t="shared" si="0"/>
        <v>419</v>
      </c>
      <c r="K15" s="7">
        <v>300</v>
      </c>
    </row>
    <row r="16" spans="1:12" x14ac:dyDescent="0.25">
      <c r="A16" s="151"/>
      <c r="B16" s="13" t="s">
        <v>19</v>
      </c>
      <c r="C16" s="94">
        <f>Horizon!C16+Cadence!C16+'St Rose'!C16+Sloan!C16+Inspirada!C16+'System Wide'!C16</f>
        <v>332</v>
      </c>
      <c r="D16" s="94">
        <f>Horizon!D16+Cadence!D16+'St Rose'!D16+Sloan!D16+Inspirada!D16+'System Wide'!D16</f>
        <v>0</v>
      </c>
      <c r="E16" s="94">
        <f>Horizon!E16+Cadence!E16+'St Rose'!E16+Sloan!E16+Inspirada!E16+'System Wide'!E16</f>
        <v>0</v>
      </c>
      <c r="F16" s="94">
        <f>Horizon!F16+Cadence!F16+'St Rose'!F16+Sloan!F16+Inspirada!F16+'System Wide'!F16</f>
        <v>0</v>
      </c>
      <c r="G16" s="94">
        <f t="shared" si="0"/>
        <v>332</v>
      </c>
      <c r="K16" s="7">
        <v>240</v>
      </c>
    </row>
    <row r="17" spans="1:14" x14ac:dyDescent="0.25">
      <c r="A17" s="151"/>
      <c r="B17" s="13" t="s">
        <v>20</v>
      </c>
      <c r="C17" s="94">
        <f>Horizon!C17+Cadence!C17+'St Rose'!C17+Sloan!C17+Inspirada!C17+'System Wide'!C17</f>
        <v>221</v>
      </c>
      <c r="D17" s="94">
        <f>Horizon!D17+Cadence!D17+'St Rose'!D17+Sloan!D17+Inspirada!D17+'System Wide'!D17</f>
        <v>0</v>
      </c>
      <c r="E17" s="94">
        <f>Horizon!E17+Cadence!E17+'St Rose'!E17+Sloan!E17+Inspirada!E17+'System Wide'!E17</f>
        <v>0</v>
      </c>
      <c r="F17" s="94">
        <f>Horizon!F17+Cadence!F17+'St Rose'!F17+Sloan!F17+Inspirada!F17+'System Wide'!F17</f>
        <v>0</v>
      </c>
      <c r="G17" s="94">
        <f t="shared" si="0"/>
        <v>221</v>
      </c>
      <c r="K17" s="7">
        <v>135</v>
      </c>
    </row>
    <row r="18" spans="1:14" x14ac:dyDescent="0.25">
      <c r="A18" s="151"/>
      <c r="B18" s="13" t="s">
        <v>21</v>
      </c>
      <c r="C18" s="94">
        <f>Horizon!C18+Cadence!C18+'St Rose'!C18+Sloan!C18+Inspirada!C18+'System Wide'!C18</f>
        <v>88</v>
      </c>
      <c r="D18" s="94">
        <f>Horizon!D18+Cadence!D18+'St Rose'!D18+Sloan!D18+Inspirada!D18+'System Wide'!D18</f>
        <v>0</v>
      </c>
      <c r="E18" s="94">
        <f>Horizon!E18+Cadence!E18+'St Rose'!E18+Sloan!E18+Inspirada!E18+'System Wide'!E18</f>
        <v>0</v>
      </c>
      <c r="F18" s="94">
        <f>Horizon!F18+Cadence!F18+'St Rose'!F18+Sloan!F18+Inspirada!F18+'System Wide'!F18</f>
        <v>0</v>
      </c>
      <c r="G18" s="94">
        <f t="shared" si="0"/>
        <v>88</v>
      </c>
      <c r="K18" s="7">
        <v>65</v>
      </c>
    </row>
    <row r="19" spans="1:14" x14ac:dyDescent="0.25">
      <c r="A19" s="151"/>
      <c r="B19" s="13" t="s">
        <v>8</v>
      </c>
      <c r="C19" s="94">
        <f>SUM(C6:C18)</f>
        <v>6979</v>
      </c>
      <c r="D19" s="94">
        <f t="shared" ref="D19:F19" si="1">SUM(D6:D18)</f>
        <v>0</v>
      </c>
      <c r="E19" s="94">
        <f t="shared" si="1"/>
        <v>0</v>
      </c>
      <c r="F19" s="94">
        <f t="shared" si="1"/>
        <v>0</v>
      </c>
      <c r="G19" s="94">
        <f>SUM(G6:G18)</f>
        <v>6979</v>
      </c>
      <c r="H19" s="138">
        <f>G87+G88+G92+G93+G94</f>
        <v>50895289.639999993</v>
      </c>
      <c r="I19" s="167">
        <f>H19/G19</f>
        <v>7292.6335635477853</v>
      </c>
      <c r="K19" s="9">
        <f>SUM(K6:K18)</f>
        <v>6088</v>
      </c>
      <c r="M19" s="138">
        <f>C87+D92+D93+D94+E88</f>
        <v>50895289.639999993</v>
      </c>
      <c r="N19" s="158">
        <f>M19/G19</f>
        <v>7292.6335635477853</v>
      </c>
    </row>
    <row r="20" spans="1:14" x14ac:dyDescent="0.25">
      <c r="A20" s="4"/>
      <c r="B20" s="16"/>
      <c r="C20" s="7"/>
      <c r="D20" s="7"/>
      <c r="E20" s="7"/>
      <c r="F20" s="7"/>
      <c r="G20" s="7"/>
      <c r="K20" s="7"/>
    </row>
    <row r="21" spans="1:14" x14ac:dyDescent="0.25">
      <c r="A21" s="4"/>
      <c r="B21" s="17" t="s">
        <v>22</v>
      </c>
      <c r="C21" s="18"/>
      <c r="D21" s="18"/>
      <c r="E21" s="18"/>
      <c r="F21" s="18"/>
      <c r="G21" s="18"/>
      <c r="I21" s="137"/>
      <c r="K21" s="18"/>
    </row>
    <row r="22" spans="1:14" x14ac:dyDescent="0.25">
      <c r="A22" s="4"/>
      <c r="B22" s="140" t="s">
        <v>23</v>
      </c>
      <c r="C22" s="7">
        <f>Horizon!C22+Cadence!C22+'St Rose'!C22+Sloan!C22+Inspirada!C22+'System Wide'!C22</f>
        <v>0</v>
      </c>
      <c r="D22" s="7">
        <f>Horizon!D22+Cadence!D22+'St Rose'!D22+Sloan!D22+Inspirada!D22+'System Wide'!D22</f>
        <v>0</v>
      </c>
      <c r="E22" s="7">
        <f>Horizon!E22+Cadence!E22+'St Rose'!E22+Sloan!E22+Inspirada!E22+'System Wide'!E22</f>
        <v>633</v>
      </c>
      <c r="F22" s="7">
        <f>Horizon!F22+Cadence!F22+'St Rose'!F22+Sloan!F22+Inspirada!F22+'System Wide'!F22</f>
        <v>0</v>
      </c>
      <c r="G22" s="7">
        <f>SUM(C22:F22)</f>
        <v>633</v>
      </c>
      <c r="K22" s="7">
        <v>529</v>
      </c>
    </row>
    <row r="23" spans="1:14" x14ac:dyDescent="0.25">
      <c r="A23" s="4"/>
      <c r="B23" s="140" t="s">
        <v>24</v>
      </c>
      <c r="C23" s="7">
        <f>Horizon!C23+Cadence!C23+'St Rose'!C23+Sloan!C23+Inspirada!C23+'System Wide'!C23</f>
        <v>0</v>
      </c>
      <c r="D23" s="7">
        <f>Horizon!D23+Cadence!D23+'St Rose'!D23+Sloan!D23+Inspirada!D23+'System Wide'!D23</f>
        <v>92</v>
      </c>
      <c r="E23" s="7">
        <f>Horizon!E23+Cadence!E23+'St Rose'!E23+Sloan!E23+Inspirada!E23+'System Wide'!E23</f>
        <v>0</v>
      </c>
      <c r="F23" s="7">
        <f>Horizon!F23+Cadence!F23+'St Rose'!F23+Sloan!F23+Inspirada!F23+'System Wide'!F23</f>
        <v>0</v>
      </c>
      <c r="G23" s="7">
        <f t="shared" ref="G23:G26" si="2">SUM(C23:F23)</f>
        <v>92</v>
      </c>
      <c r="K23" s="7"/>
    </row>
    <row r="24" spans="1:14" x14ac:dyDescent="0.25">
      <c r="A24" s="4"/>
      <c r="B24" s="140" t="s">
        <v>25</v>
      </c>
      <c r="C24" s="7">
        <f>Horizon!C24+Cadence!C24+'St Rose'!C24+Sloan!C24+Inspirada!C24+'System Wide'!C24</f>
        <v>0</v>
      </c>
      <c r="D24" s="7">
        <f>Horizon!D24+Cadence!D24+'St Rose'!D24+Sloan!D24+Inspirada!D24+'System Wide'!D24</f>
        <v>261</v>
      </c>
      <c r="E24" s="7">
        <f>Horizon!E24+Cadence!E24+'St Rose'!E24+Sloan!E24+Inspirada!E24+'System Wide'!E24</f>
        <v>0</v>
      </c>
      <c r="F24" s="7">
        <f>Horizon!F24+Cadence!F24+'St Rose'!F24+Sloan!F24+Inspirada!F24+'System Wide'!F24</f>
        <v>0</v>
      </c>
      <c r="G24" s="7">
        <f t="shared" si="2"/>
        <v>261</v>
      </c>
      <c r="K24" s="7">
        <v>326</v>
      </c>
    </row>
    <row r="25" spans="1:14" x14ac:dyDescent="0.25">
      <c r="A25" s="4"/>
      <c r="B25" s="140" t="s">
        <v>26</v>
      </c>
      <c r="C25" s="7">
        <f>Horizon!C25+Cadence!C25+'St Rose'!C25+Sloan!C25+Inspirada!C25+'System Wide'!C25</f>
        <v>0</v>
      </c>
      <c r="D25" s="7">
        <f>Horizon!D25+Cadence!D25+'St Rose'!D25+Sloan!D25+Inspirada!D25+'System Wide'!D25</f>
        <v>0</v>
      </c>
      <c r="E25" s="7">
        <f>Horizon!E25+Cadence!E25+'St Rose'!E25+Sloan!E25+Inspirada!E25+'System Wide'!E25</f>
        <v>0</v>
      </c>
      <c r="F25" s="161">
        <f>D26/C19</f>
        <v>0.17839231981659265</v>
      </c>
      <c r="G25" s="161">
        <f t="shared" si="2"/>
        <v>0.17839231981659265</v>
      </c>
      <c r="K25" s="19"/>
    </row>
    <row r="26" spans="1:14" x14ac:dyDescent="0.25">
      <c r="A26" s="4"/>
      <c r="B26" s="140" t="s">
        <v>27</v>
      </c>
      <c r="C26" s="7">
        <f>Horizon!C26+Cadence!C26+'St Rose'!C26+Sloan!C26+Inspirada!C26+'System Wide'!C26</f>
        <v>0</v>
      </c>
      <c r="D26" s="7">
        <f>Horizon!D26+Cadence!D26+'St Rose'!D26+Sloan!D26+Inspirada!D26+'System Wide'!D26</f>
        <v>1245</v>
      </c>
      <c r="E26" s="7">
        <f>Horizon!E26+Cadence!E26+'St Rose'!E26+Sloan!E26+Inspirada!E26+'System Wide'!E26</f>
        <v>0</v>
      </c>
      <c r="F26" s="7">
        <f>Horizon!F26+Cadence!F26+'St Rose'!F26+Sloan!F26+Inspirada!F26</f>
        <v>0</v>
      </c>
      <c r="G26" s="7">
        <f t="shared" si="2"/>
        <v>1245</v>
      </c>
      <c r="K26" s="7"/>
    </row>
    <row r="27" spans="1:14" x14ac:dyDescent="0.25">
      <c r="A27" s="4"/>
      <c r="B27" s="20"/>
      <c r="C27" s="7"/>
      <c r="D27" s="7"/>
      <c r="E27" s="7"/>
      <c r="F27" s="7"/>
      <c r="G27" s="7">
        <f t="shared" ref="G27" si="3">SUM(C27:F27)</f>
        <v>0</v>
      </c>
      <c r="K27" s="7">
        <f t="shared" ref="K27" si="4">SUM(G27:J27)</f>
        <v>0</v>
      </c>
    </row>
    <row r="28" spans="1:14" x14ac:dyDescent="0.25">
      <c r="A28" s="4"/>
      <c r="B28" s="17" t="s">
        <v>28</v>
      </c>
      <c r="C28" s="18"/>
      <c r="D28" s="18"/>
      <c r="E28" s="18"/>
      <c r="F28" s="18"/>
      <c r="G28" s="18"/>
      <c r="K28" s="18"/>
    </row>
    <row r="29" spans="1:14" x14ac:dyDescent="0.25">
      <c r="A29" s="4"/>
      <c r="B29" s="21" t="s">
        <v>29</v>
      </c>
      <c r="C29" s="23">
        <f>Horizon!C29+Cadence!C29+'St Rose'!C29+Sloan!C29+Inspirada!C29+'System Wide'!C29</f>
        <v>251</v>
      </c>
      <c r="D29" s="23">
        <f>Horizon!D29+Cadence!D29+'St Rose'!D29+Sloan!D29+Inspirada!D29+'System Wide'!D29</f>
        <v>0</v>
      </c>
      <c r="E29" s="23">
        <f>Horizon!E29+Cadence!E29+'St Rose'!E29+Sloan!E29+Inspirada!E29+'System Wide'!E29</f>
        <v>0</v>
      </c>
      <c r="F29" s="23">
        <f>Horizon!F29+Cadence!F29+'St Rose'!F29+Sloan!F29+Inspirada!F29+'System Wide'!F29</f>
        <v>0</v>
      </c>
      <c r="G29" s="23">
        <f>SUM(C29:F29)</f>
        <v>251</v>
      </c>
      <c r="K29" s="23">
        <v>217</v>
      </c>
    </row>
    <row r="30" spans="1:14" x14ac:dyDescent="0.25">
      <c r="A30" s="25"/>
      <c r="B30" s="21" t="s">
        <v>30</v>
      </c>
      <c r="C30" s="23">
        <f>Horizon!C30+Cadence!C30+'St Rose'!C30+Sloan!C30+Inspirada!C30+'System Wide'!C30</f>
        <v>0</v>
      </c>
      <c r="D30" s="23">
        <f>Horizon!D30+Cadence!D30+'St Rose'!D30+Sloan!D30+Inspirada!D30+'System Wide'!D30</f>
        <v>0</v>
      </c>
      <c r="E30" s="23">
        <f>Horizon!E30+Cadence!E30+'St Rose'!E30+Sloan!E30+Inspirada!E30+'System Wide'!E30</f>
        <v>33</v>
      </c>
      <c r="F30" s="23">
        <f>Horizon!F30+Cadence!F30+'St Rose'!F30+Sloan!F30+Inspirada!F30+'System Wide'!F30</f>
        <v>0</v>
      </c>
      <c r="G30" s="23">
        <f t="shared" ref="G30:G38" si="5">SUM(C30:F30)</f>
        <v>33</v>
      </c>
      <c r="K30" s="23">
        <v>23</v>
      </c>
    </row>
    <row r="31" spans="1:14" x14ac:dyDescent="0.25">
      <c r="A31" s="4"/>
      <c r="B31" s="21" t="s">
        <v>31</v>
      </c>
      <c r="C31" s="23">
        <f>Horizon!C31+Cadence!C31+'St Rose'!C31+Sloan!C31+Inspirada!C31+'System Wide'!C31</f>
        <v>6</v>
      </c>
      <c r="D31" s="23">
        <f>Horizon!D31+Cadence!D31+'St Rose'!D31+Sloan!D31+Inspirada!D31+'System Wide'!D31</f>
        <v>0</v>
      </c>
      <c r="E31" s="23">
        <f>Horizon!E31+Cadence!E31+'St Rose'!E31+Sloan!E31+Inspirada!E31+'System Wide'!E31</f>
        <v>0</v>
      </c>
      <c r="F31" s="23">
        <f>Horizon!F31+Cadence!F31+'St Rose'!F31+Sloan!F31+Inspirada!F31+'System Wide'!F31</f>
        <v>0</v>
      </c>
      <c r="G31" s="23">
        <f t="shared" si="5"/>
        <v>6</v>
      </c>
      <c r="K31" s="23">
        <v>7</v>
      </c>
    </row>
    <row r="32" spans="1:14" x14ac:dyDescent="0.25">
      <c r="A32" s="4"/>
      <c r="B32" s="21" t="s">
        <v>32</v>
      </c>
      <c r="C32" s="23">
        <f>Horizon!C32+Cadence!C32+'St Rose'!C32+Sloan!C32+Inspirada!C32+'System Wide'!C32</f>
        <v>6</v>
      </c>
      <c r="D32" s="23">
        <f>Horizon!D32+Cadence!D32+'St Rose'!D32+Sloan!D32+Inspirada!D32+'System Wide'!D32</f>
        <v>0</v>
      </c>
      <c r="E32" s="23">
        <f>Horizon!E32+Cadence!E32+'St Rose'!E32+Sloan!E32+Inspirada!E32+'System Wide'!E32</f>
        <v>0</v>
      </c>
      <c r="F32" s="23">
        <f>Horizon!F32+Cadence!F32+'St Rose'!F32+Sloan!F32+Inspirada!F32+'System Wide'!F32</f>
        <v>0</v>
      </c>
      <c r="G32" s="23">
        <f t="shared" si="5"/>
        <v>6</v>
      </c>
      <c r="K32" s="23">
        <v>7</v>
      </c>
    </row>
    <row r="33" spans="1:11" x14ac:dyDescent="0.25">
      <c r="A33" s="4"/>
      <c r="B33" s="21" t="s">
        <v>33</v>
      </c>
      <c r="C33" s="23">
        <f>Horizon!C33+Cadence!C33+'St Rose'!C33+Sloan!C33+Inspirada!C33+'System Wide'!C33</f>
        <v>7</v>
      </c>
      <c r="D33" s="23">
        <f>Horizon!D33+Cadence!D33+'St Rose'!D33+Sloan!D33+Inspirada!D33+'System Wide'!D33</f>
        <v>0</v>
      </c>
      <c r="E33" s="23">
        <f>Horizon!E33+Cadence!E33+'St Rose'!E33+Sloan!E33+Inspirada!E33+'System Wide'!E33</f>
        <v>0</v>
      </c>
      <c r="F33" s="23">
        <f>Horizon!F33+Cadence!F33+'St Rose'!F33+Sloan!F33+Inspirada!F33+'System Wide'!F33</f>
        <v>0</v>
      </c>
      <c r="G33" s="23">
        <f t="shared" si="5"/>
        <v>7</v>
      </c>
      <c r="K33" s="23">
        <v>6</v>
      </c>
    </row>
    <row r="34" spans="1:11" x14ac:dyDescent="0.25">
      <c r="A34" s="4"/>
      <c r="B34" s="24" t="s">
        <v>34</v>
      </c>
      <c r="C34" s="23">
        <f>Horizon!C34+Cadence!C34+'St Rose'!C34+Sloan!C34+Inspirada!C34+'System Wide'!C34</f>
        <v>0</v>
      </c>
      <c r="D34" s="23">
        <f>Horizon!D34+Cadence!D34+'St Rose'!D34+Sloan!D34+Inspirada!D34+'System Wide'!D34</f>
        <v>0</v>
      </c>
      <c r="E34" s="23">
        <f>Horizon!E34+Cadence!E34+'St Rose'!E34+Sloan!E34+Inspirada!E34+'System Wide'!E34</f>
        <v>0</v>
      </c>
      <c r="F34" s="23">
        <f>Horizon!F34+Cadence!F34+'St Rose'!F34+Sloan!F34+Inspirada!F34+'System Wide'!F34</f>
        <v>0</v>
      </c>
      <c r="G34" s="23">
        <f t="shared" si="5"/>
        <v>0</v>
      </c>
      <c r="K34" s="23">
        <f t="shared" ref="K34:K38" si="6">SUM(G34:J34)</f>
        <v>0</v>
      </c>
    </row>
    <row r="35" spans="1:11" x14ac:dyDescent="0.25">
      <c r="A35" s="4"/>
      <c r="B35" s="27" t="s">
        <v>35</v>
      </c>
      <c r="C35" s="23">
        <f>Horizon!C35+Cadence!C35+'St Rose'!C35+Sloan!C35+Inspirada!C35+'System Wide'!C35</f>
        <v>5</v>
      </c>
      <c r="D35" s="23">
        <f>Horizon!D35+Cadence!D35+'St Rose'!D35+Sloan!D35+Inspirada!D35+'System Wide'!D35</f>
        <v>0</v>
      </c>
      <c r="E35" s="23">
        <f>Horizon!E35+Cadence!E35+'St Rose'!E35+Sloan!E35+Inspirada!E35+'System Wide'!E35</f>
        <v>0</v>
      </c>
      <c r="F35" s="23">
        <f>Horizon!F35+Cadence!F35+'St Rose'!F35+Sloan!F35+Inspirada!F35+'System Wide'!F35</f>
        <v>0</v>
      </c>
      <c r="G35" s="23">
        <f t="shared" si="5"/>
        <v>5</v>
      </c>
      <c r="K35" s="23">
        <f t="shared" si="6"/>
        <v>5</v>
      </c>
    </row>
    <row r="36" spans="1:11" x14ac:dyDescent="0.25">
      <c r="A36" s="4"/>
      <c r="B36" s="28" t="s">
        <v>36</v>
      </c>
      <c r="C36" s="23">
        <f>Horizon!C36+Cadence!C36+'St Rose'!C36+Sloan!C36+Inspirada!C36+'System Wide'!C36</f>
        <v>0</v>
      </c>
      <c r="D36" s="23">
        <f>Horizon!D36+Cadence!D36+'St Rose'!D36+Sloan!D36+Inspirada!D36+'System Wide'!D36</f>
        <v>0</v>
      </c>
      <c r="E36" s="23">
        <f>Horizon!E36+Cadence!E36+'St Rose'!E36+Sloan!E36+Inspirada!E36+'System Wide'!E36</f>
        <v>0</v>
      </c>
      <c r="F36" s="23">
        <f>Horizon!F36+Cadence!F36+'St Rose'!F36+Sloan!F36+Inspirada!F36+'System Wide'!F36</f>
        <v>0</v>
      </c>
      <c r="G36" s="23">
        <f t="shared" si="5"/>
        <v>0</v>
      </c>
      <c r="K36" s="23">
        <f t="shared" si="6"/>
        <v>0</v>
      </c>
    </row>
    <row r="37" spans="1:11" x14ac:dyDescent="0.25">
      <c r="A37" s="4"/>
      <c r="B37" s="27" t="s">
        <v>37</v>
      </c>
      <c r="C37" s="23">
        <f>Horizon!C37+Cadence!C37+'St Rose'!C37+Sloan!C37+Inspirada!C37+'System Wide'!C37</f>
        <v>6</v>
      </c>
      <c r="D37" s="23">
        <f>Horizon!D37+Cadence!D37+'St Rose'!D37+Sloan!D37+Inspirada!D37+'System Wide'!D37</f>
        <v>0</v>
      </c>
      <c r="E37" s="23">
        <f>Horizon!E37+Cadence!E37+'St Rose'!E37+Sloan!E37+Inspirada!E37+'System Wide'!E37</f>
        <v>0</v>
      </c>
      <c r="F37" s="23">
        <f>Horizon!F37+Cadence!F37+'St Rose'!F37+Sloan!F37+Inspirada!F37+'System Wide'!F37</f>
        <v>0</v>
      </c>
      <c r="G37" s="23">
        <f t="shared" si="5"/>
        <v>6</v>
      </c>
      <c r="K37" s="23">
        <f t="shared" si="6"/>
        <v>6</v>
      </c>
    </row>
    <row r="38" spans="1:11" x14ac:dyDescent="0.25">
      <c r="A38" s="4"/>
      <c r="B38" s="27" t="s">
        <v>38</v>
      </c>
      <c r="C38" s="23">
        <f>Horizon!C38+Cadence!C38+'St Rose'!C38+Sloan!C38+Inspirada!C38+'System Wide'!C38</f>
        <v>12.16</v>
      </c>
      <c r="D38" s="23">
        <f>Horizon!D38+Cadence!D38+'St Rose'!D38+Sloan!D38+Inspirada!D38+'System Wide'!D38</f>
        <v>0</v>
      </c>
      <c r="E38" s="23">
        <f>Horizon!E38+Cadence!E38+'St Rose'!E38+Sloan!E38+Inspirada!E38+'System Wide'!E38</f>
        <v>0</v>
      </c>
      <c r="F38" s="23">
        <f>Horizon!F38+Cadence!F38+'St Rose'!F38+Sloan!F38+Inspirada!F38+'System Wide'!F38</f>
        <v>0</v>
      </c>
      <c r="G38" s="23">
        <f t="shared" si="5"/>
        <v>12.16</v>
      </c>
      <c r="K38" s="23">
        <f t="shared" si="6"/>
        <v>12.16</v>
      </c>
    </row>
    <row r="39" spans="1:11" x14ac:dyDescent="0.25">
      <c r="A39" s="4"/>
      <c r="B39" s="29" t="s">
        <v>39</v>
      </c>
      <c r="C39" s="30">
        <f>SUM(C29:C38)</f>
        <v>293.16000000000003</v>
      </c>
      <c r="D39" s="30">
        <f>SUM(D29:D38)</f>
        <v>0</v>
      </c>
      <c r="E39" s="30">
        <f>SUM(E29:E38)</f>
        <v>33</v>
      </c>
      <c r="F39" s="30">
        <f t="shared" ref="F39:G39" si="7">SUM(F29:F38)</f>
        <v>0</v>
      </c>
      <c r="G39" s="30">
        <f t="shared" si="7"/>
        <v>326.16000000000003</v>
      </c>
      <c r="J39" s="155"/>
      <c r="K39" s="30">
        <f t="shared" ref="K39" si="8">SUM(K29:K38)</f>
        <v>283.16000000000003</v>
      </c>
    </row>
    <row r="40" spans="1:11" x14ac:dyDescent="0.25">
      <c r="A40" s="4"/>
      <c r="B40" s="31"/>
      <c r="C40" s="23"/>
      <c r="D40" s="23"/>
      <c r="E40" s="23"/>
      <c r="F40" s="23"/>
      <c r="G40" s="23"/>
      <c r="K40" s="23"/>
    </row>
    <row r="41" spans="1:11" x14ac:dyDescent="0.25">
      <c r="A41" s="4"/>
      <c r="B41" s="17" t="s">
        <v>40</v>
      </c>
      <c r="C41" s="32"/>
      <c r="D41" s="32"/>
      <c r="E41" s="32"/>
      <c r="F41" s="32"/>
      <c r="G41" s="32"/>
      <c r="K41" s="32"/>
    </row>
    <row r="42" spans="1:11" x14ac:dyDescent="0.25">
      <c r="A42" s="4"/>
      <c r="B42" s="21" t="s">
        <v>41</v>
      </c>
      <c r="C42" s="23">
        <f>Horizon!C42+Cadence!C42+'St Rose'!C42+Sloan!C42+Inspirada!C42+'System Wide'!C42</f>
        <v>5</v>
      </c>
      <c r="D42" s="23">
        <f>Horizon!D42+Cadence!D42+'St Rose'!D42+Sloan!D42+Inspirada!D42+'System Wide'!D42</f>
        <v>0</v>
      </c>
      <c r="E42" s="23">
        <f>Horizon!E42+Cadence!E42+'St Rose'!E42+Sloan!E42+Inspirada!E42+'System Wide'!E42</f>
        <v>0</v>
      </c>
      <c r="F42" s="23">
        <f>Horizon!F42+Cadence!F42+'St Rose'!F42+Sloan!F42+Inspirada!F42+'System Wide'!F42</f>
        <v>0</v>
      </c>
      <c r="G42" s="23">
        <f>SUM(C42:F42)</f>
        <v>5</v>
      </c>
      <c r="K42" s="23">
        <f t="shared" ref="K42:K61" si="9">SUM(G42:J42)</f>
        <v>5</v>
      </c>
    </row>
    <row r="43" spans="1:11" x14ac:dyDescent="0.25">
      <c r="A43" s="4"/>
      <c r="B43" s="21" t="s">
        <v>42</v>
      </c>
      <c r="C43" s="23">
        <f>Horizon!C43+Cadence!C43+'St Rose'!C43+Sloan!C43+Inspirada!C43+'System Wide'!C43</f>
        <v>13</v>
      </c>
      <c r="D43" s="23">
        <f>Horizon!D43+Cadence!D43+'St Rose'!D43+Sloan!D43+Inspirada!D43+'System Wide'!D43</f>
        <v>0</v>
      </c>
      <c r="E43" s="23">
        <f>Horizon!E43+Cadence!E43+'St Rose'!E43+Sloan!E43+Inspirada!E43+'System Wide'!E43</f>
        <v>0</v>
      </c>
      <c r="F43" s="23">
        <f>Horizon!F43+Cadence!F43+'St Rose'!F43+Sloan!F43+Inspirada!F43+'System Wide'!F43</f>
        <v>0</v>
      </c>
      <c r="G43" s="23">
        <f t="shared" ref="G43:G61" si="10">SUM(C43:F43)</f>
        <v>13</v>
      </c>
      <c r="K43" s="23">
        <f t="shared" si="9"/>
        <v>13</v>
      </c>
    </row>
    <row r="44" spans="1:11" x14ac:dyDescent="0.25">
      <c r="A44" s="4"/>
      <c r="B44" s="34" t="s">
        <v>43</v>
      </c>
      <c r="C44" s="23">
        <f>Horizon!C44+Cadence!C44+'St Rose'!C44+Sloan!C44+Inspirada!C44+'System Wide'!C44</f>
        <v>0</v>
      </c>
      <c r="D44" s="23">
        <f>Horizon!D44+Cadence!D44+'St Rose'!D44+Sloan!D44+Inspirada!D44+'System Wide'!D44</f>
        <v>0</v>
      </c>
      <c r="E44" s="23">
        <f>Horizon!E44+Cadence!E44+'St Rose'!E44+Sloan!E44+Inspirada!E44+'System Wide'!E44</f>
        <v>0</v>
      </c>
      <c r="F44" s="23">
        <f>Horizon!F44+Cadence!F44+'St Rose'!F44+Sloan!F44+Inspirada!F44+'System Wide'!F44</f>
        <v>0</v>
      </c>
      <c r="G44" s="23">
        <f t="shared" si="10"/>
        <v>0</v>
      </c>
      <c r="K44" s="23">
        <f t="shared" si="9"/>
        <v>0</v>
      </c>
    </row>
    <row r="45" spans="1:11" x14ac:dyDescent="0.25">
      <c r="A45" s="4"/>
      <c r="B45" s="33" t="s">
        <v>44</v>
      </c>
      <c r="C45" s="23">
        <f>Horizon!C45+Cadence!C45+'St Rose'!C45+Sloan!C45+Inspirada!C45+'System Wide'!C45</f>
        <v>10</v>
      </c>
      <c r="D45" s="23">
        <f>Horizon!D45+Cadence!D45+'St Rose'!D45+Sloan!D45+Inspirada!D45+'System Wide'!D45</f>
        <v>0</v>
      </c>
      <c r="E45" s="23">
        <f>Horizon!E45+Cadence!E45+'St Rose'!E45+Sloan!E45+Inspirada!E45+'System Wide'!E45</f>
        <v>0</v>
      </c>
      <c r="F45" s="23">
        <f>Horizon!F45+Cadence!F45+'St Rose'!F45+Sloan!F45+Inspirada!F45+'System Wide'!F45</f>
        <v>0</v>
      </c>
      <c r="G45" s="23">
        <f t="shared" si="10"/>
        <v>10</v>
      </c>
      <c r="K45" s="23">
        <v>4</v>
      </c>
    </row>
    <row r="46" spans="1:11" x14ac:dyDescent="0.25">
      <c r="A46" s="4"/>
      <c r="B46" s="33" t="s">
        <v>45</v>
      </c>
      <c r="C46" s="23">
        <f>Horizon!C46+Cadence!C46+'St Rose'!C46+Sloan!C46+Inspirada!C46+'System Wide'!C46</f>
        <v>8</v>
      </c>
      <c r="D46" s="23">
        <f>Horizon!D46+Cadence!D46+'St Rose'!D46+Sloan!D46+Inspirada!D46+'System Wide'!D46</f>
        <v>1</v>
      </c>
      <c r="E46" s="23">
        <f>Horizon!E46+Cadence!E46+'St Rose'!E46+Sloan!E46+Inspirada!E46+'System Wide'!E46</f>
        <v>0</v>
      </c>
      <c r="F46" s="23">
        <f>Horizon!F46+Cadence!F46+'St Rose'!F46+Sloan!F46+Inspirada!F46+'System Wide'!F46</f>
        <v>0</v>
      </c>
      <c r="G46" s="23">
        <f t="shared" si="10"/>
        <v>9</v>
      </c>
      <c r="K46" s="23">
        <v>13</v>
      </c>
    </row>
    <row r="47" spans="1:11" x14ac:dyDescent="0.25">
      <c r="A47" s="4"/>
      <c r="B47" s="21" t="s">
        <v>46</v>
      </c>
      <c r="C47" s="23">
        <f>Horizon!C47+Cadence!C47+'St Rose'!C47+Sloan!C47+Inspirada!C47+'System Wide'!C47</f>
        <v>8</v>
      </c>
      <c r="D47" s="23">
        <f>Horizon!D47+Cadence!D47+'St Rose'!D47+Sloan!D47+Inspirada!D47+'System Wide'!D47</f>
        <v>0</v>
      </c>
      <c r="E47" s="23">
        <f>Horizon!E47+Cadence!E47+'St Rose'!E47+Sloan!E47+Inspirada!E47+'System Wide'!E47</f>
        <v>0</v>
      </c>
      <c r="F47" s="23">
        <f>Horizon!F47+Cadence!F47+'St Rose'!F47+Sloan!F47+Inspirada!F47+'System Wide'!F47</f>
        <v>0</v>
      </c>
      <c r="G47" s="23">
        <f t="shared" si="10"/>
        <v>8</v>
      </c>
      <c r="K47" s="23">
        <v>12</v>
      </c>
    </row>
    <row r="48" spans="1:11" x14ac:dyDescent="0.25">
      <c r="A48" s="4"/>
      <c r="B48" s="21" t="s">
        <v>47</v>
      </c>
      <c r="C48" s="23">
        <f>Horizon!C48+Cadence!C48+'St Rose'!C48+Sloan!C48+Inspirada!C48+'System Wide'!C48</f>
        <v>6.5</v>
      </c>
      <c r="D48" s="23">
        <f>Horizon!D48+Cadence!D48+'St Rose'!D48+Sloan!D48+Inspirada!D48+'System Wide'!D48</f>
        <v>0</v>
      </c>
      <c r="E48" s="23">
        <f>Horizon!E48+Cadence!E48+'St Rose'!E48+Sloan!E48+Inspirada!E48+'System Wide'!E48</f>
        <v>0</v>
      </c>
      <c r="F48" s="23">
        <f>Horizon!F48+Cadence!F48+'St Rose'!F48+Sloan!F48+Inspirada!F48+'System Wide'!F48</f>
        <v>0</v>
      </c>
      <c r="G48" s="23">
        <f t="shared" si="10"/>
        <v>6.5</v>
      </c>
      <c r="K48" s="23">
        <f t="shared" si="9"/>
        <v>6.5</v>
      </c>
    </row>
    <row r="49" spans="1:11" x14ac:dyDescent="0.25">
      <c r="A49" s="4"/>
      <c r="B49" s="21" t="s">
        <v>48</v>
      </c>
      <c r="C49" s="23">
        <f>Horizon!C49+Cadence!C49+'St Rose'!C49+Sloan!C49+Inspirada!C49+'System Wide'!C49</f>
        <v>7</v>
      </c>
      <c r="D49" s="23">
        <f>Horizon!D49+Cadence!D49+'St Rose'!D49+Sloan!D49+Inspirada!D49+'System Wide'!D49</f>
        <v>0</v>
      </c>
      <c r="E49" s="23">
        <f>Horizon!E49+Cadence!E49+'St Rose'!E49+Sloan!E49+Inspirada!E49+'System Wide'!E49</f>
        <v>0</v>
      </c>
      <c r="F49" s="23">
        <f>Horizon!F49+Cadence!F49+'St Rose'!F49+Sloan!F49+Inspirada!F49+'System Wide'!F49</f>
        <v>0</v>
      </c>
      <c r="G49" s="23">
        <f t="shared" si="10"/>
        <v>7</v>
      </c>
      <c r="K49" s="23">
        <f t="shared" si="9"/>
        <v>7</v>
      </c>
    </row>
    <row r="50" spans="1:11" x14ac:dyDescent="0.25">
      <c r="A50" s="4"/>
      <c r="B50" s="21" t="s">
        <v>49</v>
      </c>
      <c r="C50" s="23">
        <f>Horizon!C50+Cadence!C50+'St Rose'!C50+Sloan!C50+Inspirada!C50+'System Wide'!C50</f>
        <v>7</v>
      </c>
      <c r="D50" s="23">
        <f>Horizon!D50+Cadence!D50+'St Rose'!D50+Sloan!D50+Inspirada!D50+'System Wide'!D50</f>
        <v>0</v>
      </c>
      <c r="E50" s="23">
        <f>Horizon!E50+Cadence!E50+'St Rose'!E50+Sloan!E50+Inspirada!E50+'System Wide'!E50</f>
        <v>0</v>
      </c>
      <c r="F50" s="23">
        <f>Horizon!F50+Cadence!F50+'St Rose'!F50+Sloan!F50+Inspirada!F50+'System Wide'!F50</f>
        <v>0</v>
      </c>
      <c r="G50" s="23">
        <f t="shared" si="10"/>
        <v>7</v>
      </c>
      <c r="K50" s="23">
        <f t="shared" si="9"/>
        <v>7</v>
      </c>
    </row>
    <row r="51" spans="1:11" x14ac:dyDescent="0.25">
      <c r="A51" s="4"/>
      <c r="B51" s="21" t="s">
        <v>50</v>
      </c>
      <c r="C51" s="23">
        <f>Horizon!C51+Cadence!C51+'St Rose'!C51+Sloan!C51+Inspirada!C51+'System Wide'!C51</f>
        <v>1.5</v>
      </c>
      <c r="D51" s="23">
        <f>Horizon!D51+Cadence!D51+'St Rose'!D51+Sloan!D51+Inspirada!D51+'System Wide'!D51</f>
        <v>13</v>
      </c>
      <c r="E51" s="23">
        <f>Horizon!E51+Cadence!E51+'St Rose'!E51+Sloan!E51+Inspirada!E51+'System Wide'!E51</f>
        <v>33</v>
      </c>
      <c r="F51" s="23">
        <f>Horizon!F51+Cadence!F51+'St Rose'!F51+Sloan!F51+Inspirada!F51+'System Wide'!F51</f>
        <v>0</v>
      </c>
      <c r="G51" s="23">
        <f t="shared" si="10"/>
        <v>47.5</v>
      </c>
      <c r="K51" s="23">
        <v>44.2</v>
      </c>
    </row>
    <row r="52" spans="1:11" x14ac:dyDescent="0.25">
      <c r="A52" s="4"/>
      <c r="B52" s="21" t="s">
        <v>51</v>
      </c>
      <c r="C52" s="23">
        <f>Horizon!C52+Cadence!C52+'St Rose'!C52+Sloan!C52+Inspirada!C52+'System Wide'!C52</f>
        <v>14</v>
      </c>
      <c r="D52" s="23">
        <f>Horizon!D52+Cadence!D52+'St Rose'!D52+Sloan!D52+Inspirada!D52+'System Wide'!D52</f>
        <v>0</v>
      </c>
      <c r="E52" s="23">
        <f>Horizon!E52+Cadence!E52+'St Rose'!E52+Sloan!E52+Inspirada!E52+'System Wide'!E52</f>
        <v>0</v>
      </c>
      <c r="F52" s="23">
        <f>Horizon!F52+Cadence!F52+'St Rose'!F52+Sloan!F52+Inspirada!F52+'System Wide'!F52</f>
        <v>0</v>
      </c>
      <c r="G52" s="23">
        <f t="shared" si="10"/>
        <v>14</v>
      </c>
      <c r="K52" s="23">
        <v>12</v>
      </c>
    </row>
    <row r="53" spans="1:11" x14ac:dyDescent="0.25">
      <c r="A53" s="4"/>
      <c r="B53" s="21" t="s">
        <v>52</v>
      </c>
      <c r="C53" s="23">
        <f>Horizon!C53+Cadence!C53+'St Rose'!C53+Sloan!C53+Inspirada!C53+'System Wide'!C53</f>
        <v>0</v>
      </c>
      <c r="D53" s="23">
        <f>Horizon!D53+Cadence!D53+'St Rose'!D53+Sloan!D53+Inspirada!D53+'System Wide'!D53</f>
        <v>0</v>
      </c>
      <c r="E53" s="23">
        <f>Horizon!E53+Cadence!E53+'St Rose'!E53+Sloan!E53+Inspirada!E53+'System Wide'!E53</f>
        <v>0</v>
      </c>
      <c r="F53" s="23">
        <f>Horizon!F53+Cadence!F53+'St Rose'!F53+Sloan!F53+Inspirada!F53+'System Wide'!F53</f>
        <v>8</v>
      </c>
      <c r="G53" s="23">
        <f t="shared" si="10"/>
        <v>8</v>
      </c>
      <c r="K53" s="23">
        <v>8</v>
      </c>
    </row>
    <row r="54" spans="1:11" x14ac:dyDescent="0.25">
      <c r="A54" s="4"/>
      <c r="B54" s="21" t="s">
        <v>53</v>
      </c>
      <c r="C54" s="23">
        <f>Horizon!C54+Cadence!C54+'St Rose'!C54+Sloan!C54+Inspirada!C54+'System Wide'!C54</f>
        <v>0</v>
      </c>
      <c r="D54" s="23">
        <f>Horizon!D54+Cadence!D54+'St Rose'!D54+Sloan!D54+Inspirada!D54+'System Wide'!D54</f>
        <v>0</v>
      </c>
      <c r="E54" s="23">
        <f>Horizon!E54+Cadence!E54+'St Rose'!E54+Sloan!E54+Inspirada!E54+'System Wide'!E54</f>
        <v>0</v>
      </c>
      <c r="F54" s="23">
        <f>Horizon!F54+Cadence!F54+'St Rose'!F54+Sloan!F54+Inspirada!F54+'System Wide'!F54</f>
        <v>0</v>
      </c>
      <c r="G54" s="23">
        <f t="shared" si="10"/>
        <v>0</v>
      </c>
      <c r="K54" s="23">
        <f t="shared" si="9"/>
        <v>0</v>
      </c>
    </row>
    <row r="55" spans="1:11" x14ac:dyDescent="0.25">
      <c r="A55" s="4"/>
      <c r="B55" s="34" t="s">
        <v>54</v>
      </c>
      <c r="C55" s="23">
        <f>Horizon!C55+Cadence!C55+'St Rose'!C55+Sloan!C55+Inspirada!C55+'System Wide'!C55</f>
        <v>0</v>
      </c>
      <c r="D55" s="23">
        <f>Horizon!D55+Cadence!D55+'St Rose'!D55+Sloan!D55+Inspirada!D55+'System Wide'!D55</f>
        <v>0</v>
      </c>
      <c r="E55" s="23">
        <f>Horizon!E55+Cadence!E55+'St Rose'!E55+Sloan!E55+Inspirada!E55+'System Wide'!E55</f>
        <v>3.33</v>
      </c>
      <c r="F55" s="23">
        <f>Horizon!F55+Cadence!F55+'St Rose'!F55+Sloan!F55+Inspirada!F55+'System Wide'!F55</f>
        <v>0</v>
      </c>
      <c r="G55" s="23">
        <f t="shared" si="10"/>
        <v>3.33</v>
      </c>
      <c r="K55" s="23">
        <f t="shared" si="9"/>
        <v>3.33</v>
      </c>
    </row>
    <row r="56" spans="1:11" x14ac:dyDescent="0.25">
      <c r="A56" s="4"/>
      <c r="B56" s="34" t="s">
        <v>55</v>
      </c>
      <c r="C56" s="23">
        <f>Horizon!C56+Cadence!C56+'St Rose'!C56+Sloan!C56+Inspirada!C56+'System Wide'!C56</f>
        <v>0</v>
      </c>
      <c r="D56" s="23">
        <f>Horizon!D56+Cadence!D56+'St Rose'!D56+Sloan!D56+Inspirada!D56+'System Wide'!D56</f>
        <v>0</v>
      </c>
      <c r="E56" s="23">
        <f>Horizon!E56+Cadence!E56+'St Rose'!E56+Sloan!E56+Inspirada!E56+'System Wide'!E56</f>
        <v>2</v>
      </c>
      <c r="F56" s="23">
        <f>Horizon!F56+Cadence!F56+'St Rose'!F56+Sloan!F56+Inspirada!F56+'System Wide'!F56</f>
        <v>0</v>
      </c>
      <c r="G56" s="23">
        <f t="shared" si="10"/>
        <v>2</v>
      </c>
      <c r="K56" s="23">
        <v>1</v>
      </c>
    </row>
    <row r="57" spans="1:11" x14ac:dyDescent="0.25">
      <c r="A57" s="4"/>
      <c r="B57" s="34" t="s">
        <v>56</v>
      </c>
      <c r="C57" s="23">
        <f>Horizon!C57+Cadence!C57+'St Rose'!C57+Sloan!C57+Inspirada!C57+'System Wide'!C57</f>
        <v>0</v>
      </c>
      <c r="D57" s="23">
        <f>Horizon!D57+Cadence!D57+'St Rose'!D57+Sloan!D57+Inspirada!D57+'System Wide'!D57</f>
        <v>0</v>
      </c>
      <c r="E57" s="23">
        <f>Horizon!E57+Cadence!E57+'St Rose'!E57+Sloan!E57+Inspirada!E57+'System Wide'!E57</f>
        <v>1.5</v>
      </c>
      <c r="F57" s="23">
        <f>Horizon!F57+Cadence!F57+'St Rose'!F57+Sloan!F57+Inspirada!F57+'System Wide'!F57</f>
        <v>0</v>
      </c>
      <c r="G57" s="23">
        <f t="shared" si="10"/>
        <v>1.5</v>
      </c>
      <c r="K57" s="23">
        <v>2</v>
      </c>
    </row>
    <row r="58" spans="1:11" x14ac:dyDescent="0.25">
      <c r="A58" s="4"/>
      <c r="B58" s="34" t="s">
        <v>57</v>
      </c>
      <c r="C58" s="23">
        <f>Horizon!C58+Cadence!C58+'St Rose'!C58+Sloan!C58+Inspirada!C58+'System Wide'!C58</f>
        <v>0</v>
      </c>
      <c r="D58" s="23">
        <f>Horizon!D58+Cadence!D58+'St Rose'!D58+Sloan!D58+Inspirada!D58+'System Wide'!D58</f>
        <v>0</v>
      </c>
      <c r="E58" s="23">
        <f>Horizon!E58+Cadence!E58+'St Rose'!E58+Sloan!E58+Inspirada!E58+'System Wide'!E58</f>
        <v>0.67</v>
      </c>
      <c r="F58" s="23">
        <f>Horizon!F58+Cadence!F58+'St Rose'!F58+Sloan!F58+Inspirada!F58+'System Wide'!F58</f>
        <v>0</v>
      </c>
      <c r="G58" s="23">
        <f t="shared" si="10"/>
        <v>0.67</v>
      </c>
      <c r="K58" s="23">
        <f t="shared" si="9"/>
        <v>0.67</v>
      </c>
    </row>
    <row r="59" spans="1:11" x14ac:dyDescent="0.25">
      <c r="A59" s="4"/>
      <c r="B59" s="34" t="s">
        <v>58</v>
      </c>
      <c r="C59" s="23">
        <f>Horizon!C59+Cadence!C59+'St Rose'!C59+Sloan!C59+Inspirada!C59+'System Wide'!C59</f>
        <v>0</v>
      </c>
      <c r="D59" s="23">
        <f>Horizon!D59+Cadence!D59+'St Rose'!D59+Sloan!D59+Inspirada!D59+'System Wide'!D59</f>
        <v>0</v>
      </c>
      <c r="E59" s="23">
        <f>Horizon!E59+Cadence!E59+'St Rose'!E59+Sloan!E59+Inspirada!E59+'System Wide'!E59</f>
        <v>1.5</v>
      </c>
      <c r="F59" s="23">
        <f>Horizon!F59+Cadence!F59+'St Rose'!F59+Sloan!F59+Inspirada!F59+'System Wide'!F59</f>
        <v>0</v>
      </c>
      <c r="G59" s="23">
        <f t="shared" si="10"/>
        <v>1.5</v>
      </c>
      <c r="K59" s="23">
        <v>1</v>
      </c>
    </row>
    <row r="60" spans="1:11" x14ac:dyDescent="0.25">
      <c r="A60" s="4"/>
      <c r="B60" s="34" t="s">
        <v>59</v>
      </c>
      <c r="C60" s="23">
        <f>Horizon!C60+Cadence!C60+'St Rose'!C60+Sloan!C60+Inspirada!C60+'System Wide'!C60</f>
        <v>0</v>
      </c>
      <c r="D60" s="23">
        <f>Horizon!D60+Cadence!D60+'St Rose'!D60+Sloan!D60+Inspirada!D60+'System Wide'!D60</f>
        <v>4.5</v>
      </c>
      <c r="E60" s="23">
        <f>Horizon!E60+Cadence!E60+'St Rose'!E60+Sloan!E60+Inspirada!E60+'System Wide'!E60</f>
        <v>0</v>
      </c>
      <c r="F60" s="23">
        <f>Horizon!F60+Cadence!F60+'St Rose'!F60+Sloan!F60+Inspirada!F60+'System Wide'!F60</f>
        <v>0</v>
      </c>
      <c r="G60" s="23">
        <f t="shared" si="10"/>
        <v>4.5</v>
      </c>
      <c r="K60" s="23">
        <f t="shared" si="9"/>
        <v>4.5</v>
      </c>
    </row>
    <row r="61" spans="1:11" x14ac:dyDescent="0.25">
      <c r="A61" s="4"/>
      <c r="B61" s="35"/>
      <c r="C61" s="23">
        <f>Horizon!C61+Cadence!C61+'St Rose'!C61+Sloan!C61+Inspirada!C61+'System Wide'!C61</f>
        <v>0</v>
      </c>
      <c r="D61" s="23">
        <f>Horizon!D61+Cadence!D61+'St Rose'!D61+Sloan!D61+Inspirada!D61+'System Wide'!D61</f>
        <v>0</v>
      </c>
      <c r="E61" s="23">
        <f>Horizon!E61+Cadence!E61+'St Rose'!E61+Sloan!E61+Inspirada!E61+'System Wide'!E61</f>
        <v>0</v>
      </c>
      <c r="F61" s="23">
        <f>Horizon!F61+Cadence!F61+'St Rose'!F61+Sloan!F61+Inspirada!F61+'System Wide'!F61</f>
        <v>0</v>
      </c>
      <c r="G61" s="23">
        <f t="shared" si="10"/>
        <v>0</v>
      </c>
      <c r="K61" s="23">
        <f t="shared" si="9"/>
        <v>0</v>
      </c>
    </row>
    <row r="62" spans="1:11" x14ac:dyDescent="0.25">
      <c r="A62" s="4"/>
      <c r="B62" s="29" t="s">
        <v>60</v>
      </c>
      <c r="C62" s="30">
        <f>SUM(C42:C59)</f>
        <v>80</v>
      </c>
      <c r="D62" s="30">
        <f>SUM(D42:D59)</f>
        <v>14</v>
      </c>
      <c r="E62" s="30">
        <f t="shared" ref="E62:F62" si="11">SUM(E42:E59)</f>
        <v>42</v>
      </c>
      <c r="F62" s="30">
        <f t="shared" si="11"/>
        <v>8</v>
      </c>
      <c r="G62" s="30">
        <f>SUM(G42:G59)</f>
        <v>144</v>
      </c>
      <c r="K62" s="30">
        <f>SUM(K42:K61)</f>
        <v>144.19999999999999</v>
      </c>
    </row>
    <row r="63" spans="1:11" ht="15.75" thickBot="1" x14ac:dyDescent="0.3">
      <c r="A63" s="4"/>
      <c r="B63" s="36"/>
      <c r="C63" s="38"/>
      <c r="D63" s="38"/>
      <c r="E63" s="38"/>
      <c r="F63" s="38"/>
      <c r="G63" s="38"/>
      <c r="K63" s="38"/>
    </row>
    <row r="64" spans="1:11" x14ac:dyDescent="0.25">
      <c r="A64" s="2"/>
      <c r="B64" s="40" t="s">
        <v>61</v>
      </c>
      <c r="C64" s="39">
        <f>C39</f>
        <v>293.16000000000003</v>
      </c>
      <c r="D64" s="39">
        <f>D39</f>
        <v>0</v>
      </c>
      <c r="E64" s="39">
        <f>E39</f>
        <v>33</v>
      </c>
      <c r="F64" s="39">
        <f t="shared" ref="F64" si="12">F39</f>
        <v>0</v>
      </c>
      <c r="G64" s="39">
        <f>G39</f>
        <v>326.16000000000003</v>
      </c>
      <c r="K64" s="39">
        <f>K39</f>
        <v>283.16000000000003</v>
      </c>
    </row>
    <row r="65" spans="1:11" ht="15.75" thickBot="1" x14ac:dyDescent="0.3">
      <c r="A65" s="2"/>
      <c r="B65" s="42" t="s">
        <v>62</v>
      </c>
      <c r="C65" s="41">
        <f>C62</f>
        <v>80</v>
      </c>
      <c r="D65" s="41">
        <f>D62</f>
        <v>14</v>
      </c>
      <c r="E65" s="41">
        <f>E62</f>
        <v>42</v>
      </c>
      <c r="F65" s="41">
        <f t="shared" ref="F65:G65" si="13">F62</f>
        <v>8</v>
      </c>
      <c r="G65" s="41">
        <f t="shared" si="13"/>
        <v>144</v>
      </c>
      <c r="K65" s="41">
        <f t="shared" ref="K65" si="14">K62</f>
        <v>144.19999999999999</v>
      </c>
    </row>
    <row r="66" spans="1:11" ht="15.75" thickBot="1" x14ac:dyDescent="0.3">
      <c r="A66" s="2"/>
      <c r="B66" s="44" t="s">
        <v>63</v>
      </c>
      <c r="C66" s="43">
        <f>SUM(C64:C65)</f>
        <v>373.16</v>
      </c>
      <c r="D66" s="43">
        <f>SUM(D64:D65)</f>
        <v>14</v>
      </c>
      <c r="E66" s="43">
        <f>SUM(E64:E65)</f>
        <v>75</v>
      </c>
      <c r="F66" s="43">
        <f t="shared" ref="F66:G66" si="15">SUM(F64:F65)</f>
        <v>8</v>
      </c>
      <c r="G66" s="43">
        <f t="shared" si="15"/>
        <v>470.16</v>
      </c>
      <c r="H66" s="174">
        <f>300</f>
        <v>300</v>
      </c>
      <c r="I66" s="155">
        <f>H66*1.44</f>
        <v>432</v>
      </c>
      <c r="J66">
        <f>I66*G66</f>
        <v>203109.12000000002</v>
      </c>
      <c r="K66" s="43">
        <f t="shared" ref="K66" si="16">SUM(K64:K65)</f>
        <v>427.36</v>
      </c>
    </row>
    <row r="67" spans="1:11" ht="15.75" thickBot="1" x14ac:dyDescent="0.3">
      <c r="A67" s="4"/>
      <c r="B67" s="34"/>
      <c r="C67" s="45"/>
      <c r="D67" s="45"/>
      <c r="E67" s="45"/>
      <c r="F67" s="45"/>
      <c r="G67" s="45"/>
      <c r="K67" s="45"/>
    </row>
    <row r="68" spans="1:11" x14ac:dyDescent="0.25">
      <c r="A68" s="4"/>
      <c r="B68" s="47" t="s">
        <v>64</v>
      </c>
      <c r="C68" s="46"/>
      <c r="D68" s="46"/>
      <c r="E68" s="46"/>
      <c r="F68" s="46"/>
      <c r="G68" s="46">
        <f>G137/(SUM(G204:G214))</f>
        <v>0.61781402690683718</v>
      </c>
      <c r="K68" s="46">
        <f t="shared" ref="K68" si="17">K137/(SUM(K204:K214))</f>
        <v>0.62986900875890217</v>
      </c>
    </row>
    <row r="69" spans="1:11" x14ac:dyDescent="0.25">
      <c r="A69" s="4"/>
      <c r="B69" s="49" t="s">
        <v>65</v>
      </c>
      <c r="C69" s="48"/>
      <c r="D69" s="48"/>
      <c r="E69" s="48"/>
      <c r="F69" s="48"/>
      <c r="G69" s="48">
        <f t="shared" ref="G69" si="18">(G108+G109+G110+G113)/G129</f>
        <v>0.7552031047406973</v>
      </c>
      <c r="K69" s="48">
        <f t="shared" ref="K69" si="19">(K108+K109+K110+K113)/K129</f>
        <v>0.72187701952416827</v>
      </c>
    </row>
    <row r="70" spans="1:11" x14ac:dyDescent="0.25">
      <c r="A70" s="4"/>
      <c r="B70" s="51" t="s">
        <v>66</v>
      </c>
      <c r="C70" s="48"/>
      <c r="D70" s="48"/>
      <c r="E70" s="48"/>
      <c r="F70" s="48"/>
      <c r="G70" s="48">
        <f t="shared" ref="G70" si="20">(G103+G104+G106+G107+G111+G112+G114+G115+G118+G119+G120+G121+G122+G105+G123+G124+G125+G126+G127)/G129</f>
        <v>0.24479689525930279</v>
      </c>
      <c r="K70" s="48">
        <f t="shared" ref="K70" si="21">(K103+K104+K106+K107+K111+K112+K114+K115+K118+K119+K120+K121+K122+K105+K123+K124+K125+K126+K127)/K129</f>
        <v>0.27812298047583173</v>
      </c>
    </row>
    <row r="71" spans="1:11" ht="15.75" thickBot="1" x14ac:dyDescent="0.3">
      <c r="A71" s="4"/>
      <c r="B71" s="53" t="s">
        <v>67</v>
      </c>
      <c r="C71" s="52"/>
      <c r="D71" s="52"/>
      <c r="E71" s="52"/>
      <c r="F71" s="52"/>
      <c r="G71" s="52">
        <f t="shared" ref="G71" si="22">SUM(G206:G214)/G86</f>
        <v>0.14095022072955343</v>
      </c>
      <c r="K71" s="52">
        <f t="shared" ref="K71" si="23">SUM(K206:K214)/K86</f>
        <v>0.1140903742444104</v>
      </c>
    </row>
    <row r="72" spans="1:11" x14ac:dyDescent="0.25">
      <c r="A72" s="50"/>
      <c r="B72" s="54"/>
      <c r="C72" s="55"/>
      <c r="D72" s="55"/>
      <c r="E72" s="55"/>
      <c r="F72" s="55"/>
      <c r="G72" s="55"/>
      <c r="K72" s="55"/>
    </row>
    <row r="73" spans="1:11" x14ac:dyDescent="0.25">
      <c r="A73" s="56"/>
      <c r="B73" s="57" t="s">
        <v>68</v>
      </c>
      <c r="C73" s="58" t="str">
        <f>C1</f>
        <v>Operating</v>
      </c>
      <c r="D73" s="58" t="str">
        <f>D1</f>
        <v>Weights</v>
      </c>
      <c r="E73" s="58" t="s">
        <v>3</v>
      </c>
      <c r="F73" s="58" t="str">
        <f t="shared" ref="F73" si="24">F1</f>
        <v>NSLP</v>
      </c>
      <c r="G73" s="58" t="str">
        <f>G1</f>
        <v xml:space="preserve"> Pinecrest Totals</v>
      </c>
      <c r="K73" s="58" t="str">
        <f>K1</f>
        <v>FY21</v>
      </c>
    </row>
    <row r="74" spans="1:11" x14ac:dyDescent="0.25">
      <c r="A74" s="59">
        <v>3110</v>
      </c>
      <c r="B74" s="60" t="s">
        <v>69</v>
      </c>
      <c r="C74" s="7">
        <f>Horizon!C74+Cadence!C74+'St Rose'!C74+Sloan!C74+Inspirada!C74+'System Wide'!C74</f>
        <v>48719605.487699993</v>
      </c>
      <c r="D74" s="7">
        <f>Horizon!D74+Cadence!D74+'St Rose'!D74+Sloan!D74+Inspirada!D74+'System Wide'!D74</f>
        <v>0</v>
      </c>
      <c r="E74" s="7">
        <f>Horizon!E74+Cadence!E74+'St Rose'!E74+Sloan!E74+Inspirada!E74+'System Wide'!E74</f>
        <v>0</v>
      </c>
      <c r="F74" s="7">
        <f>Horizon!F74+Cadence!F74+'St Rose'!F74+Sloan!F74+Inspirada!F74+'System Wide'!F74</f>
        <v>0</v>
      </c>
      <c r="G74" s="7">
        <f t="shared" ref="G74:G85" si="25">SUM(C74:F74)</f>
        <v>48719605.487699993</v>
      </c>
      <c r="H74">
        <f>Horizon!G74+Cadence!G74+'St Rose'!G74+Sloan!G74+Inspirada!G74+'System Wide'!G74</f>
        <v>48719605.487699993</v>
      </c>
      <c r="I74" s="138">
        <f>G74-H74</f>
        <v>0</v>
      </c>
      <c r="K74" s="7">
        <v>41555166</v>
      </c>
    </row>
    <row r="75" spans="1:11" x14ac:dyDescent="0.25">
      <c r="A75" s="59"/>
      <c r="B75" s="62" t="s">
        <v>70</v>
      </c>
      <c r="C75" s="7">
        <f>Horizon!C75+Cadence!C75+'St Rose'!C75+Sloan!C75+Inspirada!C75+'System Wide'!C75</f>
        <v>0</v>
      </c>
      <c r="D75" s="7">
        <f>Horizon!D75+Cadence!D75+'St Rose'!D75+Sloan!D75+Inspirada!D75+'System Wide'!D75</f>
        <v>0</v>
      </c>
      <c r="E75" s="7">
        <f>Horizon!E75+Cadence!E75+'St Rose'!E75+Sloan!E75+Inspirada!E75+'System Wide'!E75</f>
        <v>0</v>
      </c>
      <c r="F75" s="7">
        <f>Horizon!F75+Cadence!F75+'St Rose'!F75+Sloan!F75+Inspirada!F75+'System Wide'!F75</f>
        <v>0</v>
      </c>
      <c r="G75" s="7">
        <f t="shared" si="25"/>
        <v>0</v>
      </c>
      <c r="H75">
        <f>Horizon!G75+Cadence!G75+'St Rose'!G75+Sloan!G75+Inspirada!G75+'System Wide'!G75</f>
        <v>0</v>
      </c>
      <c r="I75" s="138">
        <f t="shared" ref="I75:I138" si="26">G75-H75</f>
        <v>0</v>
      </c>
      <c r="K75" s="7"/>
    </row>
    <row r="76" spans="1:11" x14ac:dyDescent="0.25">
      <c r="A76" s="59">
        <v>4500</v>
      </c>
      <c r="B76" s="62" t="s">
        <v>71</v>
      </c>
      <c r="C76" s="7">
        <f>Horizon!C76+Cadence!C76+'St Rose'!C76+Sloan!C76+Inspirada!C76+'System Wide'!C76</f>
        <v>0</v>
      </c>
      <c r="D76" s="7">
        <f>Horizon!D76+Cadence!D76+'St Rose'!D76+Sloan!D76+Inspirada!D76+'System Wide'!D76</f>
        <v>0</v>
      </c>
      <c r="E76" s="7">
        <f>Horizon!E76+Cadence!E76+'St Rose'!E76+Sloan!E76+Inspirada!E76+'System Wide'!E76</f>
        <v>0</v>
      </c>
      <c r="F76" s="7">
        <f>Horizon!F76+Cadence!F76+'St Rose'!F76+Sloan!F76+Inspirada!F76+'System Wide'!F76</f>
        <v>1171509.3359999999</v>
      </c>
      <c r="G76" s="7">
        <f t="shared" si="25"/>
        <v>1171509.3359999999</v>
      </c>
      <c r="H76">
        <f>Horizon!G76+Cadence!G76+'St Rose'!G76+Sloan!G76+Inspirada!G76+'System Wide'!G76</f>
        <v>1171509.3359999999</v>
      </c>
      <c r="I76" s="138">
        <f t="shared" si="26"/>
        <v>0</v>
      </c>
      <c r="K76" s="7">
        <v>613130</v>
      </c>
    </row>
    <row r="77" spans="1:11" x14ac:dyDescent="0.25">
      <c r="A77" s="59">
        <v>4500</v>
      </c>
      <c r="B77" s="62" t="s">
        <v>72</v>
      </c>
      <c r="C77" s="7">
        <f>Horizon!C77+Cadence!C77+'St Rose'!C77+Sloan!C77+Inspirada!C77+'System Wide'!C77</f>
        <v>0</v>
      </c>
      <c r="D77" s="7">
        <f>Horizon!D77+Cadence!D77+'St Rose'!D77+Sloan!D77+Inspirada!D77+'System Wide'!D77</f>
        <v>0</v>
      </c>
      <c r="E77" s="7">
        <f>Horizon!E77+Cadence!E77+'St Rose'!E77+Sloan!E77+Inspirada!E77+'System Wide'!E77</f>
        <v>601350</v>
      </c>
      <c r="F77" s="7">
        <f>Horizon!F77+Cadence!F77+'St Rose'!F77+Sloan!F77+Inspirada!F77+'System Wide'!F77</f>
        <v>0</v>
      </c>
      <c r="G77" s="7">
        <f t="shared" si="25"/>
        <v>601350</v>
      </c>
      <c r="H77">
        <f>Horizon!G77+Cadence!G77+'St Rose'!G77+Sloan!G77+Inspirada!G77+'System Wide'!G77</f>
        <v>601350</v>
      </c>
      <c r="I77" s="138">
        <f t="shared" si="26"/>
        <v>0</v>
      </c>
      <c r="K77" s="7">
        <v>502550</v>
      </c>
    </row>
    <row r="78" spans="1:11" x14ac:dyDescent="0.25">
      <c r="A78" s="143">
        <v>3115</v>
      </c>
      <c r="B78" s="141" t="s">
        <v>73</v>
      </c>
      <c r="C78" s="7">
        <f>Horizon!C78+Cadence!C78+'St Rose'!C78+Sloan!C78+Inspirada!C78+'System Wide'!C78</f>
        <v>0</v>
      </c>
      <c r="D78" s="7">
        <f>Horizon!D78+Cadence!D78+'St Rose'!D78+Sloan!D78+Inspirada!D78+'System Wide'!D78</f>
        <v>0</v>
      </c>
      <c r="E78" s="7">
        <f>Horizon!E78+Cadence!E78+'St Rose'!E78+Sloan!E78+Inspirada!E78+'System Wide'!E78</f>
        <v>1743915</v>
      </c>
      <c r="F78" s="7">
        <f>Horizon!F78+Cadence!F78+'St Rose'!F78+Sloan!F78+Inspirada!F78+'System Wide'!F78</f>
        <v>0</v>
      </c>
      <c r="G78" s="7">
        <f t="shared" si="25"/>
        <v>1743915</v>
      </c>
      <c r="H78">
        <f>Horizon!G78+Cadence!G78+'St Rose'!G78+Sloan!G78+Inspirada!G78+'System Wide'!G78</f>
        <v>1743915</v>
      </c>
      <c r="I78" s="138">
        <f t="shared" si="26"/>
        <v>0</v>
      </c>
      <c r="K78" s="7">
        <v>1565840</v>
      </c>
    </row>
    <row r="79" spans="1:11" x14ac:dyDescent="0.25">
      <c r="A79" s="63"/>
      <c r="B79" s="62" t="s">
        <v>74</v>
      </c>
      <c r="C79" s="7">
        <f>Horizon!C79+Cadence!C79+'St Rose'!C79+Sloan!C79+Inspirada!C79+'System Wide'!C79</f>
        <v>0</v>
      </c>
      <c r="D79" s="7">
        <f>Horizon!D79+Cadence!D79+'St Rose'!D79+Sloan!D79+Inspirada!D79+'System Wide'!D79</f>
        <v>150385.03999999998</v>
      </c>
      <c r="E79" s="7">
        <f>Horizon!E79+Cadence!E79+'St Rose'!E79+Sloan!E79+Inspirada!E79+'System Wide'!E79</f>
        <v>0</v>
      </c>
      <c r="F79" s="7">
        <f>Horizon!F79+Cadence!F79+'St Rose'!F79+Sloan!F79+Inspirada!F79+'System Wide'!F79</f>
        <v>0</v>
      </c>
      <c r="G79" s="7">
        <f t="shared" si="25"/>
        <v>150385.03999999998</v>
      </c>
      <c r="H79">
        <f>Horizon!G79+Cadence!G79+'St Rose'!G79+Sloan!G79+Inspirada!G79+'System Wide'!G79</f>
        <v>150385.03999999998</v>
      </c>
      <c r="I79" s="138">
        <f t="shared" si="26"/>
        <v>0</v>
      </c>
      <c r="K79" s="7"/>
    </row>
    <row r="80" spans="1:11" x14ac:dyDescent="0.25">
      <c r="A80" s="59">
        <v>3200</v>
      </c>
      <c r="B80" s="62" t="s">
        <v>75</v>
      </c>
      <c r="C80" s="7">
        <f>Horizon!C80+Cadence!C80+'St Rose'!C80+Sloan!C80+Inspirada!C80+'System Wide'!C80</f>
        <v>0</v>
      </c>
      <c r="D80" s="7">
        <f>Horizon!D80+Cadence!D80+'St Rose'!D80+Sloan!D80+Inspirada!D80+'System Wide'!D80</f>
        <v>218624.03999999998</v>
      </c>
      <c r="E80" s="7">
        <f>Horizon!E80+Cadence!E80+'St Rose'!E80+Sloan!E80+Inspirada!E80+'System Wide'!E80</f>
        <v>0</v>
      </c>
      <c r="F80" s="7">
        <f>Horizon!F80+Cadence!F80+'St Rose'!F80+Sloan!F80+Inspirada!F80+'System Wide'!F80</f>
        <v>0</v>
      </c>
      <c r="G80" s="7">
        <f t="shared" si="25"/>
        <v>218624.03999999998</v>
      </c>
      <c r="H80">
        <f>Horizon!G80+Cadence!G80+'St Rose'!G80+Sloan!G80+Inspirada!G80+'System Wide'!G80</f>
        <v>218624.03999999998</v>
      </c>
      <c r="I80" s="138">
        <f t="shared" si="26"/>
        <v>0</v>
      </c>
      <c r="K80" s="7">
        <v>97148</v>
      </c>
    </row>
    <row r="81" spans="1:11" x14ac:dyDescent="0.25">
      <c r="A81" s="59"/>
      <c r="B81" s="62" t="s">
        <v>76</v>
      </c>
      <c r="C81" s="7">
        <f>Horizon!C81+Cadence!C81+'St Rose'!C81+Sloan!C81+Inspirada!C81+'System Wide'!C81</f>
        <v>0</v>
      </c>
      <c r="D81" s="7">
        <f>Horizon!D81+Cadence!D81+'St Rose'!D81+Sloan!D81+Inspirada!D81+'System Wide'!D81</f>
        <v>299883.15000000002</v>
      </c>
      <c r="E81" s="7">
        <f>Horizon!E81+Cadence!E81+'St Rose'!E81+Sloan!E81+Inspirada!E81+'System Wide'!E81</f>
        <v>0</v>
      </c>
      <c r="F81" s="7">
        <f>Horizon!F81+Cadence!F81+'St Rose'!F81+Sloan!F81+Inspirada!F81+'System Wide'!F81</f>
        <v>0</v>
      </c>
      <c r="G81" s="7">
        <f t="shared" si="25"/>
        <v>299883.15000000002</v>
      </c>
      <c r="H81">
        <f>Horizon!G81+Cadence!G81+'St Rose'!G81+Sloan!G81+Inspirada!G81+'System Wide'!G81</f>
        <v>299883.15000000002</v>
      </c>
      <c r="I81" s="138">
        <f t="shared" si="26"/>
        <v>0</v>
      </c>
      <c r="K81" s="7"/>
    </row>
    <row r="82" spans="1:11" x14ac:dyDescent="0.25">
      <c r="A82" s="64"/>
      <c r="B82" s="62" t="s">
        <v>77</v>
      </c>
      <c r="C82" s="7">
        <f>Horizon!C82+Cadence!C82+'St Rose'!C82+Sloan!C82+Inspirada!C82+'System Wide'!C82</f>
        <v>0</v>
      </c>
      <c r="D82" s="7">
        <f>Horizon!D82+Cadence!D82+'St Rose'!D82+Sloan!D82+Inspirada!D82+'System Wide'!D82</f>
        <v>0</v>
      </c>
      <c r="E82" s="7">
        <f>Horizon!E82+Cadence!E82+'St Rose'!E82+Sloan!E82+Inspirada!E82+'System Wide'!E82</f>
        <v>0</v>
      </c>
      <c r="F82" s="7">
        <f>Horizon!F82+Cadence!F82+'St Rose'!F82+Sloan!F82+Inspirada!F82+'System Wide'!F82</f>
        <v>0</v>
      </c>
      <c r="G82" s="7">
        <f t="shared" si="25"/>
        <v>0</v>
      </c>
      <c r="H82">
        <f>Horizon!G82+Cadence!G82+'St Rose'!G82+Sloan!G82+Inspirada!G82+'System Wide'!G82</f>
        <v>0</v>
      </c>
      <c r="I82" s="138">
        <f t="shared" si="26"/>
        <v>0</v>
      </c>
      <c r="K82" s="7"/>
    </row>
    <row r="83" spans="1:11" x14ac:dyDescent="0.25">
      <c r="A83" s="59">
        <v>1510</v>
      </c>
      <c r="B83" s="154" t="s">
        <v>78</v>
      </c>
      <c r="C83" s="7">
        <f>Horizon!C83+Cadence!C83+'St Rose'!C83+Sloan!C83+Inspirada!C83+'System Wide'!C83</f>
        <v>0</v>
      </c>
      <c r="D83" s="7">
        <f>Horizon!D83+Cadence!D83+'St Rose'!D83+Sloan!D83+Inspirada!D83+'System Wide'!D83</f>
        <v>0</v>
      </c>
      <c r="E83" s="7">
        <f>Horizon!E83+Cadence!E83+'St Rose'!E83+Sloan!E83+Inspirada!E83+'System Wide'!E83</f>
        <v>0</v>
      </c>
      <c r="F83" s="7">
        <f>Horizon!F83+Cadence!F83+'St Rose'!F83+Sloan!F83+Inspirada!F83+'System Wide'!F83</f>
        <v>0</v>
      </c>
      <c r="G83" s="7">
        <f t="shared" si="25"/>
        <v>0</v>
      </c>
      <c r="H83">
        <f>Horizon!G83+Cadence!G83+'St Rose'!G83+Sloan!G83+Inspirada!G83+'System Wide'!G83</f>
        <v>0</v>
      </c>
      <c r="I83" s="138">
        <f t="shared" si="26"/>
        <v>0</v>
      </c>
      <c r="K83" s="7">
        <v>60000</v>
      </c>
    </row>
    <row r="84" spans="1:11" x14ac:dyDescent="0.25">
      <c r="A84" s="59"/>
      <c r="B84" s="62" t="s">
        <v>77</v>
      </c>
      <c r="C84" s="7">
        <f>Horizon!C84+Cadence!C84+'St Rose'!C84+Sloan!C84+Inspirada!C84+'System Wide'!C84</f>
        <v>0</v>
      </c>
      <c r="D84" s="7">
        <f>Horizon!D84+Cadence!D84+'St Rose'!D84+Sloan!D84+Inspirada!D84+'System Wide'!D84</f>
        <v>0</v>
      </c>
      <c r="E84" s="7">
        <f>Horizon!E84+Cadence!E84+'St Rose'!E84+Sloan!E84+Inspirada!E84+'System Wide'!E84</f>
        <v>0</v>
      </c>
      <c r="F84" s="7">
        <f>Horizon!F84+Cadence!F84+'St Rose'!F84+Sloan!F84+Inspirada!F84+'System Wide'!F84</f>
        <v>0</v>
      </c>
      <c r="G84" s="7">
        <f t="shared" si="25"/>
        <v>0</v>
      </c>
      <c r="H84">
        <f>Horizon!G84+Cadence!G84+'St Rose'!G84+Sloan!G84+Inspirada!G84+'System Wide'!G84</f>
        <v>0</v>
      </c>
      <c r="I84" s="138">
        <f t="shared" si="26"/>
        <v>0</v>
      </c>
      <c r="K84" s="7">
        <v>4613000</v>
      </c>
    </row>
    <row r="85" spans="1:11" ht="15.75" thickBot="1" x14ac:dyDescent="0.3">
      <c r="A85" s="63"/>
      <c r="B85" s="65" t="s">
        <v>79</v>
      </c>
      <c r="C85" s="7">
        <f>Horizon!C85+Cadence!C85+'St Rose'!C85+Sloan!C85+Inspirada!C85+'System Wide'!C85</f>
        <v>101558.39999999999</v>
      </c>
      <c r="D85" s="7">
        <f>Horizon!D85+Cadence!D85+'St Rose'!D85+Sloan!D85+Inspirada!D85+'System Wide'!D85</f>
        <v>4440</v>
      </c>
      <c r="E85" s="7">
        <f>Horizon!E85+Cadence!E85+'St Rose'!E85+Sloan!E85+Inspirada!E85+'System Wide'!E85</f>
        <v>18000</v>
      </c>
      <c r="F85" s="7">
        <f>Horizon!F85+Cadence!F85+'St Rose'!F85+Sloan!F85+Inspirada!F85+'System Wide'!F85</f>
        <v>1920</v>
      </c>
      <c r="G85" s="7">
        <f t="shared" si="25"/>
        <v>125918.39999999999</v>
      </c>
      <c r="H85">
        <f>Horizon!G85+Cadence!G85+'St Rose'!G85+Sloan!G85+Inspirada!G85+'System Wide'!G85</f>
        <v>125918.39999999999</v>
      </c>
      <c r="I85" s="138">
        <f t="shared" si="26"/>
        <v>0</v>
      </c>
      <c r="K85" s="7">
        <v>111762</v>
      </c>
    </row>
    <row r="86" spans="1:11" ht="15.75" thickBot="1" x14ac:dyDescent="0.3">
      <c r="A86" s="66"/>
      <c r="B86" s="67" t="s">
        <v>80</v>
      </c>
      <c r="C86" s="68">
        <f>SUM(C74:C85)</f>
        <v>48821163.887699991</v>
      </c>
      <c r="D86" s="68">
        <f>SUM(D74:D85)</f>
        <v>673332.23</v>
      </c>
      <c r="E86" s="68">
        <f>SUM(E74:E85)</f>
        <v>2363265</v>
      </c>
      <c r="F86" s="68">
        <f t="shared" ref="F86:G86" si="27">SUM(F74:F85)</f>
        <v>1173429.3359999999</v>
      </c>
      <c r="G86" s="68">
        <f t="shared" si="27"/>
        <v>53031190.453699991</v>
      </c>
      <c r="H86">
        <f>Horizon!G86+Cadence!G86+'St Rose'!G86+Sloan!G86+Inspirada!G86+'System Wide'!G86</f>
        <v>53031190.453699991</v>
      </c>
      <c r="I86" s="138">
        <f t="shared" si="26"/>
        <v>0</v>
      </c>
      <c r="K86" s="68">
        <f t="shared" ref="K86" si="28">SUM(K74:K85)</f>
        <v>49118596</v>
      </c>
    </row>
    <row r="87" spans="1:11" hidden="1" x14ac:dyDescent="0.25">
      <c r="A87" s="59">
        <f>A74</f>
        <v>3110</v>
      </c>
      <c r="B87" s="60" t="s">
        <v>69</v>
      </c>
      <c r="C87" s="61">
        <f>C2*C5</f>
        <v>50226397.409999996</v>
      </c>
      <c r="D87" s="61">
        <f>D2*D5</f>
        <v>0</v>
      </c>
      <c r="E87" s="61">
        <f>E2*E5</f>
        <v>0</v>
      </c>
      <c r="F87" s="61">
        <f t="shared" ref="F87:G87" si="29">F2*F5</f>
        <v>0</v>
      </c>
      <c r="G87" s="61">
        <f t="shared" si="29"/>
        <v>50226397.409999996</v>
      </c>
      <c r="H87">
        <f>Horizon!G87+Cadence!G87+'St Rose'!G87+Sloan!G87+Inspirada!G87+'System Wide'!G87</f>
        <v>50226397.410000004</v>
      </c>
      <c r="I87" s="138">
        <f t="shared" si="26"/>
        <v>0</v>
      </c>
      <c r="K87" s="61">
        <f t="shared" ref="K87" si="30">K2*K5</f>
        <v>43742280</v>
      </c>
    </row>
    <row r="88" spans="1:11" hidden="1" x14ac:dyDescent="0.25">
      <c r="A88" s="59"/>
      <c r="B88" s="62" t="str">
        <f>B75</f>
        <v>Local SPED</v>
      </c>
      <c r="C88" s="61">
        <f>C3*C5</f>
        <v>0</v>
      </c>
      <c r="D88" s="61">
        <f>D3*D5</f>
        <v>0</v>
      </c>
      <c r="E88" s="61">
        <f>E75</f>
        <v>0</v>
      </c>
      <c r="F88" s="61">
        <f t="shared" ref="F88" si="31">F3*F5</f>
        <v>0</v>
      </c>
      <c r="G88" s="61">
        <f>E88</f>
        <v>0</v>
      </c>
      <c r="H88">
        <f>Horizon!G88+Cadence!G88+'St Rose'!G88+Sloan!G88+Inspirada!G88+'System Wide'!G88</f>
        <v>0</v>
      </c>
      <c r="I88" s="138">
        <f t="shared" si="26"/>
        <v>0</v>
      </c>
      <c r="K88" s="61">
        <f t="shared" ref="K88" si="32">K3*K5</f>
        <v>0</v>
      </c>
    </row>
    <row r="89" spans="1:11" hidden="1" x14ac:dyDescent="0.25">
      <c r="A89" s="59">
        <f t="shared" ref="A89:A91" si="33">A76</f>
        <v>4500</v>
      </c>
      <c r="B89" s="62" t="s">
        <v>71</v>
      </c>
      <c r="C89" s="61">
        <f t="shared" ref="C89:G98" si="34">C76</f>
        <v>0</v>
      </c>
      <c r="D89" s="61">
        <f t="shared" si="34"/>
        <v>0</v>
      </c>
      <c r="E89" s="61">
        <f t="shared" si="34"/>
        <v>0</v>
      </c>
      <c r="F89" s="61">
        <f t="shared" si="34"/>
        <v>1171509.3359999999</v>
      </c>
      <c r="G89" s="61">
        <f t="shared" si="34"/>
        <v>1171509.3359999999</v>
      </c>
      <c r="H89">
        <f>Horizon!G89+Cadence!G89+'St Rose'!G89+Sloan!G89+Inspirada!G89+'System Wide'!G89</f>
        <v>1171509.3359999999</v>
      </c>
      <c r="I89" s="138">
        <f t="shared" si="26"/>
        <v>0</v>
      </c>
      <c r="K89" s="61">
        <f t="shared" ref="K89" si="35">K76</f>
        <v>613130</v>
      </c>
    </row>
    <row r="90" spans="1:11" hidden="1" x14ac:dyDescent="0.25">
      <c r="A90" s="59">
        <f t="shared" si="33"/>
        <v>4500</v>
      </c>
      <c r="B90" s="62" t="s">
        <v>72</v>
      </c>
      <c r="C90" s="61">
        <f t="shared" si="34"/>
        <v>0</v>
      </c>
      <c r="D90" s="61">
        <f t="shared" si="34"/>
        <v>0</v>
      </c>
      <c r="E90" s="61">
        <f t="shared" si="34"/>
        <v>601350</v>
      </c>
      <c r="F90" s="61">
        <f t="shared" si="34"/>
        <v>0</v>
      </c>
      <c r="G90" s="61">
        <f t="shared" si="34"/>
        <v>601350</v>
      </c>
      <c r="H90">
        <f>Horizon!G90+Cadence!G90+'St Rose'!G90+Sloan!G90+Inspirada!G90+'System Wide'!G90</f>
        <v>601350</v>
      </c>
      <c r="I90" s="138">
        <f t="shared" si="26"/>
        <v>0</v>
      </c>
      <c r="K90" s="61">
        <f t="shared" ref="K90" si="36">K77</f>
        <v>502550</v>
      </c>
    </row>
    <row r="91" spans="1:11" hidden="1" x14ac:dyDescent="0.25">
      <c r="A91" s="59">
        <f t="shared" si="33"/>
        <v>3115</v>
      </c>
      <c r="B91" s="141" t="s">
        <v>73</v>
      </c>
      <c r="C91" s="61">
        <f t="shared" si="34"/>
        <v>0</v>
      </c>
      <c r="D91" s="61">
        <f t="shared" si="34"/>
        <v>0</v>
      </c>
      <c r="E91" s="61">
        <f t="shared" si="34"/>
        <v>1743915</v>
      </c>
      <c r="F91" s="61">
        <f t="shared" si="34"/>
        <v>0</v>
      </c>
      <c r="G91" s="61">
        <f t="shared" si="34"/>
        <v>1743915</v>
      </c>
      <c r="H91">
        <f>Horizon!G91+Cadence!G91+'St Rose'!G91+Sloan!G91+Inspirada!G91+'System Wide'!G91</f>
        <v>1743915</v>
      </c>
      <c r="I91" s="138">
        <f t="shared" si="26"/>
        <v>0</v>
      </c>
      <c r="K91" s="61">
        <f t="shared" ref="K91" si="37">K78</f>
        <v>1565840</v>
      </c>
    </row>
    <row r="92" spans="1:11" hidden="1" x14ac:dyDescent="0.25">
      <c r="A92" s="59"/>
      <c r="B92" s="62" t="s">
        <v>74</v>
      </c>
      <c r="C92" s="61">
        <f t="shared" si="34"/>
        <v>0</v>
      </c>
      <c r="D92" s="61">
        <f t="shared" si="34"/>
        <v>150385.03999999998</v>
      </c>
      <c r="E92" s="61">
        <f t="shared" si="34"/>
        <v>0</v>
      </c>
      <c r="F92" s="61">
        <f t="shared" si="34"/>
        <v>0</v>
      </c>
      <c r="G92" s="61">
        <f t="shared" si="34"/>
        <v>150385.03999999998</v>
      </c>
      <c r="H92">
        <f>Horizon!G92+Cadence!G92+'St Rose'!G92+Sloan!G92+Inspirada!G92+'System Wide'!G92</f>
        <v>150385.03999999998</v>
      </c>
      <c r="I92" s="138">
        <f t="shared" si="26"/>
        <v>0</v>
      </c>
      <c r="K92" s="61">
        <f t="shared" ref="K92" si="38">K79</f>
        <v>0</v>
      </c>
    </row>
    <row r="93" spans="1:11" hidden="1" x14ac:dyDescent="0.25">
      <c r="A93" s="59">
        <f t="shared" ref="A93" si="39">A80</f>
        <v>3200</v>
      </c>
      <c r="B93" s="62" t="s">
        <v>75</v>
      </c>
      <c r="C93" s="61">
        <f t="shared" si="34"/>
        <v>0</v>
      </c>
      <c r="D93" s="61">
        <f t="shared" si="34"/>
        <v>218624.03999999998</v>
      </c>
      <c r="E93" s="61">
        <f t="shared" si="34"/>
        <v>0</v>
      </c>
      <c r="F93" s="61">
        <f t="shared" si="34"/>
        <v>0</v>
      </c>
      <c r="G93" s="61">
        <f t="shared" si="34"/>
        <v>218624.03999999998</v>
      </c>
      <c r="H93">
        <f>Horizon!G93+Cadence!G93+'St Rose'!G93+Sloan!G93+Inspirada!G93+'System Wide'!G93</f>
        <v>218624.03999999998</v>
      </c>
      <c r="I93" s="138">
        <f t="shared" si="26"/>
        <v>0</v>
      </c>
      <c r="K93" s="61">
        <f t="shared" ref="K93" si="40">K80</f>
        <v>97148</v>
      </c>
    </row>
    <row r="94" spans="1:11" hidden="1" x14ac:dyDescent="0.25">
      <c r="A94" s="59"/>
      <c r="B94" s="62" t="s">
        <v>76</v>
      </c>
      <c r="C94" s="61">
        <f t="shared" si="34"/>
        <v>0</v>
      </c>
      <c r="D94" s="61">
        <f t="shared" si="34"/>
        <v>299883.15000000002</v>
      </c>
      <c r="E94" s="61">
        <f t="shared" si="34"/>
        <v>0</v>
      </c>
      <c r="F94" s="61">
        <f t="shared" si="34"/>
        <v>0</v>
      </c>
      <c r="G94" s="61">
        <f t="shared" si="34"/>
        <v>299883.15000000002</v>
      </c>
      <c r="H94">
        <f>Horizon!G94+Cadence!G94+'St Rose'!G94+Sloan!G94+Inspirada!G94+'System Wide'!G94</f>
        <v>299883.15000000002</v>
      </c>
      <c r="I94" s="138">
        <f t="shared" si="26"/>
        <v>0</v>
      </c>
      <c r="K94" s="61">
        <f t="shared" ref="K94" si="41">K81</f>
        <v>0</v>
      </c>
    </row>
    <row r="95" spans="1:11" hidden="1" x14ac:dyDescent="0.25">
      <c r="A95" s="64"/>
      <c r="B95" s="62" t="str">
        <f>B82</f>
        <v xml:space="preserve">OTHER: </v>
      </c>
      <c r="C95" s="61">
        <f t="shared" si="34"/>
        <v>0</v>
      </c>
      <c r="D95" s="61">
        <f t="shared" si="34"/>
        <v>0</v>
      </c>
      <c r="E95" s="61">
        <f t="shared" si="34"/>
        <v>0</v>
      </c>
      <c r="F95" s="61">
        <f t="shared" si="34"/>
        <v>0</v>
      </c>
      <c r="G95" s="61">
        <f t="shared" si="34"/>
        <v>0</v>
      </c>
      <c r="H95">
        <f>Horizon!G95+Cadence!G95+'St Rose'!G95+Sloan!G95+Inspirada!G95+'System Wide'!G95</f>
        <v>0</v>
      </c>
      <c r="I95" s="138">
        <f t="shared" si="26"/>
        <v>0</v>
      </c>
      <c r="K95" s="61">
        <f t="shared" ref="K95" si="42">K82</f>
        <v>0</v>
      </c>
    </row>
    <row r="96" spans="1:11" hidden="1" x14ac:dyDescent="0.25">
      <c r="A96" s="59">
        <f t="shared" ref="A96:B96" si="43">A83</f>
        <v>1510</v>
      </c>
      <c r="B96" s="62" t="str">
        <f t="shared" si="43"/>
        <v xml:space="preserve">OTHER: </v>
      </c>
      <c r="C96" s="61">
        <f t="shared" si="34"/>
        <v>0</v>
      </c>
      <c r="D96" s="61">
        <f t="shared" si="34"/>
        <v>0</v>
      </c>
      <c r="E96" s="61">
        <f t="shared" si="34"/>
        <v>0</v>
      </c>
      <c r="F96" s="61">
        <f t="shared" si="34"/>
        <v>0</v>
      </c>
      <c r="G96" s="61">
        <f t="shared" si="34"/>
        <v>0</v>
      </c>
      <c r="H96">
        <f>Horizon!G96+Cadence!G96+'St Rose'!G96+Sloan!G96+Inspirada!G96+'System Wide'!G96</f>
        <v>0</v>
      </c>
      <c r="I96" s="138">
        <f t="shared" si="26"/>
        <v>0</v>
      </c>
      <c r="K96" s="61">
        <f t="shared" ref="K96" si="44">K83</f>
        <v>60000</v>
      </c>
    </row>
    <row r="97" spans="1:11" hidden="1" x14ac:dyDescent="0.25">
      <c r="A97" s="59"/>
      <c r="B97" s="62" t="str">
        <f t="shared" ref="B97:B98" si="45">B84</f>
        <v xml:space="preserve">OTHER: </v>
      </c>
      <c r="C97" s="61">
        <f t="shared" si="34"/>
        <v>0</v>
      </c>
      <c r="D97" s="61">
        <f t="shared" si="34"/>
        <v>0</v>
      </c>
      <c r="E97" s="61">
        <f t="shared" si="34"/>
        <v>0</v>
      </c>
      <c r="F97" s="61">
        <f t="shared" si="34"/>
        <v>0</v>
      </c>
      <c r="G97" s="61">
        <f t="shared" si="34"/>
        <v>0</v>
      </c>
      <c r="H97">
        <f>Horizon!G97+Cadence!G97+'St Rose'!G97+Sloan!G97+Inspirada!G97+'System Wide'!G97</f>
        <v>0</v>
      </c>
      <c r="I97" s="138">
        <f t="shared" si="26"/>
        <v>0</v>
      </c>
      <c r="K97" s="61">
        <f t="shared" ref="K97" si="46">K84</f>
        <v>4613000</v>
      </c>
    </row>
    <row r="98" spans="1:11" ht="15.75" hidden="1" thickBot="1" x14ac:dyDescent="0.3">
      <c r="A98" s="59"/>
      <c r="B98" s="62" t="str">
        <f t="shared" si="45"/>
        <v>OTHER: Academica Donation - Payroll Fees</v>
      </c>
      <c r="C98" s="61">
        <f t="shared" si="34"/>
        <v>101558.39999999999</v>
      </c>
      <c r="D98" s="61">
        <f t="shared" si="34"/>
        <v>4440</v>
      </c>
      <c r="E98" s="61">
        <f t="shared" si="34"/>
        <v>18000</v>
      </c>
      <c r="F98" s="61">
        <f t="shared" si="34"/>
        <v>1920</v>
      </c>
      <c r="G98" s="61">
        <f t="shared" si="34"/>
        <v>125918.39999999999</v>
      </c>
      <c r="H98">
        <f>Horizon!G98+Cadence!G98+'St Rose'!G98+Sloan!G98+Inspirada!G98+'System Wide'!G98</f>
        <v>125918.39999999999</v>
      </c>
      <c r="I98" s="138">
        <f t="shared" si="26"/>
        <v>0</v>
      </c>
      <c r="K98" s="61">
        <f t="shared" ref="K98" si="47">K85</f>
        <v>111762</v>
      </c>
    </row>
    <row r="99" spans="1:11" ht="15.75" hidden="1" thickBot="1" x14ac:dyDescent="0.3">
      <c r="A99" s="66"/>
      <c r="B99" s="67" t="s">
        <v>81</v>
      </c>
      <c r="C99" s="68">
        <f>SUM(C87:C98)</f>
        <v>50327955.809999995</v>
      </c>
      <c r="D99" s="68">
        <f>SUM(D87:D98)</f>
        <v>673332.23</v>
      </c>
      <c r="E99" s="68"/>
      <c r="F99" s="68">
        <f t="shared" ref="F99:G99" si="48">SUM(F87:F98)</f>
        <v>1173429.3359999999</v>
      </c>
      <c r="G99" s="68">
        <f t="shared" si="48"/>
        <v>54537982.375999995</v>
      </c>
      <c r="H99">
        <f>Horizon!G99+Cadence!G99+'St Rose'!G99+Sloan!G99+Inspirada!G99+'System Wide'!G99</f>
        <v>54537982.375999995</v>
      </c>
      <c r="I99" s="138">
        <f t="shared" si="26"/>
        <v>0</v>
      </c>
      <c r="K99" s="68">
        <f t="shared" ref="K99" si="49">SUM(K87:K98)</f>
        <v>51305710</v>
      </c>
    </row>
    <row r="100" spans="1:11" x14ac:dyDescent="0.25">
      <c r="A100" s="50"/>
      <c r="B100" s="70"/>
      <c r="C100" s="55"/>
      <c r="D100" s="55"/>
      <c r="E100" s="55"/>
      <c r="F100" s="55"/>
      <c r="G100" s="55"/>
      <c r="H100">
        <f>Horizon!G100+Cadence!G100+'St Rose'!G100+Sloan!G100+Inspirada!G100+'System Wide'!G100</f>
        <v>0</v>
      </c>
      <c r="I100" s="138">
        <f t="shared" si="26"/>
        <v>0</v>
      </c>
      <c r="K100" s="55"/>
    </row>
    <row r="101" spans="1:11" ht="15.75" thickBot="1" x14ac:dyDescent="0.3">
      <c r="A101" s="72"/>
      <c r="B101" s="73" t="s">
        <v>82</v>
      </c>
      <c r="C101" s="74" t="str">
        <f>C1</f>
        <v>Operating</v>
      </c>
      <c r="D101" s="74" t="str">
        <f>D1</f>
        <v>Weights</v>
      </c>
      <c r="E101" s="74" t="str">
        <f>E1</f>
        <v>SPED</v>
      </c>
      <c r="F101" s="74" t="str">
        <f t="shared" ref="F101:G101" si="50">F1</f>
        <v>NSLP</v>
      </c>
      <c r="G101" s="74" t="str">
        <f t="shared" si="50"/>
        <v xml:space="preserve"> Pinecrest Totals</v>
      </c>
      <c r="H101" t="e">
        <f>Horizon!G101+Cadence!G101+'St Rose'!G101+Sloan!G101+Inspirada!G101+'System Wide'!G101</f>
        <v>#VALUE!</v>
      </c>
      <c r="I101" s="138" t="e">
        <f t="shared" si="26"/>
        <v>#VALUE!</v>
      </c>
      <c r="K101" s="74" t="str">
        <f t="shared" ref="K101" si="51">K1</f>
        <v>FY21</v>
      </c>
    </row>
    <row r="102" spans="1:11" x14ac:dyDescent="0.25">
      <c r="A102" s="78"/>
      <c r="B102" s="76" t="s">
        <v>83</v>
      </c>
      <c r="C102" s="77"/>
      <c r="D102" s="77"/>
      <c r="E102" s="77"/>
      <c r="F102" s="77"/>
      <c r="G102" s="77"/>
      <c r="H102">
        <f>Horizon!G102+Cadence!G102+'St Rose'!G102+Sloan!G102+Inspirada!G102+'System Wide'!G102</f>
        <v>0</v>
      </c>
      <c r="I102" s="138">
        <f t="shared" si="26"/>
        <v>0</v>
      </c>
      <c r="K102" s="77"/>
    </row>
    <row r="103" spans="1:11" x14ac:dyDescent="0.25">
      <c r="A103" s="59">
        <v>104</v>
      </c>
      <c r="B103" s="62" t="s">
        <v>41</v>
      </c>
      <c r="C103" s="7">
        <f>Horizon!C103+Cadence!C103+'St Rose'!C103+Sloan!C103+Inspirada!C103+'System Wide'!C103</f>
        <v>636705.5</v>
      </c>
      <c r="D103" s="7">
        <f>Horizon!D103+Cadence!D103+'St Rose'!D103+Sloan!D103+Inspirada!D103+'System Wide'!D103</f>
        <v>0</v>
      </c>
      <c r="E103" s="7">
        <f>Horizon!E103+Cadence!E103+'St Rose'!E103+Sloan!E103+Inspirada!E103+'System Wide'!E103</f>
        <v>0</v>
      </c>
      <c r="F103" s="7">
        <f>Horizon!F103+Cadence!F103+'St Rose'!F103+Sloan!F103+Inspirada!F103+'System Wide'!F103</f>
        <v>0</v>
      </c>
      <c r="G103" s="7">
        <f t="shared" ref="G103:G115" si="52">SUM(C103:F103)</f>
        <v>636705.5</v>
      </c>
      <c r="H103">
        <f>Horizon!G103+Cadence!G103+'St Rose'!G103+Sloan!G103+Inspirada!G103+'System Wide'!G103</f>
        <v>636705.5</v>
      </c>
      <c r="I103" s="138">
        <f t="shared" si="26"/>
        <v>0</v>
      </c>
      <c r="K103" s="7">
        <v>869327</v>
      </c>
    </row>
    <row r="104" spans="1:11" x14ac:dyDescent="0.25">
      <c r="A104" s="59">
        <v>104</v>
      </c>
      <c r="B104" s="62" t="s">
        <v>84</v>
      </c>
      <c r="C104" s="7">
        <f>Horizon!C104+Cadence!C104+'St Rose'!C104+Sloan!C104+Inspirada!C104+'System Wide'!C104</f>
        <v>1029693.0599999998</v>
      </c>
      <c r="D104" s="7">
        <f>Horizon!D104+Cadence!D104+'St Rose'!D104+Sloan!D104+Inspirada!D104+'System Wide'!D104</f>
        <v>0</v>
      </c>
      <c r="E104" s="7">
        <f>Horizon!E104+Cadence!E104+'St Rose'!E104+Sloan!E104+Inspirada!E104+'System Wide'!E104</f>
        <v>0</v>
      </c>
      <c r="F104" s="7">
        <f>Horizon!F104+Cadence!F104+'St Rose'!F104+Sloan!F104+Inspirada!F104+'System Wide'!F104</f>
        <v>0</v>
      </c>
      <c r="G104" s="7">
        <f t="shared" si="52"/>
        <v>1029693.0599999998</v>
      </c>
      <c r="H104">
        <f>Horizon!G104+Cadence!G104+'St Rose'!G104+Sloan!G104+Inspirada!G104+'System Wide'!G104</f>
        <v>1029693.0599999998</v>
      </c>
      <c r="I104" s="138">
        <f t="shared" si="26"/>
        <v>0</v>
      </c>
      <c r="K104" s="7">
        <v>1182769</v>
      </c>
    </row>
    <row r="105" spans="1:11" x14ac:dyDescent="0.25">
      <c r="A105" s="59">
        <v>105</v>
      </c>
      <c r="B105" s="62" t="s">
        <v>45</v>
      </c>
      <c r="C105" s="7">
        <f>Horizon!C105+Cadence!C105+'St Rose'!C105+Sloan!C105+Inspirada!C105+'System Wide'!C105</f>
        <v>266903.40000000002</v>
      </c>
      <c r="D105" s="7">
        <f>Horizon!D105+Cadence!D105+'St Rose'!D105+Sloan!D105+Inspirada!D105+'System Wide'!D105</f>
        <v>0</v>
      </c>
      <c r="E105" s="7">
        <f>Horizon!E105+Cadence!E105+'St Rose'!E105+Sloan!E105+Inspirada!E105+'System Wide'!E105</f>
        <v>0</v>
      </c>
      <c r="F105" s="7">
        <f>Horizon!F105+Cadence!F105+'St Rose'!F105+Sloan!F105+Inspirada!F105+'System Wide'!F105</f>
        <v>0</v>
      </c>
      <c r="G105" s="7">
        <f t="shared" si="52"/>
        <v>266903.40000000002</v>
      </c>
      <c r="H105">
        <f>Horizon!G105+Cadence!G105+'St Rose'!G105+Sloan!G105+Inspirada!G105+'System Wide'!G105</f>
        <v>266903.40000000002</v>
      </c>
      <c r="I105" s="138">
        <f t="shared" si="26"/>
        <v>0</v>
      </c>
      <c r="K105" s="7">
        <v>513787</v>
      </c>
    </row>
    <row r="106" spans="1:11" x14ac:dyDescent="0.25">
      <c r="A106" s="59">
        <v>105</v>
      </c>
      <c r="B106" s="62" t="s">
        <v>85</v>
      </c>
      <c r="C106" s="7">
        <f>Horizon!C106+Cadence!C106+'St Rose'!C106+Sloan!C106+Inspirada!C106+'System Wide'!C106</f>
        <v>0</v>
      </c>
      <c r="D106" s="7">
        <f>Horizon!D106+Cadence!D106+'St Rose'!D106+Sloan!D106+Inspirada!D106+'System Wide'!D106</f>
        <v>56100</v>
      </c>
      <c r="E106" s="7">
        <f>Horizon!E106+Cadence!E106+'St Rose'!E106+Sloan!E106+Inspirada!E106+'System Wide'!E106</f>
        <v>0</v>
      </c>
      <c r="F106" s="7">
        <f>Horizon!F106+Cadence!F106+'St Rose'!F106+Sloan!F106+Inspirada!F106+'System Wide'!F106</f>
        <v>0</v>
      </c>
      <c r="G106" s="7">
        <f t="shared" si="52"/>
        <v>56100</v>
      </c>
      <c r="H106">
        <f>Horizon!G106+Cadence!G106+'St Rose'!G106+Sloan!G106+Inspirada!G106+'System Wide'!G106</f>
        <v>56100</v>
      </c>
      <c r="I106" s="138">
        <f t="shared" si="26"/>
        <v>0</v>
      </c>
      <c r="K106" s="7">
        <v>316680</v>
      </c>
    </row>
    <row r="107" spans="1:11" x14ac:dyDescent="0.25">
      <c r="A107" s="59" t="s">
        <v>86</v>
      </c>
      <c r="B107" s="62" t="s">
        <v>87</v>
      </c>
      <c r="C107" s="7">
        <f>Horizon!C107+Cadence!C107+'St Rose'!C107+Sloan!C107+Inspirada!C107+'System Wide'!C107</f>
        <v>598156.05000000005</v>
      </c>
      <c r="D107" s="7">
        <f>Horizon!D107+Cadence!D107+'St Rose'!D107+Sloan!D107+Inspirada!D107+'System Wide'!D107</f>
        <v>0</v>
      </c>
      <c r="E107" s="7">
        <f>Horizon!E107+Cadence!E107+'St Rose'!E107+Sloan!E107+Inspirada!E107+'System Wide'!E107</f>
        <v>0</v>
      </c>
      <c r="F107" s="7">
        <f>Horizon!F107+Cadence!F107+'St Rose'!F107+Sloan!F107+Inspirada!F107+'System Wide'!F107</f>
        <v>0</v>
      </c>
      <c r="G107" s="7">
        <f t="shared" si="52"/>
        <v>598156.05000000005</v>
      </c>
      <c r="H107">
        <f>Horizon!G107+Cadence!G107+'St Rose'!G107+Sloan!G107+Inspirada!G107+'System Wide'!G107</f>
        <v>598156.05000000005</v>
      </c>
      <c r="I107" s="138">
        <f t="shared" si="26"/>
        <v>0</v>
      </c>
      <c r="K107" s="7">
        <v>374934</v>
      </c>
    </row>
    <row r="108" spans="1:11" x14ac:dyDescent="0.25">
      <c r="A108" s="59" t="s">
        <v>88</v>
      </c>
      <c r="B108" s="62" t="s">
        <v>89</v>
      </c>
      <c r="C108" s="7">
        <f>Horizon!C108+Cadence!C108+'St Rose'!C108+Sloan!C108+Inspirada!C108+'System Wide'!C108</f>
        <v>13719901</v>
      </c>
      <c r="D108" s="7">
        <f>Horizon!D108+Cadence!D108+'St Rose'!D108+Sloan!D108+Inspirada!D108+'System Wide'!D108</f>
        <v>0</v>
      </c>
      <c r="E108" s="7">
        <f>Horizon!E108+Cadence!E108+'St Rose'!E108+Sloan!E108+Inspirada!E108+'System Wide'!E108</f>
        <v>0</v>
      </c>
      <c r="F108" s="7">
        <f>Horizon!F108+Cadence!F108+'St Rose'!F108+Sloan!F108+Inspirada!F108+'System Wide'!F108</f>
        <v>0</v>
      </c>
      <c r="G108" s="7">
        <f t="shared" si="52"/>
        <v>13719901</v>
      </c>
      <c r="H108">
        <f>Horizon!G108+Cadence!G108+'St Rose'!G108+Sloan!G108+Inspirada!G108+'System Wide'!G108</f>
        <v>13719901</v>
      </c>
      <c r="I108" s="138">
        <f t="shared" si="26"/>
        <v>0</v>
      </c>
      <c r="K108" s="7">
        <v>11984910</v>
      </c>
    </row>
    <row r="109" spans="1:11" hidden="1" x14ac:dyDescent="0.25">
      <c r="A109" s="4">
        <v>101</v>
      </c>
      <c r="B109" s="62" t="s">
        <v>90</v>
      </c>
      <c r="C109" s="7">
        <f>Horizon!C109+Cadence!C109+'St Rose'!C109+Sloan!C109+Inspirada!C109+'System Wide'!C109</f>
        <v>0</v>
      </c>
      <c r="D109" s="7">
        <f>Horizon!D109+Cadence!D109+'St Rose'!D109+Sloan!D109+Inspirada!D109+'System Wide'!D109</f>
        <v>0</v>
      </c>
      <c r="E109" s="7">
        <f>Horizon!E109+Cadence!E109+'St Rose'!E109+Sloan!E109+Inspirada!E109+'System Wide'!E109</f>
        <v>0</v>
      </c>
      <c r="F109" s="7">
        <f>Horizon!F109+Cadence!F109+'St Rose'!F109+Sloan!F109+Inspirada!F109+'System Wide'!F109</f>
        <v>0</v>
      </c>
      <c r="G109" s="7">
        <f t="shared" si="52"/>
        <v>0</v>
      </c>
      <c r="H109">
        <f>Horizon!G109+Cadence!G109+'St Rose'!G109+Sloan!G109+Inspirada!G109+'System Wide'!G109</f>
        <v>0</v>
      </c>
      <c r="I109" s="138">
        <f t="shared" si="26"/>
        <v>0</v>
      </c>
      <c r="K109" s="7"/>
    </row>
    <row r="110" spans="1:11" x14ac:dyDescent="0.25">
      <c r="A110" s="59">
        <v>101</v>
      </c>
      <c r="B110" s="62" t="s">
        <v>30</v>
      </c>
      <c r="C110" s="7">
        <f>Horizon!C110+Cadence!C110+'St Rose'!C110+Sloan!C110+Inspirada!C110+'System Wide'!C110</f>
        <v>0</v>
      </c>
      <c r="D110" s="7">
        <f>Horizon!D110+Cadence!D110+'St Rose'!D110+Sloan!D110+Inspirada!D110+'System Wide'!D110</f>
        <v>0</v>
      </c>
      <c r="E110" s="7">
        <f>Horizon!E110+Cadence!E110+'St Rose'!E110+Sloan!E110+Inspirada!E110+'System Wide'!E110</f>
        <v>1545425</v>
      </c>
      <c r="F110" s="7">
        <f>Horizon!F110+Cadence!F110+'St Rose'!F110+Sloan!F110+Inspirada!F110+'System Wide'!F110</f>
        <v>0</v>
      </c>
      <c r="G110" s="7">
        <f t="shared" si="52"/>
        <v>1545425</v>
      </c>
      <c r="H110">
        <f>Horizon!G110+Cadence!G110+'St Rose'!G110+Sloan!G110+Inspirada!G110+'System Wide'!G110</f>
        <v>1545425</v>
      </c>
      <c r="I110" s="138">
        <f t="shared" si="26"/>
        <v>0</v>
      </c>
      <c r="K110" s="7">
        <v>1061600</v>
      </c>
    </row>
    <row r="111" spans="1:11" x14ac:dyDescent="0.25">
      <c r="A111" s="59">
        <v>107</v>
      </c>
      <c r="B111" s="62" t="s">
        <v>91</v>
      </c>
      <c r="C111" s="7">
        <f>Horizon!C111+Cadence!C111+'St Rose'!C111+Sloan!C111+Inspirada!C111+'System Wide'!C111</f>
        <v>695128.48639999982</v>
      </c>
      <c r="D111" s="7">
        <f>Horizon!D111+Cadence!D111+'St Rose'!D111+Sloan!D111+Inspirada!D111+'System Wide'!D111</f>
        <v>0</v>
      </c>
      <c r="E111" s="7">
        <f>Horizon!E111+Cadence!E111+'St Rose'!E111+Sloan!E111+Inspirada!E111+'System Wide'!E111</f>
        <v>0</v>
      </c>
      <c r="F111" s="7">
        <f>Horizon!F111+Cadence!F111+'St Rose'!F111+Sloan!F111+Inspirada!F111+'System Wide'!F111</f>
        <v>23664.3</v>
      </c>
      <c r="G111" s="7">
        <f t="shared" si="52"/>
        <v>718792.78639999987</v>
      </c>
      <c r="H111">
        <f>Horizon!G111+Cadence!G111+'St Rose'!G111+Sloan!G111+Inspirada!G111+'System Wide'!G111</f>
        <v>718792.78639999987</v>
      </c>
      <c r="I111" s="138">
        <f t="shared" si="26"/>
        <v>0</v>
      </c>
      <c r="K111" s="7">
        <v>696256</v>
      </c>
    </row>
    <row r="112" spans="1:11" x14ac:dyDescent="0.25">
      <c r="A112" s="59">
        <v>107</v>
      </c>
      <c r="B112" s="62" t="s">
        <v>92</v>
      </c>
      <c r="C112" s="7">
        <f>Horizon!C112+Cadence!C112+'St Rose'!C112+Sloan!C112+Inspirada!C112+'System Wide'!C112</f>
        <v>442452.39179999998</v>
      </c>
      <c r="D112" s="7">
        <f>Horizon!D112+Cadence!D112+'St Rose'!D112+Sloan!D112+Inspirada!D112+'System Wide'!D112</f>
        <v>0</v>
      </c>
      <c r="E112" s="7">
        <f>Horizon!E112+Cadence!E112+'St Rose'!E112+Sloan!E112+Inspirada!E112+'System Wide'!E112</f>
        <v>0</v>
      </c>
      <c r="F112" s="7">
        <f>Horizon!F112+Cadence!F112+'St Rose'!F112+Sloan!F112+Inspirada!F112+'System Wide'!F112</f>
        <v>0</v>
      </c>
      <c r="G112" s="7">
        <f t="shared" si="52"/>
        <v>442452.39179999998</v>
      </c>
      <c r="H112">
        <f>Horizon!G112+Cadence!G112+'St Rose'!G112+Sloan!G112+Inspirada!G112+'System Wide'!G112</f>
        <v>442452.39179999998</v>
      </c>
      <c r="I112" s="138">
        <f t="shared" si="26"/>
        <v>0</v>
      </c>
      <c r="K112" s="7">
        <v>299919</v>
      </c>
    </row>
    <row r="113" spans="1:11" x14ac:dyDescent="0.25">
      <c r="A113" s="59">
        <v>102</v>
      </c>
      <c r="B113" s="62" t="s">
        <v>93</v>
      </c>
      <c r="C113" s="7">
        <f>Horizon!C113+Cadence!C113+'St Rose'!C113+Sloan!C113+Inspirada!C113+'System Wide'!C113</f>
        <v>29700</v>
      </c>
      <c r="D113" s="7">
        <f>Horizon!D113+Cadence!D113+'St Rose'!D113+Sloan!D113+Inspirada!D113+'System Wide'!D113</f>
        <v>257400</v>
      </c>
      <c r="E113" s="7">
        <f>Horizon!E113+Cadence!E113+'St Rose'!E113+Sloan!E113+Inspirada!E113+'System Wide'!E113</f>
        <v>653400</v>
      </c>
      <c r="F113" s="7">
        <f>Horizon!F113+Cadence!F113+'St Rose'!F113+Sloan!F113+Inspirada!F113+'System Wide'!F113</f>
        <v>0</v>
      </c>
      <c r="G113" s="7">
        <f t="shared" si="52"/>
        <v>940500</v>
      </c>
      <c r="H113">
        <f>Horizon!G113+Cadence!G113+'St Rose'!G113+Sloan!G113+Inspirada!G113+'System Wide'!G113</f>
        <v>940500</v>
      </c>
      <c r="I113" s="138">
        <f t="shared" si="26"/>
        <v>0</v>
      </c>
      <c r="K113" s="7">
        <v>838152</v>
      </c>
    </row>
    <row r="114" spans="1:11" x14ac:dyDescent="0.25">
      <c r="A114" s="59">
        <v>107</v>
      </c>
      <c r="B114" s="62" t="s">
        <v>94</v>
      </c>
      <c r="C114" s="7">
        <f>Horizon!C114+Cadence!C114+'St Rose'!C114+Sloan!C114+Inspirada!C114+'System Wide'!C114</f>
        <v>401040</v>
      </c>
      <c r="D114" s="7">
        <f>Horizon!D114+Cadence!D114+'St Rose'!D114+Sloan!D114+Inspirada!D114+'System Wide'!D114</f>
        <v>0</v>
      </c>
      <c r="E114" s="7">
        <f>Horizon!E114+Cadence!E114+'St Rose'!E114+Sloan!E114+Inspirada!E114+'System Wide'!E114</f>
        <v>0</v>
      </c>
      <c r="F114" s="7">
        <f>Horizon!F114+Cadence!F114+'St Rose'!F114+Sloan!F114+Inspirada!F114+'System Wide'!F114</f>
        <v>0</v>
      </c>
      <c r="G114" s="7">
        <f t="shared" si="52"/>
        <v>401040</v>
      </c>
      <c r="H114">
        <f>Horizon!G114+Cadence!G114+'St Rose'!G114+Sloan!G114+Inspirada!G114+'System Wide'!G114</f>
        <v>401040</v>
      </c>
      <c r="I114" s="138">
        <f t="shared" si="26"/>
        <v>0</v>
      </c>
      <c r="K114" s="7">
        <v>315120</v>
      </c>
    </row>
    <row r="115" spans="1:11" x14ac:dyDescent="0.25">
      <c r="A115" s="59">
        <v>107</v>
      </c>
      <c r="B115" s="62" t="s">
        <v>53</v>
      </c>
      <c r="C115" s="7">
        <f>Horizon!C115+Cadence!C115+'St Rose'!C115+Sloan!C115+Inspirada!C115+'System Wide'!C115</f>
        <v>0</v>
      </c>
      <c r="D115" s="7">
        <f>Horizon!D115+Cadence!D115+'St Rose'!D115+Sloan!D115+Inspirada!D115+'System Wide'!D115</f>
        <v>0</v>
      </c>
      <c r="E115" s="7">
        <f>Horizon!E115+Cadence!E115+'St Rose'!E115+Sloan!E115+Inspirada!E115+'System Wide'!E115</f>
        <v>0</v>
      </c>
      <c r="F115" s="7">
        <f>Horizon!F115+Cadence!F115+'St Rose'!F115+Sloan!F115+Inspirada!F115+'System Wide'!F115</f>
        <v>0</v>
      </c>
      <c r="G115" s="7">
        <f t="shared" si="52"/>
        <v>0</v>
      </c>
      <c r="H115">
        <f>Horizon!G115+Cadence!G115+'St Rose'!G115+Sloan!G115+Inspirada!G115+'System Wide'!G115</f>
        <v>0</v>
      </c>
      <c r="I115" s="138">
        <f t="shared" si="26"/>
        <v>0</v>
      </c>
      <c r="K115" s="7">
        <v>0</v>
      </c>
    </row>
    <row r="116" spans="1:11" ht="15.75" thickBot="1" x14ac:dyDescent="0.3">
      <c r="A116" s="72"/>
      <c r="B116" s="82" t="s">
        <v>95</v>
      </c>
      <c r="C116" s="83">
        <f>SUM(C103:C115)</f>
        <v>17819679.8882</v>
      </c>
      <c r="D116" s="83">
        <f>SUM(D103:D115)</f>
        <v>313500</v>
      </c>
      <c r="E116" s="83">
        <f t="shared" ref="E116:G116" si="53">SUM(E103:E115)</f>
        <v>2198825</v>
      </c>
      <c r="F116" s="83">
        <f t="shared" si="53"/>
        <v>23664.3</v>
      </c>
      <c r="G116" s="83">
        <f t="shared" si="53"/>
        <v>20355669.188200001</v>
      </c>
      <c r="H116">
        <f>Horizon!G116+Cadence!G116+'St Rose'!G116+Sloan!G116+Inspirada!G116+'System Wide'!G116</f>
        <v>20355669.188200001</v>
      </c>
      <c r="I116" s="138">
        <f t="shared" si="26"/>
        <v>0</v>
      </c>
      <c r="K116" s="83">
        <f t="shared" ref="K116" si="54">SUM(K103:K115)</f>
        <v>18453454</v>
      </c>
    </row>
    <row r="117" spans="1:11" x14ac:dyDescent="0.25">
      <c r="A117" s="75"/>
      <c r="B117" s="84" t="s">
        <v>96</v>
      </c>
      <c r="C117" s="150" t="str">
        <f>C1</f>
        <v>Operating</v>
      </c>
      <c r="D117" s="150" t="str">
        <f>D1</f>
        <v>Weights</v>
      </c>
      <c r="E117" s="150" t="str">
        <f>E1</f>
        <v>SPED</v>
      </c>
      <c r="F117" s="150" t="str">
        <f t="shared" ref="F117:G117" si="55">F1</f>
        <v>NSLP</v>
      </c>
      <c r="G117" s="150" t="str">
        <f t="shared" si="55"/>
        <v xml:space="preserve"> Pinecrest Totals</v>
      </c>
      <c r="H117" t="e">
        <f>Horizon!G117+Cadence!G117+'St Rose'!G117+Sloan!G117+Inspirada!G117+'System Wide'!G117</f>
        <v>#VALUE!</v>
      </c>
      <c r="I117" s="138" t="e">
        <f t="shared" si="26"/>
        <v>#VALUE!</v>
      </c>
      <c r="K117" s="150" t="str">
        <f t="shared" ref="K117" si="56">K1</f>
        <v>FY21</v>
      </c>
    </row>
    <row r="118" spans="1:11" x14ac:dyDescent="0.25">
      <c r="A118" s="5"/>
      <c r="B118" s="62"/>
      <c r="C118" s="7">
        <f>Horizon!C118+Cadence!C118+'St Rose'!C118+Sloan!C118+Inspirada!C118+'System Wide'!C118</f>
        <v>0</v>
      </c>
      <c r="D118" s="7">
        <f>Horizon!D118+Cadence!D118+'St Rose'!D118+Sloan!D118+Inspirada!D118+'System Wide'!D118</f>
        <v>0</v>
      </c>
      <c r="E118" s="7">
        <f>Horizon!E118+Cadence!E118+'St Rose'!E118+Sloan!E118+Inspirada!E118+'System Wide'!E118</f>
        <v>0</v>
      </c>
      <c r="F118" s="7">
        <f>Horizon!F118+Cadence!F118+'St Rose'!F118+Sloan!F118+Inspirada!F118+'System Wide'!F118</f>
        <v>0</v>
      </c>
      <c r="G118" s="7">
        <f>SUM(C118:F118)</f>
        <v>0</v>
      </c>
      <c r="H118">
        <f>Horizon!G118+Cadence!G118+'St Rose'!G118+Sloan!G118+Inspirada!G118+'System Wide'!G118</f>
        <v>0</v>
      </c>
      <c r="I118" s="138">
        <f t="shared" si="26"/>
        <v>0</v>
      </c>
      <c r="K118" s="7"/>
    </row>
    <row r="119" spans="1:11" x14ac:dyDescent="0.25">
      <c r="A119" s="85"/>
      <c r="B119" s="62" t="s">
        <v>54</v>
      </c>
      <c r="C119" s="7">
        <f>Horizon!C119+Cadence!C119+'St Rose'!C119+Sloan!C119+Inspirada!C119+'System Wide'!C119</f>
        <v>0</v>
      </c>
      <c r="D119" s="7">
        <f>Horizon!D119+Cadence!D119+'St Rose'!D119+Sloan!D119+Inspirada!D119+'System Wide'!D119</f>
        <v>0</v>
      </c>
      <c r="E119" s="7">
        <f>Horizon!E119+Cadence!E119+'St Rose'!E119+Sloan!E119+Inspirada!E119+'System Wide'!E119</f>
        <v>198763.5</v>
      </c>
      <c r="F119" s="7">
        <f>Horizon!F119+Cadence!F119+'St Rose'!F119+Sloan!F119+Inspirada!F119+'System Wide'!F119</f>
        <v>0</v>
      </c>
      <c r="G119" s="7">
        <f t="shared" ref="G119:G127" si="57">SUM(C119:F119)</f>
        <v>198763.5</v>
      </c>
      <c r="H119">
        <f>Horizon!G119+Cadence!G119+'St Rose'!G119+Sloan!G119+Inspirada!G119+'System Wide'!G119</f>
        <v>198763.5</v>
      </c>
      <c r="I119" s="138">
        <f t="shared" si="26"/>
        <v>0</v>
      </c>
      <c r="K119" s="7">
        <v>127467</v>
      </c>
    </row>
    <row r="120" spans="1:11" x14ac:dyDescent="0.25">
      <c r="A120" s="59"/>
      <c r="B120" s="62" t="s">
        <v>55</v>
      </c>
      <c r="C120" s="7">
        <f>Horizon!C120+Cadence!C120+'St Rose'!C120+Sloan!C120+Inspirada!C120+'System Wide'!C120</f>
        <v>0</v>
      </c>
      <c r="D120" s="7">
        <f>Horizon!D120+Cadence!D120+'St Rose'!D120+Sloan!D120+Inspirada!D120+'System Wide'!D120</f>
        <v>0</v>
      </c>
      <c r="E120" s="7">
        <f>Horizon!E120+Cadence!E120+'St Rose'!E120+Sloan!E120+Inspirada!E120+'System Wide'!E120</f>
        <v>136367.29999999999</v>
      </c>
      <c r="F120" s="7">
        <f>Horizon!F120+Cadence!F120+'St Rose'!F120+Sloan!F120+Inspirada!F120+'System Wide'!F120</f>
        <v>0</v>
      </c>
      <c r="G120" s="7">
        <f t="shared" si="57"/>
        <v>136367.29999999999</v>
      </c>
      <c r="H120">
        <f>Horizon!G120+Cadence!G120+'St Rose'!G120+Sloan!G120+Inspirada!G120+'System Wide'!G120</f>
        <v>136367.29999999999</v>
      </c>
      <c r="I120" s="138">
        <f t="shared" si="26"/>
        <v>0</v>
      </c>
      <c r="K120" s="7">
        <v>41327</v>
      </c>
    </row>
    <row r="121" spans="1:11" x14ac:dyDescent="0.25">
      <c r="A121" s="59"/>
      <c r="B121" s="62" t="s">
        <v>56</v>
      </c>
      <c r="C121" s="7">
        <f>Horizon!C121+Cadence!C121+'St Rose'!C121+Sloan!C121+Inspirada!C121+'System Wide'!C121</f>
        <v>0</v>
      </c>
      <c r="D121" s="7">
        <f>Horizon!D121+Cadence!D121+'St Rose'!D121+Sloan!D121+Inspirada!D121+'System Wide'!D121</f>
        <v>0</v>
      </c>
      <c r="E121" s="7">
        <f>Horizon!E121+Cadence!E121+'St Rose'!E121+Sloan!E121+Inspirada!E121+'System Wide'!E121</f>
        <v>97726.2</v>
      </c>
      <c r="F121" s="7">
        <f>Horizon!F121+Cadence!F121+'St Rose'!F121+Sloan!F121+Inspirada!F121+'System Wide'!F121</f>
        <v>0</v>
      </c>
      <c r="G121" s="7">
        <f t="shared" si="57"/>
        <v>97726.2</v>
      </c>
      <c r="H121">
        <f>Horizon!G121+Cadence!G121+'St Rose'!G121+Sloan!G121+Inspirada!G121+'System Wide'!G121</f>
        <v>97726.2</v>
      </c>
      <c r="I121" s="138">
        <f t="shared" si="26"/>
        <v>0</v>
      </c>
      <c r="K121" s="7">
        <v>97400</v>
      </c>
    </row>
    <row r="122" spans="1:11" x14ac:dyDescent="0.25">
      <c r="A122" s="59"/>
      <c r="B122" s="62" t="s">
        <v>97</v>
      </c>
      <c r="C122" s="7">
        <f>Horizon!C122+Cadence!C122+'St Rose'!C122+Sloan!C122+Inspirada!C122+'System Wide'!C122</f>
        <v>0</v>
      </c>
      <c r="D122" s="7">
        <f>Horizon!D122+Cadence!D122+'St Rose'!D122+Sloan!D122+Inspirada!D122+'System Wide'!D122</f>
        <v>0</v>
      </c>
      <c r="E122" s="7">
        <f>Horizon!E122+Cadence!E122+'St Rose'!E122+Sloan!E122+Inspirada!E122+'System Wide'!E122</f>
        <v>33842.590199999999</v>
      </c>
      <c r="F122" s="7">
        <f>Horizon!F122+Cadence!F122+'St Rose'!F122+Sloan!F122+Inspirada!F122+'System Wide'!F122</f>
        <v>0</v>
      </c>
      <c r="G122" s="7">
        <f t="shared" si="57"/>
        <v>33842.590199999999</v>
      </c>
      <c r="H122">
        <f>Horizon!G122+Cadence!G122+'St Rose'!G122+Sloan!G122+Inspirada!G122+'System Wide'!G122</f>
        <v>33842.590199999999</v>
      </c>
      <c r="I122" s="138">
        <f t="shared" si="26"/>
        <v>0</v>
      </c>
      <c r="K122" s="7"/>
    </row>
    <row r="123" spans="1:11" x14ac:dyDescent="0.25">
      <c r="A123" s="59"/>
      <c r="B123" s="62" t="s">
        <v>58</v>
      </c>
      <c r="C123" s="7">
        <f>Horizon!C123+Cadence!C123+'St Rose'!C123+Sloan!C123+Inspirada!C123+'System Wide'!C123</f>
        <v>0</v>
      </c>
      <c r="D123" s="7">
        <f>Horizon!D123+Cadence!D123+'St Rose'!D123+Sloan!D123+Inspirada!D123+'System Wide'!D123</f>
        <v>0</v>
      </c>
      <c r="E123" s="7">
        <f>Horizon!E123+Cadence!E123+'St Rose'!E123+Sloan!E123+Inspirada!E123+'System Wide'!E123</f>
        <v>165750</v>
      </c>
      <c r="F123" s="7">
        <f>Horizon!F123+Cadence!F123+'St Rose'!F123+Sloan!F123+Inspirada!F123+'System Wide'!F123</f>
        <v>0</v>
      </c>
      <c r="G123" s="7">
        <f t="shared" si="57"/>
        <v>165750</v>
      </c>
      <c r="H123">
        <f>Horizon!G123+Cadence!G123+'St Rose'!G123+Sloan!G123+Inspirada!G123+'System Wide'!G123</f>
        <v>165750</v>
      </c>
      <c r="I123" s="138">
        <f t="shared" si="26"/>
        <v>0</v>
      </c>
      <c r="K123" s="7">
        <v>30713</v>
      </c>
    </row>
    <row r="124" spans="1:11" x14ac:dyDescent="0.25">
      <c r="A124" s="59"/>
      <c r="B124" s="62" t="s">
        <v>98</v>
      </c>
      <c r="C124" s="7">
        <f>Horizon!C124+Cadence!C124+'St Rose'!C124+Sloan!C124+Inspirada!C124+'System Wide'!C124</f>
        <v>0</v>
      </c>
      <c r="D124" s="7">
        <f>Horizon!D124+Cadence!D124+'St Rose'!D124+Sloan!D124+Inspirada!D124+'System Wide'!D124</f>
        <v>204828.7</v>
      </c>
      <c r="E124" s="7">
        <f>Horizon!E124+Cadence!E124+'St Rose'!E124+Sloan!E124+Inspirada!E124+'System Wide'!E124</f>
        <v>0</v>
      </c>
      <c r="F124" s="7">
        <f>Horizon!F124+Cadence!F124+'St Rose'!F124+Sloan!F124+Inspirada!F124+'System Wide'!F124</f>
        <v>0</v>
      </c>
      <c r="G124" s="7">
        <f t="shared" si="57"/>
        <v>204828.7</v>
      </c>
      <c r="H124">
        <f>Horizon!G124+Cadence!G124+'St Rose'!G124+Sloan!G124+Inspirada!G124+'System Wide'!G124</f>
        <v>204828.7</v>
      </c>
      <c r="I124" s="138">
        <f t="shared" si="26"/>
        <v>0</v>
      </c>
      <c r="K124" s="7">
        <v>200507</v>
      </c>
    </row>
    <row r="125" spans="1:11" x14ac:dyDescent="0.25">
      <c r="A125" s="59"/>
      <c r="B125" s="62" t="s">
        <v>99</v>
      </c>
      <c r="C125" s="7">
        <f>Horizon!C125+Cadence!C125+'St Rose'!C125+Sloan!C125+Inspirada!C125+'System Wide'!C125</f>
        <v>0</v>
      </c>
      <c r="D125" s="7">
        <f>Horizon!D125+Cadence!D125+'St Rose'!D125+Sloan!D125+Inspirada!D125+'System Wide'!D125</f>
        <v>0</v>
      </c>
      <c r="E125" s="7">
        <f>Horizon!E125+Cadence!E125+'St Rose'!E125+Sloan!E125+Inspirada!E125+'System Wide'!E125</f>
        <v>0</v>
      </c>
      <c r="F125" s="7">
        <f>Horizon!F125+Cadence!F125+'St Rose'!F125+Sloan!F125+Inspirada!F125+'System Wide'!F125</f>
        <v>0</v>
      </c>
      <c r="G125" s="7">
        <f t="shared" si="57"/>
        <v>0</v>
      </c>
      <c r="H125">
        <f>Horizon!G125+Cadence!G125+'St Rose'!G125+Sloan!G125+Inspirada!G125+'System Wide'!G125</f>
        <v>0</v>
      </c>
      <c r="I125" s="138">
        <f t="shared" si="26"/>
        <v>0</v>
      </c>
      <c r="K125" s="7"/>
    </row>
    <row r="126" spans="1:11" x14ac:dyDescent="0.25">
      <c r="A126" s="59">
        <v>107</v>
      </c>
      <c r="B126" s="62" t="s">
        <v>100</v>
      </c>
      <c r="C126" s="7">
        <f>Horizon!C126+Cadence!C126+'St Rose'!C126+Sloan!C126+Inspirada!C126+'System Wide'!C126</f>
        <v>0</v>
      </c>
      <c r="D126" s="7">
        <f>Horizon!D126+Cadence!D126+'St Rose'!D126+Sloan!D126+Inspirada!D126+'System Wide'!D126</f>
        <v>0</v>
      </c>
      <c r="E126" s="7">
        <f>Horizon!E126+Cadence!E126+'St Rose'!E126+Sloan!E126+Inspirada!E126+'System Wide'!E126</f>
        <v>0</v>
      </c>
      <c r="F126" s="7">
        <f>Horizon!F126+Cadence!F126+'St Rose'!F126+Sloan!F126+Inspirada!F126+'System Wide'!F126</f>
        <v>153450</v>
      </c>
      <c r="G126" s="7">
        <f t="shared" si="57"/>
        <v>153450</v>
      </c>
      <c r="H126">
        <f>Horizon!G126+Cadence!G126+'St Rose'!G126+Sloan!G126+Inspirada!G126+'System Wide'!G126</f>
        <v>153450</v>
      </c>
      <c r="I126" s="138">
        <f t="shared" si="26"/>
        <v>0</v>
      </c>
      <c r="K126" s="7">
        <v>148242</v>
      </c>
    </row>
    <row r="127" spans="1:11" x14ac:dyDescent="0.25">
      <c r="A127" s="59"/>
      <c r="B127" s="62" t="s">
        <v>101</v>
      </c>
      <c r="C127" s="7">
        <f>Horizon!C127+Cadence!C127+'St Rose'!C127+Sloan!C127+Inspirada!C127+'System Wide'!C127</f>
        <v>112500</v>
      </c>
      <c r="D127" s="7">
        <f>Horizon!D127+Cadence!D127+'St Rose'!D127+Sloan!D127+Inspirada!D127+'System Wide'!D127</f>
        <v>0</v>
      </c>
      <c r="E127" s="7">
        <f>Horizon!E127+Cadence!E127+'St Rose'!E127+Sloan!E127+Inspirada!E127+'System Wide'!E127</f>
        <v>0</v>
      </c>
      <c r="F127" s="7">
        <f>Horizon!F127+Cadence!F127+'St Rose'!F127+Sloan!F127+Inspirada!F127+'System Wide'!F127</f>
        <v>0</v>
      </c>
      <c r="G127" s="7">
        <f t="shared" si="57"/>
        <v>112500</v>
      </c>
      <c r="H127">
        <f>Horizon!G127+Cadence!G127+'St Rose'!G127+Sloan!G127+Inspirada!G127+'System Wide'!G127</f>
        <v>112500</v>
      </c>
      <c r="I127" s="138">
        <f t="shared" si="26"/>
        <v>0</v>
      </c>
      <c r="K127" s="7">
        <v>135000</v>
      </c>
    </row>
    <row r="128" spans="1:11" ht="15.75" thickBot="1" x14ac:dyDescent="0.3">
      <c r="A128" s="72"/>
      <c r="B128" s="82" t="s">
        <v>102</v>
      </c>
      <c r="C128" s="87">
        <f>SUM(C118:C127)</f>
        <v>112500</v>
      </c>
      <c r="D128" s="87">
        <f>SUM(D118:D127)</f>
        <v>204828.7</v>
      </c>
      <c r="E128" s="87">
        <f>SUM(E118:E127)</f>
        <v>632449.59019999998</v>
      </c>
      <c r="F128" s="87">
        <f t="shared" ref="F128:G128" si="58">SUM(F118:F127)</f>
        <v>153450</v>
      </c>
      <c r="G128" s="87">
        <f t="shared" si="58"/>
        <v>1103228.2901999999</v>
      </c>
      <c r="H128">
        <f>Horizon!G128+Cadence!G128+'St Rose'!G128+Sloan!G128+Inspirada!G128+'System Wide'!G128</f>
        <v>1103228.2902000002</v>
      </c>
      <c r="I128" s="138">
        <f t="shared" si="26"/>
        <v>0</v>
      </c>
      <c r="K128" s="87">
        <f t="shared" ref="K128" si="59">SUM(K118:K127)</f>
        <v>780656</v>
      </c>
    </row>
    <row r="129" spans="1:11" ht="15.75" thickBot="1" x14ac:dyDescent="0.3">
      <c r="A129" s="88"/>
      <c r="B129" s="89" t="s">
        <v>103</v>
      </c>
      <c r="C129" s="90">
        <f>C116+C128</f>
        <v>17932179.8882</v>
      </c>
      <c r="D129" s="90">
        <f>D116+D128</f>
        <v>518328.7</v>
      </c>
      <c r="E129" s="90">
        <f>E116+E128</f>
        <v>2831274.5902</v>
      </c>
      <c r="F129" s="90">
        <f t="shared" ref="F129:G129" si="60">F116+F128</f>
        <v>177114.3</v>
      </c>
      <c r="G129" s="90">
        <f t="shared" si="60"/>
        <v>21458897.478399999</v>
      </c>
      <c r="H129">
        <f>Horizon!G129+Cadence!G129+'St Rose'!G129+Sloan!G129+Inspirada!G129+'System Wide'!G129</f>
        <v>21458897.478399999</v>
      </c>
      <c r="I129" s="138">
        <f t="shared" si="26"/>
        <v>0</v>
      </c>
      <c r="K129" s="90">
        <f t="shared" ref="K129" si="61">K116+K128</f>
        <v>19234110</v>
      </c>
    </row>
    <row r="130" spans="1:11" x14ac:dyDescent="0.25">
      <c r="A130" s="93">
        <v>230</v>
      </c>
      <c r="B130" s="62" t="s">
        <v>104</v>
      </c>
      <c r="C130" s="61">
        <f>Horizon!C130+Cadence!C130+'St Rose'!C130+Sloan!C130+Inspirada!C130+'System Wide'!C130</f>
        <v>5334823.5167394988</v>
      </c>
      <c r="D130" s="61">
        <f>Horizon!D130+Cadence!D130+'St Rose'!D130+Sloan!D130+Inspirada!D130+'System Wide'!D130</f>
        <v>154202.78824999998</v>
      </c>
      <c r="E130" s="61">
        <f>Horizon!E130+Cadence!E130+'St Rose'!E130+Sloan!E130+Inspirada!E130+'System Wide'!E130</f>
        <v>842304.19058449985</v>
      </c>
      <c r="F130" s="61">
        <f>Horizon!F130+Cadence!F130+'St Rose'!F130+Sloan!F130+Inspirada!F130+'System Wide'!F130</f>
        <v>52691.504249999998</v>
      </c>
      <c r="G130" s="61">
        <f>SUM(C130:F130)</f>
        <v>6384021.9998239996</v>
      </c>
      <c r="H130">
        <f>Horizon!G130+Cadence!G130+'St Rose'!G130+Sloan!G130+Inspirada!G130+'System Wide'!G130</f>
        <v>6384021.9998239996</v>
      </c>
      <c r="I130" s="138">
        <f t="shared" si="26"/>
        <v>0</v>
      </c>
      <c r="K130" s="61">
        <v>5572097</v>
      </c>
    </row>
    <row r="131" spans="1:11" x14ac:dyDescent="0.25">
      <c r="A131" s="64"/>
      <c r="B131" s="62" t="s">
        <v>105</v>
      </c>
      <c r="C131" s="61">
        <f>Horizon!C131+Cadence!C131+'St Rose'!C131+Sloan!C131+Inspirada!C131+'System Wide'!C131</f>
        <v>3188231.809876</v>
      </c>
      <c r="D131" s="61">
        <f>Horizon!D131+Cadence!D131+'St Rose'!D131+Sloan!D131+Inspirada!D131+'System Wide'!D131</f>
        <v>87848.319500000012</v>
      </c>
      <c r="E131" s="61">
        <f>Horizon!E131+Cadence!E131+'St Rose'!E131+Sloan!E131+Inspirada!E131+'System Wide'!E131</f>
        <v>495473.05328499997</v>
      </c>
      <c r="F131" s="61">
        <f>Horizon!F131+Cadence!F131+'St Rose'!F131+Sloan!F131+Inspirada!F131+'System Wide'!F131</f>
        <v>24796.002</v>
      </c>
      <c r="G131" s="61">
        <f t="shared" ref="G131:G135" si="62">SUM(C131:F131)</f>
        <v>3796349.184661</v>
      </c>
      <c r="H131">
        <f>Horizon!G131+Cadence!G131+'St Rose'!G131+Sloan!G131+Inspirada!G131+'System Wide'!G131</f>
        <v>3796349.184661</v>
      </c>
      <c r="I131" s="138">
        <f t="shared" si="26"/>
        <v>0</v>
      </c>
      <c r="K131" s="61">
        <v>3316924</v>
      </c>
    </row>
    <row r="132" spans="1:11" x14ac:dyDescent="0.25">
      <c r="A132" s="59">
        <v>150</v>
      </c>
      <c r="B132" s="62" t="s">
        <v>106</v>
      </c>
      <c r="C132" s="61">
        <f>Horizon!C132+Cadence!C132+'St Rose'!C132+Sloan!C132+Inspirada!C132+'System Wide'!C132</f>
        <v>385976.5</v>
      </c>
      <c r="D132" s="61">
        <f>Horizon!D132+Cadence!D132+'St Rose'!D132+Sloan!D132+Inspirada!D132+'System Wide'!D132</f>
        <v>11082.5</v>
      </c>
      <c r="E132" s="61">
        <f>Horizon!E132+Cadence!E132+'St Rose'!E132+Sloan!E132+Inspirada!E132+'System Wide'!E132</f>
        <v>56577</v>
      </c>
      <c r="F132" s="61">
        <f>Horizon!F132+Cadence!F132+'St Rose'!F132+Sloan!F132+Inspirada!F132+'System Wide'!F132</f>
        <v>3400</v>
      </c>
      <c r="G132" s="61">
        <f t="shared" si="62"/>
        <v>457036</v>
      </c>
      <c r="H132">
        <f>Horizon!G132+Cadence!G132+'St Rose'!G132+Sloan!G132+Inspirada!G132+'System Wide'!G132</f>
        <v>457036</v>
      </c>
      <c r="I132" s="138">
        <f t="shared" si="26"/>
        <v>0</v>
      </c>
      <c r="K132" s="61">
        <v>472218</v>
      </c>
    </row>
    <row r="133" spans="1:11" x14ac:dyDescent="0.25">
      <c r="A133" s="59">
        <v>150</v>
      </c>
      <c r="B133" s="62" t="s">
        <v>107</v>
      </c>
      <c r="C133" s="61">
        <f>Horizon!C133+Cadence!C133+'St Rose'!C133+Sloan!C133+Inspirada!C133+'System Wide'!C133</f>
        <v>10000</v>
      </c>
      <c r="D133" s="61">
        <f>Horizon!D133+Cadence!D133+'St Rose'!D133+Sloan!D133+Inspirada!D133+'System Wide'!D133</f>
        <v>0</v>
      </c>
      <c r="E133" s="61">
        <f>Horizon!E133+Cadence!E133+'St Rose'!E133+Sloan!E133+Inspirada!E133+'System Wide'!E133</f>
        <v>0</v>
      </c>
      <c r="F133" s="61">
        <f>Horizon!F133+Cadence!F133+'St Rose'!F133+Sloan!F133+Inspirada!F133+'System Wide'!F133</f>
        <v>0</v>
      </c>
      <c r="G133" s="61">
        <f t="shared" si="62"/>
        <v>10000</v>
      </c>
      <c r="H133">
        <f>Horizon!G133+Cadence!G133+'St Rose'!G133+Sloan!G133+Inspirada!G133+'System Wide'!G133</f>
        <v>10000</v>
      </c>
      <c r="I133" s="138">
        <f t="shared" si="26"/>
        <v>0</v>
      </c>
      <c r="K133" s="61">
        <v>0</v>
      </c>
    </row>
    <row r="134" spans="1:11" x14ac:dyDescent="0.25">
      <c r="A134" s="59">
        <v>250</v>
      </c>
      <c r="B134" s="62" t="s">
        <v>108</v>
      </c>
      <c r="C134" s="61">
        <f>Horizon!C134+Cadence!C134+'St Rose'!C134+Sloan!C134+Inspirada!C134+'System Wide'!C134</f>
        <v>37500</v>
      </c>
      <c r="D134" s="61">
        <f>Horizon!D134+Cadence!D134+'St Rose'!D134+Sloan!D134+Inspirada!D134+'System Wide'!D134</f>
        <v>0</v>
      </c>
      <c r="E134" s="61">
        <f>Horizon!E134+Cadence!E134+'St Rose'!E134+Sloan!E134+Inspirada!E134+'System Wide'!E134</f>
        <v>0</v>
      </c>
      <c r="F134" s="61">
        <f>Horizon!F134+Cadence!F134+'St Rose'!F134+Sloan!F134+Inspirada!F134+'System Wide'!F134</f>
        <v>0</v>
      </c>
      <c r="G134" s="61">
        <f t="shared" si="62"/>
        <v>37500</v>
      </c>
      <c r="H134">
        <f>Horizon!G134+Cadence!G134+'St Rose'!G134+Sloan!G134+Inspirada!G134+'System Wide'!G134</f>
        <v>37500</v>
      </c>
      <c r="I134" s="138">
        <f t="shared" si="26"/>
        <v>0</v>
      </c>
      <c r="K134" s="61">
        <v>55000</v>
      </c>
    </row>
    <row r="135" spans="1:11" x14ac:dyDescent="0.25">
      <c r="A135" s="64"/>
      <c r="B135" s="62" t="s">
        <v>109</v>
      </c>
      <c r="C135" s="61">
        <f>Horizon!C135+Cadence!C135+'St Rose'!C135+Sloan!C135+Inspirada!C135+'System Wide'!C135</f>
        <v>371214</v>
      </c>
      <c r="D135" s="61">
        <f>Horizon!D135+Cadence!D135+'St Rose'!D135+Sloan!D135+Inspirada!D135+'System Wide'!D135</f>
        <v>40000</v>
      </c>
      <c r="E135" s="61">
        <f>Horizon!E135+Cadence!E135+'St Rose'!E135+Sloan!E135+Inspirada!E135+'System Wide'!E135</f>
        <v>54450</v>
      </c>
      <c r="F135" s="61">
        <f>Horizon!F135+Cadence!F135+'St Rose'!F135+Sloan!F135+Inspirada!F135+'System Wide'!F135</f>
        <v>0</v>
      </c>
      <c r="G135" s="61">
        <f t="shared" si="62"/>
        <v>465664</v>
      </c>
      <c r="H135">
        <f>Horizon!G135+Cadence!G135+'St Rose'!G135+Sloan!G135+Inspirada!G135+'System Wide'!G135</f>
        <v>465664</v>
      </c>
      <c r="I135" s="138">
        <f t="shared" si="26"/>
        <v>0</v>
      </c>
      <c r="K135" s="61">
        <v>812662</v>
      </c>
    </row>
    <row r="136" spans="1:11" ht="15.75" thickBot="1" x14ac:dyDescent="0.3">
      <c r="A136" s="72"/>
      <c r="B136" s="91" t="s">
        <v>110</v>
      </c>
      <c r="C136" s="87">
        <f>SUM(C130:C135)</f>
        <v>9327745.8266154993</v>
      </c>
      <c r="D136" s="87">
        <f>SUM(D130:D135)</f>
        <v>293133.60774999997</v>
      </c>
      <c r="E136" s="87">
        <f>SUM(E130:E135)</f>
        <v>1448804.2438694998</v>
      </c>
      <c r="F136" s="87">
        <f t="shared" ref="F136:G136" si="63">SUM(F130:F135)</f>
        <v>80887.506250000006</v>
      </c>
      <c r="G136" s="87">
        <f t="shared" si="63"/>
        <v>11150571.184485</v>
      </c>
      <c r="H136">
        <f>Horizon!G136+Cadence!G136+'St Rose'!G136+Sloan!G136+Inspirada!G136+'System Wide'!G136</f>
        <v>11150571.184485001</v>
      </c>
      <c r="I136" s="138">
        <f t="shared" si="26"/>
        <v>0</v>
      </c>
      <c r="K136" s="87">
        <f t="shared" ref="K136" si="64">SUM(K130:K135)</f>
        <v>10228901</v>
      </c>
    </row>
    <row r="137" spans="1:11" ht="15.75" thickBot="1" x14ac:dyDescent="0.3">
      <c r="A137" s="88"/>
      <c r="B137" s="95" t="s">
        <v>111</v>
      </c>
      <c r="C137" s="90">
        <f>C129+C136</f>
        <v>27259925.714815497</v>
      </c>
      <c r="D137" s="90">
        <f>D129+D136</f>
        <v>811462.30774999992</v>
      </c>
      <c r="E137" s="90">
        <f>E129+E136</f>
        <v>4280078.8340694997</v>
      </c>
      <c r="F137" s="90">
        <f t="shared" ref="F137:G137" si="65">F129+F136</f>
        <v>258001.80624999999</v>
      </c>
      <c r="G137" s="90">
        <f t="shared" si="65"/>
        <v>32609468.662884999</v>
      </c>
      <c r="H137">
        <f>Horizon!G137+Cadence!G137+'St Rose'!G137+Sloan!G137+Inspirada!G137+'System Wide'!G137</f>
        <v>32609468.662885003</v>
      </c>
      <c r="I137" s="138">
        <f t="shared" si="26"/>
        <v>0</v>
      </c>
      <c r="K137" s="90">
        <f t="shared" ref="K137" si="66">K129+K136</f>
        <v>29463011</v>
      </c>
    </row>
    <row r="138" spans="1:11" x14ac:dyDescent="0.25">
      <c r="A138" s="75"/>
      <c r="B138" s="97" t="s">
        <v>112</v>
      </c>
      <c r="C138" s="149" t="str">
        <f>C1</f>
        <v>Operating</v>
      </c>
      <c r="D138" s="149" t="str">
        <f>D1</f>
        <v>Weights</v>
      </c>
      <c r="E138" s="149" t="str">
        <f>E1</f>
        <v>SPED</v>
      </c>
      <c r="F138" s="149" t="str">
        <f t="shared" ref="F138:G138" si="67">F1</f>
        <v>NSLP</v>
      </c>
      <c r="G138" s="149" t="str">
        <f t="shared" si="67"/>
        <v xml:space="preserve"> Pinecrest Totals</v>
      </c>
      <c r="H138" t="e">
        <f>Horizon!G138+Cadence!G138+'St Rose'!G138+Sloan!G138+Inspirada!G138+'System Wide'!G138</f>
        <v>#VALUE!</v>
      </c>
      <c r="I138" s="138" t="e">
        <f t="shared" si="26"/>
        <v>#VALUE!</v>
      </c>
      <c r="K138" s="149" t="str">
        <f t="shared" ref="K138" si="68">K1</f>
        <v>FY21</v>
      </c>
    </row>
    <row r="139" spans="1:11" x14ac:dyDescent="0.25">
      <c r="A139" s="64"/>
      <c r="B139" s="98" t="s">
        <v>113</v>
      </c>
      <c r="C139" s="15">
        <f>Horizon!C139+Cadence!C139+'St Rose'!C139+Sloan!C139+Inspirada!C139+'System Wide'!C139</f>
        <v>907270</v>
      </c>
      <c r="D139" s="15">
        <f>Horizon!D139+Cadence!D139+'St Rose'!D139+Sloan!D139+Inspirada!D139+'System Wide'!D139</f>
        <v>0</v>
      </c>
      <c r="E139" s="15">
        <f>Horizon!E139+Cadence!E139+'St Rose'!E139+Sloan!E139+Inspirada!E139+'System Wide'!E139</f>
        <v>0</v>
      </c>
      <c r="F139" s="15">
        <f>Horizon!F139+Cadence!F139+'St Rose'!F139+Sloan!F139+Inspirada!F139+'System Wide'!F139</f>
        <v>0</v>
      </c>
      <c r="G139" s="15">
        <f>SUM(C139:F139)</f>
        <v>907270</v>
      </c>
      <c r="H139">
        <f>Horizon!G139+Cadence!G139+'St Rose'!G139+Sloan!G139+Inspirada!G139+'System Wide'!G139</f>
        <v>907270</v>
      </c>
      <c r="I139" s="138">
        <f t="shared" ref="I139:I202" si="69">G139-H139</f>
        <v>0</v>
      </c>
      <c r="K139" s="15">
        <v>801440</v>
      </c>
    </row>
    <row r="140" spans="1:11" x14ac:dyDescent="0.25">
      <c r="A140" s="59">
        <v>561</v>
      </c>
      <c r="B140" s="99" t="s">
        <v>114</v>
      </c>
      <c r="C140" s="15">
        <f>Horizon!C140+Cadence!C140+'St Rose'!C140+Sloan!C140+Inspirada!C140+'System Wide'!C140</f>
        <v>165000</v>
      </c>
      <c r="D140" s="15">
        <f>Horizon!D140+Cadence!D140+'St Rose'!D140+Sloan!D140+Inspirada!D140+'System Wide'!D140</f>
        <v>0</v>
      </c>
      <c r="E140" s="15">
        <f>Horizon!E140+Cadence!E140+'St Rose'!E140+Sloan!E140+Inspirada!E140+'System Wide'!E140</f>
        <v>0</v>
      </c>
      <c r="F140" s="15">
        <f>Horizon!F140+Cadence!F140+'St Rose'!F140+Sloan!F140+Inspirada!F140+'System Wide'!F140</f>
        <v>0</v>
      </c>
      <c r="G140" s="15">
        <f t="shared" ref="G140:G148" si="70">SUM(C140:F140)</f>
        <v>165000</v>
      </c>
      <c r="H140">
        <f>Horizon!G140+Cadence!G140+'St Rose'!G140+Sloan!G140+Inspirada!G140+'System Wide'!G140</f>
        <v>165000</v>
      </c>
      <c r="I140" s="138">
        <f t="shared" si="69"/>
        <v>0</v>
      </c>
      <c r="K140" s="15"/>
    </row>
    <row r="141" spans="1:11" x14ac:dyDescent="0.25">
      <c r="A141" s="64"/>
      <c r="B141" s="62" t="s">
        <v>115</v>
      </c>
      <c r="C141" s="15">
        <f>Horizon!C141+Cadence!C141+'St Rose'!C141+Sloan!C141+Inspirada!C141+'System Wide'!C141</f>
        <v>1340500</v>
      </c>
      <c r="D141" s="15">
        <f>Horizon!D141+Cadence!D141+'St Rose'!D141+Sloan!D141+Inspirada!D141+'System Wide'!D141</f>
        <v>0</v>
      </c>
      <c r="E141" s="15">
        <f>Horizon!E141+Cadence!E141+'St Rose'!E141+Sloan!E141+Inspirada!E141+'System Wide'!E141</f>
        <v>0</v>
      </c>
      <c r="F141" s="15">
        <f>Horizon!F141+Cadence!F141+'St Rose'!F141+Sloan!F141+Inspirada!F141+'System Wide'!F141</f>
        <v>0</v>
      </c>
      <c r="G141" s="15">
        <f t="shared" si="70"/>
        <v>1340500</v>
      </c>
      <c r="H141">
        <f>Horizon!G141+Cadence!G141+'St Rose'!G141+Sloan!G141+Inspirada!G141+'System Wide'!G141</f>
        <v>1340500</v>
      </c>
      <c r="I141" s="138">
        <f t="shared" si="69"/>
        <v>0</v>
      </c>
      <c r="K141" s="15">
        <v>1326000</v>
      </c>
    </row>
    <row r="142" spans="1:11" x14ac:dyDescent="0.25">
      <c r="A142" s="64"/>
      <c r="B142" s="62" t="s">
        <v>116</v>
      </c>
      <c r="C142" s="15">
        <f>Horizon!C142+Cadence!C142+'St Rose'!C142+Sloan!C142+Inspirada!C142+'System Wide'!C142</f>
        <v>0</v>
      </c>
      <c r="D142" s="15">
        <f>Horizon!D142+Cadence!D142+'St Rose'!D142+Sloan!D142+Inspirada!D142+'System Wide'!D142</f>
        <v>0</v>
      </c>
      <c r="E142" s="15">
        <f>Horizon!E142+Cadence!E142+'St Rose'!E142+Sloan!E142+Inspirada!E142+'System Wide'!E142</f>
        <v>0</v>
      </c>
      <c r="F142" s="15">
        <f>Horizon!F142+Cadence!F142+'St Rose'!F142+Sloan!F142+Inspirada!F142+'System Wide'!F142</f>
        <v>0</v>
      </c>
      <c r="G142" s="15">
        <f t="shared" si="70"/>
        <v>0</v>
      </c>
      <c r="H142">
        <f>Horizon!G142+Cadence!G142+'St Rose'!G142+Sloan!G142+Inspirada!G142+'System Wide'!G142</f>
        <v>0</v>
      </c>
      <c r="I142" s="138">
        <f t="shared" si="69"/>
        <v>0</v>
      </c>
      <c r="K142" s="15"/>
    </row>
    <row r="143" spans="1:11" x14ac:dyDescent="0.25">
      <c r="A143" s="59">
        <v>610</v>
      </c>
      <c r="B143" s="62" t="s">
        <v>117</v>
      </c>
      <c r="C143" s="15">
        <f>Horizon!C143+Cadence!C143+'St Rose'!C143+Sloan!C143+Inspirada!C143+'System Wide'!C143</f>
        <v>91727</v>
      </c>
      <c r="D143" s="15">
        <f>Horizon!D143+Cadence!D143+'St Rose'!D143+Sloan!D143+Inspirada!D143+'System Wide'!D143</f>
        <v>0</v>
      </c>
      <c r="E143" s="15">
        <f>Horizon!E143+Cadence!E143+'St Rose'!E143+Sloan!E143+Inspirada!E143+'System Wide'!E143</f>
        <v>0</v>
      </c>
      <c r="F143" s="15">
        <f>Horizon!F143+Cadence!F143+'St Rose'!F143+Sloan!F143+Inspirada!F143+'System Wide'!F143</f>
        <v>0</v>
      </c>
      <c r="G143" s="15">
        <f t="shared" si="70"/>
        <v>91727</v>
      </c>
      <c r="H143">
        <f>Horizon!G143+Cadence!G143+'St Rose'!G143+Sloan!G143+Inspirada!G143+'System Wide'!G143</f>
        <v>91727</v>
      </c>
      <c r="I143" s="138">
        <f t="shared" si="69"/>
        <v>0</v>
      </c>
      <c r="K143" s="15">
        <v>82144</v>
      </c>
    </row>
    <row r="144" spans="1:11" x14ac:dyDescent="0.25">
      <c r="A144" s="59">
        <v>610</v>
      </c>
      <c r="B144" s="62" t="s">
        <v>118</v>
      </c>
      <c r="C144" s="15">
        <f>Horizon!C144+Cadence!C144+'St Rose'!C144+Sloan!C144+Inspirada!C144+'System Wide'!C144</f>
        <v>188433</v>
      </c>
      <c r="D144" s="15">
        <f>Horizon!D144+Cadence!D144+'St Rose'!D144+Sloan!D144+Inspirada!D144+'System Wide'!D144</f>
        <v>0</v>
      </c>
      <c r="E144" s="15">
        <f>Horizon!E144+Cadence!E144+'St Rose'!E144+Sloan!E144+Inspirada!E144+'System Wide'!E144</f>
        <v>0</v>
      </c>
      <c r="F144" s="15">
        <f>Horizon!F144+Cadence!F144+'St Rose'!F144+Sloan!F144+Inspirada!F144+'System Wide'!F144</f>
        <v>0</v>
      </c>
      <c r="G144" s="15">
        <f t="shared" si="70"/>
        <v>188433</v>
      </c>
      <c r="H144">
        <f>Horizon!G144+Cadence!G144+'St Rose'!G144+Sloan!G144+Inspirada!G144+'System Wide'!G144</f>
        <v>188433</v>
      </c>
      <c r="I144" s="138">
        <f t="shared" si="69"/>
        <v>0</v>
      </c>
      <c r="K144" s="15">
        <v>169376</v>
      </c>
    </row>
    <row r="145" spans="1:11" x14ac:dyDescent="0.25">
      <c r="A145" s="59">
        <v>610</v>
      </c>
      <c r="B145" s="62" t="s">
        <v>119</v>
      </c>
      <c r="C145" s="15">
        <f>Horizon!C145+Cadence!C145+'St Rose'!C145+Sloan!C145+Inspirada!C145+'System Wide'!C145</f>
        <v>27916</v>
      </c>
      <c r="D145" s="15">
        <f>Horizon!D145+Cadence!D145+'St Rose'!D145+Sloan!D145+Inspirada!D145+'System Wide'!D145</f>
        <v>0</v>
      </c>
      <c r="E145" s="15">
        <f>Horizon!E145+Cadence!E145+'St Rose'!E145+Sloan!E145+Inspirada!E145+'System Wide'!E145</f>
        <v>0</v>
      </c>
      <c r="F145" s="15">
        <f>Horizon!F145+Cadence!F145+'St Rose'!F145+Sloan!F145+Inspirada!F145+'System Wide'!F145</f>
        <v>0</v>
      </c>
      <c r="G145" s="15">
        <f t="shared" si="70"/>
        <v>27916</v>
      </c>
      <c r="H145">
        <f>Horizon!G145+Cadence!G145+'St Rose'!G145+Sloan!G145+Inspirada!G145+'System Wide'!G145</f>
        <v>27916</v>
      </c>
      <c r="I145" s="138">
        <f t="shared" si="69"/>
        <v>0</v>
      </c>
      <c r="K145" s="15">
        <v>24352</v>
      </c>
    </row>
    <row r="146" spans="1:11" x14ac:dyDescent="0.25">
      <c r="A146" s="59">
        <v>610</v>
      </c>
      <c r="B146" s="62" t="s">
        <v>120</v>
      </c>
      <c r="C146" s="15">
        <f>Horizon!C146+Cadence!C146+'St Rose'!C146+Sloan!C146+Inspirada!C146+'System Wide'!C146</f>
        <v>20937</v>
      </c>
      <c r="D146" s="15">
        <f>Horizon!D146+Cadence!D146+'St Rose'!D146+Sloan!D146+Inspirada!D146+'System Wide'!D146</f>
        <v>0</v>
      </c>
      <c r="E146" s="15">
        <f>Horizon!E146+Cadence!E146+'St Rose'!E146+Sloan!E146+Inspirada!E146+'System Wide'!E146</f>
        <v>0</v>
      </c>
      <c r="F146" s="15">
        <f>Horizon!F146+Cadence!F146+'St Rose'!F146+Sloan!F146+Inspirada!F146+'System Wide'!F146</f>
        <v>0</v>
      </c>
      <c r="G146" s="15">
        <f t="shared" si="70"/>
        <v>20937</v>
      </c>
      <c r="H146">
        <f>Horizon!G146+Cadence!G146+'St Rose'!G146+Sloan!G146+Inspirada!G146+'System Wide'!G146</f>
        <v>20937</v>
      </c>
      <c r="I146" s="138">
        <f t="shared" si="69"/>
        <v>0</v>
      </c>
      <c r="K146" s="15">
        <v>18264</v>
      </c>
    </row>
    <row r="147" spans="1:11" x14ac:dyDescent="0.25">
      <c r="A147" s="59">
        <v>610</v>
      </c>
      <c r="B147" s="62" t="s">
        <v>121</v>
      </c>
      <c r="C147" s="15">
        <f>Horizon!C147+Cadence!C147+'St Rose'!C147+Sloan!C147+Inspirada!C147+'System Wide'!C147</f>
        <v>0</v>
      </c>
      <c r="D147" s="15">
        <f>Horizon!D147+Cadence!D147+'St Rose'!D147+Sloan!D147+Inspirada!D147+'System Wide'!D147</f>
        <v>0</v>
      </c>
      <c r="E147" s="15">
        <f>Horizon!E147+Cadence!E147+'St Rose'!E147+Sloan!E147+Inspirada!E147+'System Wide'!E147</f>
        <v>75960</v>
      </c>
      <c r="F147" s="15">
        <f>Horizon!F147+Cadence!F147+'St Rose'!F147+Sloan!F147+Inspirada!F147+'System Wide'!F147</f>
        <v>0</v>
      </c>
      <c r="G147" s="15">
        <f t="shared" si="70"/>
        <v>75960</v>
      </c>
      <c r="H147">
        <f>Horizon!G147+Cadence!G147+'St Rose'!G147+Sloan!G147+Inspirada!G147+'System Wide'!G147</f>
        <v>75960</v>
      </c>
      <c r="I147" s="138">
        <f t="shared" si="69"/>
        <v>0</v>
      </c>
      <c r="K147" s="15">
        <v>63480</v>
      </c>
    </row>
    <row r="148" spans="1:11" ht="15.75" thickBot="1" x14ac:dyDescent="0.3">
      <c r="A148" s="100"/>
      <c r="B148" s="62" t="s">
        <v>122</v>
      </c>
      <c r="C148" s="15">
        <f>Horizon!C148+Cadence!C148+'St Rose'!C148+Sloan!C148+Inspirada!C148+'System Wide'!C148</f>
        <v>65000</v>
      </c>
      <c r="D148" s="15">
        <f>Horizon!D148+Cadence!D148+'St Rose'!D148+Sloan!D148+Inspirada!D148+'System Wide'!D148</f>
        <v>0</v>
      </c>
      <c r="E148" s="15">
        <f>Horizon!E148+Cadence!E148+'St Rose'!E148+Sloan!E148+Inspirada!E148+'System Wide'!E148</f>
        <v>0</v>
      </c>
      <c r="F148" s="15">
        <f>Horizon!F148+Cadence!F148+'St Rose'!F148+Sloan!F148+Inspirada!F148+'System Wide'!F148</f>
        <v>0</v>
      </c>
      <c r="G148" s="15">
        <f t="shared" si="70"/>
        <v>65000</v>
      </c>
      <c r="H148">
        <f>Horizon!G148+Cadence!G148+'St Rose'!G148+Sloan!G148+Inspirada!G148+'System Wide'!G148</f>
        <v>65000</v>
      </c>
      <c r="I148" s="138">
        <f t="shared" si="69"/>
        <v>0</v>
      </c>
      <c r="K148" s="15">
        <v>25000</v>
      </c>
    </row>
    <row r="149" spans="1:11" ht="15.75" thickBot="1" x14ac:dyDescent="0.3">
      <c r="A149" s="88"/>
      <c r="B149" s="95" t="s">
        <v>123</v>
      </c>
      <c r="C149" s="92">
        <f>SUM(C139:C148)</f>
        <v>2806783</v>
      </c>
      <c r="D149" s="92">
        <f>SUM(D139:D148)</f>
        <v>0</v>
      </c>
      <c r="E149" s="92">
        <f t="shared" ref="E149:G149" si="71">SUM(E139:E148)</f>
        <v>75960</v>
      </c>
      <c r="F149" s="92">
        <f t="shared" si="71"/>
        <v>0</v>
      </c>
      <c r="G149" s="92">
        <f t="shared" si="71"/>
        <v>2882743</v>
      </c>
      <c r="H149">
        <f>Horizon!G149+Cadence!G149+'St Rose'!G149+Sloan!G149+Inspirada!G149+'System Wide'!G149</f>
        <v>2882743</v>
      </c>
      <c r="I149" s="138">
        <f t="shared" si="69"/>
        <v>0</v>
      </c>
      <c r="K149" s="92">
        <f t="shared" ref="K149" si="72">SUM(K139:K148)</f>
        <v>2510056</v>
      </c>
    </row>
    <row r="150" spans="1:11" x14ac:dyDescent="0.25">
      <c r="A150" s="75"/>
      <c r="B150" s="101" t="s">
        <v>124</v>
      </c>
      <c r="C150" s="149" t="str">
        <f>C1</f>
        <v>Operating</v>
      </c>
      <c r="D150" s="149" t="str">
        <f>D1</f>
        <v>Weights</v>
      </c>
      <c r="E150" s="149" t="str">
        <f>E1</f>
        <v>SPED</v>
      </c>
      <c r="F150" s="149" t="str">
        <f t="shared" ref="F150:G150" si="73">F1</f>
        <v>NSLP</v>
      </c>
      <c r="G150" s="149" t="str">
        <f t="shared" si="73"/>
        <v xml:space="preserve"> Pinecrest Totals</v>
      </c>
      <c r="H150" t="e">
        <f>Horizon!G150+Cadence!G150+'St Rose'!G150+Sloan!G150+Inspirada!G150+'System Wide'!G150</f>
        <v>#VALUE!</v>
      </c>
      <c r="I150" s="138" t="e">
        <f t="shared" si="69"/>
        <v>#VALUE!</v>
      </c>
      <c r="K150" s="149" t="str">
        <f t="shared" ref="K150" si="74">K1</f>
        <v>FY21</v>
      </c>
    </row>
    <row r="151" spans="1:11" x14ac:dyDescent="0.25">
      <c r="A151" s="93">
        <v>320</v>
      </c>
      <c r="B151" s="62" t="s">
        <v>125</v>
      </c>
      <c r="C151" s="80">
        <f>Horizon!C151+Cadence!C151+'St Rose'!C151+Sloan!C151+Inspirada!C151+'System Wide'!C151</f>
        <v>0</v>
      </c>
      <c r="D151" s="80">
        <f>Horizon!D151+Cadence!D151+'St Rose'!D151+Sloan!D151+Inspirada!D151+'System Wide'!D151</f>
        <v>70000</v>
      </c>
      <c r="E151" s="80">
        <f>Horizon!E151+Cadence!E151+'St Rose'!E151+Sloan!E151+Inspirada!E151+'System Wide'!E151</f>
        <v>0</v>
      </c>
      <c r="F151" s="80">
        <f>Horizon!F151+Cadence!F151+'St Rose'!F151+Sloan!F151+Inspirada!F151+'System Wide'!F151</f>
        <v>0</v>
      </c>
      <c r="G151" s="80">
        <f>SUM(C151:F151)</f>
        <v>70000</v>
      </c>
      <c r="H151">
        <f>Horizon!G151+Cadence!G151+'St Rose'!G151+Sloan!G151+Inspirada!G151+'System Wide'!G151</f>
        <v>70000</v>
      </c>
      <c r="I151" s="138">
        <f t="shared" si="69"/>
        <v>0</v>
      </c>
      <c r="K151" s="80">
        <v>100000</v>
      </c>
    </row>
    <row r="152" spans="1:11" x14ac:dyDescent="0.25">
      <c r="A152" s="59">
        <v>300</v>
      </c>
      <c r="B152" s="62" t="s">
        <v>126</v>
      </c>
      <c r="C152" s="80">
        <f>Horizon!C152+Cadence!C152+'St Rose'!C152+Sloan!C152+Inspirada!C152+'System Wide'!C152</f>
        <v>0</v>
      </c>
      <c r="D152" s="80">
        <f>Horizon!D152+Cadence!D152+'St Rose'!D152+Sloan!D152+Inspirada!D152+'System Wide'!D152</f>
        <v>0</v>
      </c>
      <c r="E152" s="80">
        <f>Horizon!E152+Cadence!E152+'St Rose'!E152+Sloan!E152+Inspirada!E152+'System Wide'!E152</f>
        <v>1054575</v>
      </c>
      <c r="F152" s="80">
        <f>Horizon!F152+Cadence!F152+'St Rose'!F152+Sloan!F152+Inspirada!F152+'System Wide'!F152</f>
        <v>0</v>
      </c>
      <c r="G152" s="80">
        <f t="shared" ref="G152:G162" si="75">SUM(C152:F152)</f>
        <v>1054575</v>
      </c>
      <c r="H152">
        <f>Horizon!G152+Cadence!G152+'St Rose'!G152+Sloan!G152+Inspirada!G152+'System Wide'!G152</f>
        <v>1054575</v>
      </c>
      <c r="I152" s="138">
        <f t="shared" si="69"/>
        <v>0</v>
      </c>
      <c r="K152" s="80">
        <v>1127340</v>
      </c>
    </row>
    <row r="153" spans="1:11" x14ac:dyDescent="0.25">
      <c r="A153" s="59">
        <v>310</v>
      </c>
      <c r="B153" s="62" t="s">
        <v>127</v>
      </c>
      <c r="C153" s="80">
        <f>Horizon!C153+Cadence!C153+'St Rose'!C153+Sloan!C153+Inspirada!C153+'System Wide'!C153</f>
        <v>0</v>
      </c>
      <c r="D153" s="80">
        <f>Horizon!D153+Cadence!D153+'St Rose'!D153+Sloan!D153+Inspirada!D153+'System Wide'!D153</f>
        <v>0</v>
      </c>
      <c r="E153" s="80">
        <f>Horizon!E153+Cadence!E153+'St Rose'!E153+Sloan!E153+Inspirada!E153+'System Wide'!E153</f>
        <v>0</v>
      </c>
      <c r="F153" s="80">
        <f>Horizon!F153+Cadence!F153+'St Rose'!F153+Sloan!F153+Inspirada!F153+'System Wide'!F153</f>
        <v>0</v>
      </c>
      <c r="G153" s="80">
        <f t="shared" si="75"/>
        <v>0</v>
      </c>
      <c r="H153">
        <f>Horizon!G153+Cadence!G153+'St Rose'!G153+Sloan!G153+Inspirada!G153+'System Wide'!G153</f>
        <v>0</v>
      </c>
      <c r="I153" s="138">
        <f t="shared" si="69"/>
        <v>0</v>
      </c>
      <c r="K153" s="80">
        <v>0</v>
      </c>
    </row>
    <row r="154" spans="1:11" x14ac:dyDescent="0.25">
      <c r="A154" s="59">
        <v>310</v>
      </c>
      <c r="B154" s="62" t="s">
        <v>128</v>
      </c>
      <c r="C154" s="80">
        <f>Horizon!C154+Cadence!C154+'St Rose'!C154+Sloan!C154+Inspirada!C154+'System Wide'!C154</f>
        <v>3140550</v>
      </c>
      <c r="D154" s="80">
        <f>Horizon!D154+Cadence!D154+'St Rose'!D154+Sloan!D154+Inspirada!D154+'System Wide'!D154</f>
        <v>0</v>
      </c>
      <c r="E154" s="80">
        <f>Horizon!E154+Cadence!E154+'St Rose'!E154+Sloan!E154+Inspirada!E154+'System Wide'!E154</f>
        <v>0</v>
      </c>
      <c r="F154" s="80">
        <f>Horizon!F154+Cadence!F154+'St Rose'!F154+Sloan!F154+Inspirada!F154+'System Wide'!F154</f>
        <v>0</v>
      </c>
      <c r="G154" s="80">
        <f t="shared" si="75"/>
        <v>3140550</v>
      </c>
      <c r="H154">
        <f>Horizon!G154+Cadence!G154+'St Rose'!G154+Sloan!G154+Inspirada!G154+'System Wide'!G154</f>
        <v>3140550</v>
      </c>
      <c r="I154" s="138">
        <f t="shared" si="69"/>
        <v>0</v>
      </c>
      <c r="K154" s="80">
        <v>2739600</v>
      </c>
    </row>
    <row r="155" spans="1:11" x14ac:dyDescent="0.25">
      <c r="A155" s="59">
        <v>310</v>
      </c>
      <c r="B155" s="62" t="s">
        <v>129</v>
      </c>
      <c r="C155" s="80">
        <f>Horizon!C155+Cadence!C155+'St Rose'!C155+Sloan!C155+Inspirada!C155+'System Wide'!C155</f>
        <v>101558.39999999999</v>
      </c>
      <c r="D155" s="80">
        <f>Horizon!D155+Cadence!D155+'St Rose'!D155+Sloan!D155+Inspirada!D155+'System Wide'!D155</f>
        <v>4440</v>
      </c>
      <c r="E155" s="80">
        <f>Horizon!E155+Cadence!E155+'St Rose'!E155+Sloan!E155+Inspirada!E155+'System Wide'!E155</f>
        <v>18000</v>
      </c>
      <c r="F155" s="80">
        <f>Horizon!F155+Cadence!F155+'St Rose'!F155+Sloan!F155+Inspirada!F155+'System Wide'!F155</f>
        <v>1920</v>
      </c>
      <c r="G155" s="80">
        <f t="shared" si="75"/>
        <v>125918.39999999999</v>
      </c>
      <c r="H155">
        <f>Horizon!G155+Cadence!G155+'St Rose'!G155+Sloan!G155+Inspirada!G155+'System Wide'!G155</f>
        <v>125918.39999999999</v>
      </c>
      <c r="I155" s="138">
        <f t="shared" si="69"/>
        <v>0</v>
      </c>
      <c r="K155" s="80">
        <v>111762</v>
      </c>
    </row>
    <row r="156" spans="1:11" x14ac:dyDescent="0.25">
      <c r="A156" s="59">
        <v>340</v>
      </c>
      <c r="B156" s="62" t="s">
        <v>130</v>
      </c>
      <c r="C156" s="80">
        <f>Horizon!C156+Cadence!C156+'St Rose'!C156+Sloan!C156+Inspirada!C156+'System Wide'!C156</f>
        <v>55000</v>
      </c>
      <c r="D156" s="80">
        <f>Horizon!D156+Cadence!D156+'St Rose'!D156+Sloan!D156+Inspirada!D156+'System Wide'!D156</f>
        <v>0</v>
      </c>
      <c r="E156" s="80">
        <f>Horizon!E156+Cadence!E156+'St Rose'!E156+Sloan!E156+Inspirada!E156+'System Wide'!E156</f>
        <v>0</v>
      </c>
      <c r="F156" s="80">
        <f>Horizon!F156+Cadence!F156+'St Rose'!F156+Sloan!F156+Inspirada!F156+'System Wide'!F156</f>
        <v>0</v>
      </c>
      <c r="G156" s="80">
        <f t="shared" si="75"/>
        <v>55000</v>
      </c>
      <c r="H156">
        <f>Horizon!G156+Cadence!G156+'St Rose'!G156+Sloan!G156+Inspirada!G156+'System Wide'!G156</f>
        <v>55000</v>
      </c>
      <c r="I156" s="138">
        <f t="shared" si="69"/>
        <v>0</v>
      </c>
      <c r="K156" s="80">
        <v>63000</v>
      </c>
    </row>
    <row r="157" spans="1:11" x14ac:dyDescent="0.25">
      <c r="A157" s="59">
        <v>340</v>
      </c>
      <c r="B157" s="62" t="s">
        <v>131</v>
      </c>
      <c r="C157" s="80">
        <f>Horizon!C157+Cadence!C157+'St Rose'!C157+Sloan!C157+Inspirada!C157+'System Wide'!C157</f>
        <v>27000</v>
      </c>
      <c r="D157" s="80">
        <f>Horizon!D157+Cadence!D157+'St Rose'!D157+Sloan!D157+Inspirada!D157+'System Wide'!D157</f>
        <v>0</v>
      </c>
      <c r="E157" s="80">
        <f>Horizon!E157+Cadence!E157+'St Rose'!E157+Sloan!E157+Inspirada!E157+'System Wide'!E157</f>
        <v>0</v>
      </c>
      <c r="F157" s="80">
        <f>Horizon!F157+Cadence!F157+'St Rose'!F157+Sloan!F157+Inspirada!F157+'System Wide'!F157</f>
        <v>0</v>
      </c>
      <c r="G157" s="80">
        <f t="shared" si="75"/>
        <v>27000</v>
      </c>
      <c r="H157">
        <f>Horizon!G157+Cadence!G157+'St Rose'!G157+Sloan!G157+Inspirada!G157+'System Wide'!G157</f>
        <v>27000</v>
      </c>
      <c r="I157" s="138">
        <f t="shared" si="69"/>
        <v>0</v>
      </c>
      <c r="K157" s="80">
        <v>32500</v>
      </c>
    </row>
    <row r="158" spans="1:11" x14ac:dyDescent="0.25">
      <c r="A158" s="59">
        <v>352</v>
      </c>
      <c r="B158" s="62" t="s">
        <v>132</v>
      </c>
      <c r="C158" s="80">
        <f>Horizon!C158+Cadence!C158+'St Rose'!C158+Sloan!C158+Inspirada!C158+'System Wide'!C158</f>
        <v>293118</v>
      </c>
      <c r="D158" s="80">
        <f>Horizon!D158+Cadence!D158+'St Rose'!D158+Sloan!D158+Inspirada!D158+'System Wide'!D158</f>
        <v>0</v>
      </c>
      <c r="E158" s="80">
        <f>Horizon!E158+Cadence!E158+'St Rose'!E158+Sloan!E158+Inspirada!E158+'System Wide'!E158</f>
        <v>0</v>
      </c>
      <c r="F158" s="80">
        <f>Horizon!F158+Cadence!F158+'St Rose'!F158+Sloan!F158+Inspirada!F158+'System Wide'!F158</f>
        <v>0</v>
      </c>
      <c r="G158" s="80">
        <f t="shared" si="75"/>
        <v>293118</v>
      </c>
      <c r="H158">
        <f>Horizon!G158+Cadence!G158+'St Rose'!G158+Sloan!G158+Inspirada!G158+'System Wide'!G158</f>
        <v>293118</v>
      </c>
      <c r="I158" s="138">
        <f t="shared" si="69"/>
        <v>0</v>
      </c>
      <c r="K158" s="80">
        <v>255696</v>
      </c>
    </row>
    <row r="159" spans="1:11" x14ac:dyDescent="0.25">
      <c r="A159" s="59">
        <v>350</v>
      </c>
      <c r="B159" s="62" t="s">
        <v>133</v>
      </c>
      <c r="C159" s="80">
        <f>Horizon!C159+Cadence!C159+'St Rose'!C159+Sloan!C159+Inspirada!C159+'System Wide'!C159</f>
        <v>37000</v>
      </c>
      <c r="D159" s="80">
        <f>Horizon!D159+Cadence!D159+'St Rose'!D159+Sloan!D159+Inspirada!D159+'System Wide'!D159</f>
        <v>0</v>
      </c>
      <c r="E159" s="80">
        <f>Horizon!E159+Cadence!E159+'St Rose'!E159+Sloan!E159+Inspirada!E159+'System Wide'!E159</f>
        <v>0</v>
      </c>
      <c r="F159" s="80">
        <f>Horizon!F159+Cadence!F159+'St Rose'!F159+Sloan!F159+Inspirada!F159+'System Wide'!F159</f>
        <v>0</v>
      </c>
      <c r="G159" s="80">
        <f t="shared" si="75"/>
        <v>37000</v>
      </c>
      <c r="H159">
        <f>Horizon!G159+Cadence!G159+'St Rose'!G159+Sloan!G159+Inspirada!G159+'System Wide'!G159</f>
        <v>37000</v>
      </c>
      <c r="I159" s="138">
        <f t="shared" si="69"/>
        <v>0</v>
      </c>
      <c r="K159" s="80">
        <v>49000</v>
      </c>
    </row>
    <row r="160" spans="1:11" x14ac:dyDescent="0.25">
      <c r="A160" s="59">
        <v>591</v>
      </c>
      <c r="B160" s="62" t="s">
        <v>134</v>
      </c>
      <c r="C160" s="80">
        <f>Horizon!C160+Cadence!C160+'St Rose'!C160+Sloan!C160+Inspirada!C160+'System Wide'!C160</f>
        <v>627829.96762500005</v>
      </c>
      <c r="D160" s="80">
        <f>Horizon!D160+Cadence!D160+'St Rose'!D160+Sloan!D160+Inspirada!D160+'System Wide'!D160</f>
        <v>0</v>
      </c>
      <c r="E160" s="80">
        <f>Horizon!E160+Cadence!E160+'St Rose'!E160+Sloan!E160+Inspirada!E160+'System Wide'!E160</f>
        <v>0</v>
      </c>
      <c r="F160" s="80">
        <f>Horizon!F160+Cadence!F160+'St Rose'!F160+Sloan!F160+Inspirada!F160+'System Wide'!F160</f>
        <v>0</v>
      </c>
      <c r="G160" s="80">
        <f t="shared" si="75"/>
        <v>627829.96762500005</v>
      </c>
      <c r="H160">
        <f>Horizon!G160+Cadence!G160+'St Rose'!G160+Sloan!G160+Inspirada!G160+'System Wide'!G160</f>
        <v>627829.96762500005</v>
      </c>
      <c r="I160" s="138">
        <f t="shared" si="69"/>
        <v>0</v>
      </c>
      <c r="K160" s="80">
        <v>546779</v>
      </c>
    </row>
    <row r="161" spans="1:11" x14ac:dyDescent="0.25">
      <c r="A161" s="59">
        <v>320</v>
      </c>
      <c r="B161" s="62" t="s">
        <v>135</v>
      </c>
      <c r="C161" s="80">
        <f>Horizon!C161+Cadence!C161+'St Rose'!C161+Sloan!C161+Inspirada!C161+'System Wide'!C161</f>
        <v>251131.98705</v>
      </c>
      <c r="D161" s="80">
        <f>Horizon!D161+Cadence!D161+'St Rose'!D161+Sloan!D161+Inspirada!D161+'System Wide'!D161</f>
        <v>0</v>
      </c>
      <c r="E161" s="80">
        <f>Horizon!E161+Cadence!E161+'St Rose'!E161+Sloan!E161+Inspirada!E161+'System Wide'!E161</f>
        <v>0</v>
      </c>
      <c r="F161" s="80">
        <f>Horizon!F161+Cadence!F161+'St Rose'!F161+Sloan!F161+Inspirada!F161+'System Wide'!F161</f>
        <v>0</v>
      </c>
      <c r="G161" s="80">
        <f t="shared" si="75"/>
        <v>251131.98705</v>
      </c>
      <c r="H161">
        <f>Horizon!G161+Cadence!G161+'St Rose'!G161+Sloan!G161+Inspirada!G161+'System Wide'!G161</f>
        <v>251131.98705</v>
      </c>
      <c r="I161" s="138">
        <f t="shared" si="69"/>
        <v>0</v>
      </c>
      <c r="K161" s="80">
        <v>218711</v>
      </c>
    </row>
    <row r="162" spans="1:11" ht="15.75" thickBot="1" x14ac:dyDescent="0.3">
      <c r="A162" s="59">
        <v>330</v>
      </c>
      <c r="B162" s="62" t="s">
        <v>136</v>
      </c>
      <c r="C162" s="80">
        <f>Horizon!C162+Cadence!C162+'St Rose'!C162+Sloan!C162+Inspirada!C162+'System Wide'!C162</f>
        <v>251131.98705</v>
      </c>
      <c r="D162" s="80">
        <f>Horizon!D162+Cadence!D162+'St Rose'!D162+Sloan!D162+Inspirada!D162+'System Wide'!D162</f>
        <v>0</v>
      </c>
      <c r="E162" s="80">
        <f>Horizon!E162+Cadence!E162+'St Rose'!E162+Sloan!E162+Inspirada!E162+'System Wide'!E162</f>
        <v>0</v>
      </c>
      <c r="F162" s="80">
        <f>Horizon!F162+Cadence!F162+'St Rose'!F162+Sloan!F162+Inspirada!F162+'System Wide'!F162</f>
        <v>0</v>
      </c>
      <c r="G162" s="80">
        <f t="shared" si="75"/>
        <v>251131.98705</v>
      </c>
      <c r="H162">
        <f>Horizon!G162+Cadence!G162+'St Rose'!G162+Sloan!G162+Inspirada!G162+'System Wide'!G162</f>
        <v>251131.98705</v>
      </c>
      <c r="I162" s="138">
        <f t="shared" si="69"/>
        <v>0</v>
      </c>
      <c r="K162" s="80">
        <v>218711</v>
      </c>
    </row>
    <row r="163" spans="1:11" ht="15.75" hidden="1" thickBot="1" x14ac:dyDescent="0.3">
      <c r="A163" s="59">
        <v>330</v>
      </c>
      <c r="B163" s="62" t="s">
        <v>137</v>
      </c>
      <c r="C163" s="81"/>
      <c r="D163" s="81"/>
      <c r="E163" s="81"/>
      <c r="F163" s="81"/>
      <c r="G163" s="81"/>
      <c r="H163">
        <f>Horizon!G163+Cadence!G163+'St Rose'!G163+Sloan!G163+Inspirada!G163+'System Wide'!G163</f>
        <v>0</v>
      </c>
      <c r="I163" s="138">
        <f t="shared" si="69"/>
        <v>0</v>
      </c>
      <c r="K163" s="81"/>
    </row>
    <row r="164" spans="1:11" ht="15.75" thickBot="1" x14ac:dyDescent="0.3">
      <c r="A164" s="88"/>
      <c r="B164" s="95" t="s">
        <v>138</v>
      </c>
      <c r="C164" s="92">
        <f>SUM(C151:C163)</f>
        <v>4784320.3417249992</v>
      </c>
      <c r="D164" s="92">
        <f>SUM(D151:D163)</f>
        <v>74440</v>
      </c>
      <c r="E164" s="92">
        <f>SUM(E151:E163)</f>
        <v>1072575</v>
      </c>
      <c r="F164" s="92">
        <f t="shared" ref="F164:G164" si="76">SUM(F151:F163)</f>
        <v>1920</v>
      </c>
      <c r="G164" s="92">
        <f t="shared" si="76"/>
        <v>5933255.3417249992</v>
      </c>
      <c r="H164">
        <f>Horizon!G164+Cadence!G164+'St Rose'!G164+Sloan!G164+Inspirada!G164+'System Wide'!G164</f>
        <v>5933255.3417249992</v>
      </c>
      <c r="I164" s="138">
        <f t="shared" si="69"/>
        <v>0</v>
      </c>
      <c r="K164" s="92">
        <f t="shared" ref="K164" si="77">SUM(K151:K163)</f>
        <v>5463099</v>
      </c>
    </row>
    <row r="165" spans="1:11" x14ac:dyDescent="0.25">
      <c r="A165" s="75"/>
      <c r="B165" s="101" t="s">
        <v>139</v>
      </c>
      <c r="C165" s="149" t="str">
        <f>C150</f>
        <v>Operating</v>
      </c>
      <c r="D165" s="149" t="str">
        <f>D150</f>
        <v>Weights</v>
      </c>
      <c r="E165" s="149" t="str">
        <f>E150</f>
        <v>SPED</v>
      </c>
      <c r="F165" s="149" t="str">
        <f t="shared" ref="F165:G165" si="78">F150</f>
        <v>NSLP</v>
      </c>
      <c r="G165" s="149" t="str">
        <f t="shared" si="78"/>
        <v xml:space="preserve"> Pinecrest Totals</v>
      </c>
      <c r="H165" t="e">
        <f>Horizon!G165+Cadence!G165+'St Rose'!G165+Sloan!G165+Inspirada!G165+'System Wide'!G165</f>
        <v>#VALUE!</v>
      </c>
      <c r="I165" s="138" t="e">
        <f t="shared" si="69"/>
        <v>#VALUE!</v>
      </c>
      <c r="K165" s="149" t="str">
        <f t="shared" ref="K165" si="79">K150</f>
        <v>FY21</v>
      </c>
    </row>
    <row r="166" spans="1:11" x14ac:dyDescent="0.25">
      <c r="A166" s="59">
        <v>533</v>
      </c>
      <c r="B166" s="62" t="s">
        <v>140</v>
      </c>
      <c r="C166" s="7">
        <f>Horizon!C166+Cadence!C166+'St Rose'!C166+Sloan!C166+Inspirada!C166+'System Wide'!C166</f>
        <v>20450</v>
      </c>
      <c r="D166" s="7">
        <f>Horizon!D166+Cadence!D166+'St Rose'!D166+Sloan!D166+Inspirada!D166+'System Wide'!D166</f>
        <v>0</v>
      </c>
      <c r="E166" s="7">
        <f>Horizon!E166+Cadence!E166+'St Rose'!E166+Sloan!E166+Inspirada!E166+'System Wide'!E166</f>
        <v>0</v>
      </c>
      <c r="F166" s="7">
        <f>Horizon!F166+Cadence!F166+'St Rose'!F166+Sloan!F166+Inspirada!F166+'System Wide'!F166</f>
        <v>0</v>
      </c>
      <c r="G166" s="7">
        <f>SUM(C166:F166)</f>
        <v>20450</v>
      </c>
      <c r="H166">
        <f>Horizon!G166+Cadence!G166+'St Rose'!G166+Sloan!G166+Inspirada!G166+'System Wide'!G166</f>
        <v>20450</v>
      </c>
      <c r="I166" s="138">
        <f t="shared" si="69"/>
        <v>0</v>
      </c>
      <c r="K166" s="7">
        <v>19500</v>
      </c>
    </row>
    <row r="167" spans="1:11" x14ac:dyDescent="0.25">
      <c r="A167" s="59">
        <v>535</v>
      </c>
      <c r="B167" s="62" t="s">
        <v>141</v>
      </c>
      <c r="C167" s="7">
        <f>Horizon!C167+Cadence!C167+'St Rose'!C167+Sloan!C167+Inspirada!C167+'System Wide'!C167</f>
        <v>91500</v>
      </c>
      <c r="D167" s="7">
        <f>Horizon!D167+Cadence!D167+'St Rose'!D167+Sloan!D167+Inspirada!D167+'System Wide'!D167</f>
        <v>0</v>
      </c>
      <c r="E167" s="7">
        <f>Horizon!E167+Cadence!E167+'St Rose'!E167+Sloan!E167+Inspirada!E167+'System Wide'!E167</f>
        <v>0</v>
      </c>
      <c r="F167" s="7">
        <f>Horizon!F167+Cadence!F167+'St Rose'!F167+Sloan!F167+Inspirada!F167+'System Wide'!F167</f>
        <v>0</v>
      </c>
      <c r="G167" s="7">
        <f t="shared" ref="G167:G172" si="80">SUM(C167:F167)</f>
        <v>91500</v>
      </c>
      <c r="H167">
        <f>Horizon!G167+Cadence!G167+'St Rose'!G167+Sloan!G167+Inspirada!G167+'System Wide'!G167</f>
        <v>91500</v>
      </c>
      <c r="I167" s="138">
        <f t="shared" si="69"/>
        <v>0</v>
      </c>
      <c r="K167" s="7">
        <v>90300</v>
      </c>
    </row>
    <row r="168" spans="1:11" x14ac:dyDescent="0.25">
      <c r="A168" s="59">
        <v>534</v>
      </c>
      <c r="B168" s="62" t="s">
        <v>142</v>
      </c>
      <c r="C168" s="7">
        <f>Horizon!C168+Cadence!C168+'St Rose'!C168+Sloan!C168+Inspirada!C168+'System Wide'!C168</f>
        <v>0</v>
      </c>
      <c r="D168" s="7">
        <f>Horizon!D168+Cadence!D168+'St Rose'!D168+Sloan!D168+Inspirada!D168+'System Wide'!D168</f>
        <v>0</v>
      </c>
      <c r="E168" s="7">
        <f>Horizon!E168+Cadence!E168+'St Rose'!E168+Sloan!E168+Inspirada!E168+'System Wide'!E168</f>
        <v>0</v>
      </c>
      <c r="F168" s="7">
        <f>Horizon!F168+Cadence!F168+'St Rose'!F168+Sloan!F168+Inspirada!F168+'System Wide'!F168</f>
        <v>0</v>
      </c>
      <c r="G168" s="7">
        <f t="shared" si="80"/>
        <v>0</v>
      </c>
      <c r="H168">
        <f>Horizon!G168+Cadence!G168+'St Rose'!G168+Sloan!G168+Inspirada!G168+'System Wide'!G168</f>
        <v>0</v>
      </c>
      <c r="I168" s="138">
        <f t="shared" si="69"/>
        <v>0</v>
      </c>
      <c r="K168" s="7">
        <v>0</v>
      </c>
    </row>
    <row r="169" spans="1:11" x14ac:dyDescent="0.25">
      <c r="A169" s="59">
        <v>531</v>
      </c>
      <c r="B169" s="62" t="s">
        <v>143</v>
      </c>
      <c r="C169" s="7">
        <f>Horizon!C169+Cadence!C169+'St Rose'!C169+Sloan!C169+Inspirada!C169+'System Wide'!C169</f>
        <v>5500</v>
      </c>
      <c r="D169" s="7">
        <f>Horizon!D169+Cadence!D169+'St Rose'!D169+Sloan!D169+Inspirada!D169+'System Wide'!D169</f>
        <v>0</v>
      </c>
      <c r="E169" s="7">
        <f>Horizon!E169+Cadence!E169+'St Rose'!E169+Sloan!E169+Inspirada!E169+'System Wide'!E169</f>
        <v>0</v>
      </c>
      <c r="F169" s="7">
        <f>Horizon!F169+Cadence!F169+'St Rose'!F169+Sloan!F169+Inspirada!F169+'System Wide'!F169</f>
        <v>0</v>
      </c>
      <c r="G169" s="7">
        <f t="shared" si="80"/>
        <v>5500</v>
      </c>
      <c r="H169">
        <f>Horizon!G169+Cadence!G169+'St Rose'!G169+Sloan!G169+Inspirada!G169+'System Wide'!G169</f>
        <v>5500</v>
      </c>
      <c r="I169" s="138">
        <f t="shared" si="69"/>
        <v>0</v>
      </c>
      <c r="K169" s="7">
        <v>5750</v>
      </c>
    </row>
    <row r="170" spans="1:11" x14ac:dyDescent="0.25">
      <c r="A170" s="59">
        <v>535</v>
      </c>
      <c r="B170" s="62" t="s">
        <v>144</v>
      </c>
      <c r="C170" s="7">
        <f>Horizon!C170+Cadence!C170+'St Rose'!C170+Sloan!C170+Inspirada!C170+'System Wide'!C170</f>
        <v>21000</v>
      </c>
      <c r="D170" s="7">
        <f>Horizon!D170+Cadence!D170+'St Rose'!D170+Sloan!D170+Inspirada!D170+'System Wide'!D170</f>
        <v>0</v>
      </c>
      <c r="E170" s="7">
        <f>Horizon!E170+Cadence!E170+'St Rose'!E170+Sloan!E170+Inspirada!E170+'System Wide'!E170</f>
        <v>0</v>
      </c>
      <c r="F170" s="7">
        <f>Horizon!F170+Cadence!F170+'St Rose'!F170+Sloan!F170+Inspirada!F170+'System Wide'!F170</f>
        <v>0</v>
      </c>
      <c r="G170" s="7">
        <f t="shared" si="80"/>
        <v>21000</v>
      </c>
      <c r="H170">
        <f>Horizon!G170+Cadence!G170+'St Rose'!G170+Sloan!G170+Inspirada!G170+'System Wide'!G170</f>
        <v>21000</v>
      </c>
      <c r="I170" s="138">
        <f t="shared" si="69"/>
        <v>0</v>
      </c>
      <c r="K170" s="7">
        <v>25200</v>
      </c>
    </row>
    <row r="171" spans="1:11" x14ac:dyDescent="0.25">
      <c r="A171" s="59">
        <v>443</v>
      </c>
      <c r="B171" s="62" t="s">
        <v>145</v>
      </c>
      <c r="C171" s="7">
        <f>Horizon!C171+Cadence!C171+'St Rose'!C171+Sloan!C171+Inspirada!C171+'System Wide'!C171</f>
        <v>207000</v>
      </c>
      <c r="D171" s="7">
        <f>Horizon!D171+Cadence!D171+'St Rose'!D171+Sloan!D171+Inspirada!D171+'System Wide'!D171</f>
        <v>0</v>
      </c>
      <c r="E171" s="7">
        <f>Horizon!E171+Cadence!E171+'St Rose'!E171+Sloan!E171+Inspirada!E171+'System Wide'!E171</f>
        <v>0</v>
      </c>
      <c r="F171" s="7">
        <f>Horizon!F171+Cadence!F171+'St Rose'!F171+Sloan!F171+Inspirada!F171+'System Wide'!F171</f>
        <v>0</v>
      </c>
      <c r="G171" s="7">
        <f t="shared" si="80"/>
        <v>207000</v>
      </c>
      <c r="H171">
        <f>Horizon!G171+Cadence!G171+'St Rose'!G171+Sloan!G171+Inspirada!G171+'System Wide'!G171</f>
        <v>207000</v>
      </c>
      <c r="I171" s="138">
        <f t="shared" si="69"/>
        <v>0</v>
      </c>
      <c r="K171" s="7">
        <v>367000</v>
      </c>
    </row>
    <row r="172" spans="1:11" ht="15.75" thickBot="1" x14ac:dyDescent="0.3">
      <c r="A172" s="59">
        <v>651</v>
      </c>
      <c r="B172" s="62" t="s">
        <v>146</v>
      </c>
      <c r="C172" s="7">
        <f>Horizon!C172+Cadence!C172+'St Rose'!C172+Sloan!C172+Inspirada!C172+'System Wide'!C172</f>
        <v>12500</v>
      </c>
      <c r="D172" s="7">
        <f>Horizon!D172+Cadence!D172+'St Rose'!D172+Sloan!D172+Inspirada!D172+'System Wide'!D172</f>
        <v>0</v>
      </c>
      <c r="E172" s="7">
        <f>Horizon!E172+Cadence!E172+'St Rose'!E172+Sloan!E172+Inspirada!E172+'System Wide'!E172</f>
        <v>0</v>
      </c>
      <c r="F172" s="7">
        <f>Horizon!F172+Cadence!F172+'St Rose'!F172+Sloan!F172+Inspirada!F172+'System Wide'!F172</f>
        <v>0</v>
      </c>
      <c r="G172" s="7">
        <f t="shared" si="80"/>
        <v>12500</v>
      </c>
      <c r="H172">
        <f>Horizon!G172+Cadence!G172+'St Rose'!G172+Sloan!G172+Inspirada!G172+'System Wide'!G172</f>
        <v>12500</v>
      </c>
      <c r="I172" s="138">
        <f t="shared" si="69"/>
        <v>0</v>
      </c>
      <c r="K172" s="7">
        <v>27176</v>
      </c>
    </row>
    <row r="173" spans="1:11" ht="15.75" thickBot="1" x14ac:dyDescent="0.3">
      <c r="A173" s="88"/>
      <c r="B173" s="95" t="s">
        <v>147</v>
      </c>
      <c r="C173" s="92">
        <f>SUM(C166:C172)</f>
        <v>357950</v>
      </c>
      <c r="D173" s="92">
        <f>SUM(D166:D172)</f>
        <v>0</v>
      </c>
      <c r="E173" s="92">
        <f t="shared" ref="E173:G173" si="81">SUM(E166:E172)</f>
        <v>0</v>
      </c>
      <c r="F173" s="92">
        <f t="shared" si="81"/>
        <v>0</v>
      </c>
      <c r="G173" s="92">
        <f t="shared" si="81"/>
        <v>357950</v>
      </c>
      <c r="H173">
        <f>Horizon!G173+Cadence!G173+'St Rose'!G173+Sloan!G173+Inspirada!G173+'System Wide'!G173</f>
        <v>357950</v>
      </c>
      <c r="I173" s="138">
        <f t="shared" si="69"/>
        <v>0</v>
      </c>
      <c r="K173" s="92">
        <f t="shared" ref="K173" si="82">SUM(K166:K172)</f>
        <v>534926</v>
      </c>
    </row>
    <row r="174" spans="1:11" x14ac:dyDescent="0.25">
      <c r="A174" s="75"/>
      <c r="B174" s="101" t="s">
        <v>148</v>
      </c>
      <c r="C174" s="96"/>
      <c r="D174" s="96"/>
      <c r="E174" s="96"/>
      <c r="F174" s="96"/>
      <c r="G174" s="96"/>
      <c r="H174">
        <f>Horizon!G174+Cadence!G174+'St Rose'!G174+Sloan!G174+Inspirada!G174+'System Wide'!G174</f>
        <v>0</v>
      </c>
      <c r="I174" s="138">
        <f t="shared" si="69"/>
        <v>0</v>
      </c>
      <c r="K174" s="96"/>
    </row>
    <row r="175" spans="1:11" x14ac:dyDescent="0.25">
      <c r="A175" s="59">
        <v>521</v>
      </c>
      <c r="B175" s="62" t="s">
        <v>149</v>
      </c>
      <c r="C175" s="148">
        <f>Horizon!C175+Cadence!C175+'St Rose'!C175+Sloan!C175+Inspirada!C175+'System Wide'!C175</f>
        <v>73002.200000000026</v>
      </c>
      <c r="D175" s="148">
        <f>Horizon!D175+Cadence!D175+'St Rose'!D175+Sloan!D175+Inspirada!D175+'System Wide'!D175</f>
        <v>0</v>
      </c>
      <c r="E175" s="148">
        <f>Horizon!E175+Cadence!E175+'St Rose'!E175+Sloan!E175+Inspirada!E175+'System Wide'!E175</f>
        <v>0</v>
      </c>
      <c r="F175" s="148">
        <f>Horizon!F175+Cadence!F175+'St Rose'!F175+Sloan!F175+Inspirada!F175+'System Wide'!F175</f>
        <v>0</v>
      </c>
      <c r="G175" s="15">
        <f>SUM(C175:F175)</f>
        <v>73002.200000000026</v>
      </c>
      <c r="H175">
        <f>Horizon!G175+Cadence!G175+'St Rose'!G175+Sloan!G175+Inspirada!G175+'System Wide'!G175</f>
        <v>73002.200000000026</v>
      </c>
      <c r="I175" s="138">
        <f t="shared" si="69"/>
        <v>0</v>
      </c>
      <c r="K175" s="15">
        <v>68822</v>
      </c>
    </row>
    <row r="176" spans="1:11" x14ac:dyDescent="0.25">
      <c r="A176" s="59">
        <v>522</v>
      </c>
      <c r="B176" s="62" t="s">
        <v>150</v>
      </c>
      <c r="C176" s="148">
        <f>Horizon!C176+Cadence!C176+'St Rose'!C176+Sloan!C176+Inspirada!C176+'System Wide'!C176</f>
        <v>53741.999999999949</v>
      </c>
      <c r="D176" s="148">
        <f>Horizon!D176+Cadence!D176+'St Rose'!D176+Sloan!D176+Inspirada!D176+'System Wide'!D176</f>
        <v>0</v>
      </c>
      <c r="E176" s="148">
        <f>Horizon!E176+Cadence!E176+'St Rose'!E176+Sloan!E176+Inspirada!E176+'System Wide'!E176</f>
        <v>0</v>
      </c>
      <c r="F176" s="148">
        <f>Horizon!F176+Cadence!F176+'St Rose'!F176+Sloan!F176+Inspirada!F176+'System Wide'!F176</f>
        <v>0</v>
      </c>
      <c r="G176" s="15">
        <f t="shared" ref="G176:G177" si="83">SUM(C176:F176)</f>
        <v>53741.999999999949</v>
      </c>
      <c r="H176">
        <f>Horizon!G176+Cadence!G176+'St Rose'!G176+Sloan!G176+Inspirada!G176+'System Wide'!G176</f>
        <v>53741.999999999949</v>
      </c>
      <c r="I176" s="138">
        <f t="shared" si="69"/>
        <v>0</v>
      </c>
      <c r="K176" s="15">
        <v>45765</v>
      </c>
    </row>
    <row r="177" spans="1:11" ht="15.75" thickBot="1" x14ac:dyDescent="0.3">
      <c r="A177" s="59">
        <v>523</v>
      </c>
      <c r="B177" s="62" t="s">
        <v>151</v>
      </c>
      <c r="C177" s="148">
        <f>Horizon!C177+Cadence!C177+'St Rose'!C177+Sloan!C177+Inspirada!C177+'System Wide'!C177</f>
        <v>129048.00000000012</v>
      </c>
      <c r="D177" s="148">
        <f>Horizon!D177+Cadence!D177+'St Rose'!D177+Sloan!D177+Inspirada!D177+'System Wide'!D177</f>
        <v>0</v>
      </c>
      <c r="E177" s="148">
        <f>Horizon!E177+Cadence!E177+'St Rose'!E177+Sloan!E177+Inspirada!E177+'System Wide'!E177</f>
        <v>0</v>
      </c>
      <c r="F177" s="148">
        <f>Horizon!F177+Cadence!F177+'St Rose'!F177+Sloan!F177+Inspirada!F177+'System Wide'!F177</f>
        <v>0</v>
      </c>
      <c r="G177" s="15">
        <f t="shared" si="83"/>
        <v>129048.00000000012</v>
      </c>
      <c r="H177">
        <f>Horizon!G177+Cadence!G177+'St Rose'!G177+Sloan!G177+Inspirada!G177+'System Wide'!G177</f>
        <v>129048.00000000012</v>
      </c>
      <c r="I177" s="138">
        <f t="shared" si="69"/>
        <v>0</v>
      </c>
      <c r="K177" s="15">
        <v>85860</v>
      </c>
    </row>
    <row r="178" spans="1:11" ht="15.75" thickBot="1" x14ac:dyDescent="0.3">
      <c r="A178" s="88"/>
      <c r="B178" s="95" t="s">
        <v>152</v>
      </c>
      <c r="C178" s="92">
        <f>SUM(C175:C177)</f>
        <v>255792.2000000001</v>
      </c>
      <c r="D178" s="92">
        <f>SUM(D175:D177)</f>
        <v>0</v>
      </c>
      <c r="E178" s="92">
        <f t="shared" ref="E178:G178" si="84">SUM(E175:E177)</f>
        <v>0</v>
      </c>
      <c r="F178" s="92">
        <f t="shared" si="84"/>
        <v>0</v>
      </c>
      <c r="G178" s="92">
        <f t="shared" si="84"/>
        <v>255792.2000000001</v>
      </c>
      <c r="H178">
        <f>Horizon!G178+Cadence!G178+'St Rose'!G178+Sloan!G178+Inspirada!G178+'System Wide'!G178</f>
        <v>255792.20000000004</v>
      </c>
      <c r="I178" s="138">
        <f t="shared" si="69"/>
        <v>0</v>
      </c>
      <c r="K178" s="92">
        <f t="shared" ref="K178" si="85">SUM(K175:K177)</f>
        <v>200447</v>
      </c>
    </row>
    <row r="179" spans="1:11" x14ac:dyDescent="0.25">
      <c r="A179" s="75"/>
      <c r="B179" s="101" t="s">
        <v>153</v>
      </c>
      <c r="C179" s="96" t="str">
        <f>C1</f>
        <v>Operating</v>
      </c>
      <c r="D179" s="96" t="str">
        <f>D1</f>
        <v>Weights</v>
      </c>
      <c r="E179" s="96" t="str">
        <f>E1</f>
        <v>SPED</v>
      </c>
      <c r="F179" s="96" t="str">
        <f t="shared" ref="F179:G179" si="86">F1</f>
        <v>NSLP</v>
      </c>
      <c r="G179" s="96" t="str">
        <f t="shared" si="86"/>
        <v xml:space="preserve"> Pinecrest Totals</v>
      </c>
      <c r="H179" t="e">
        <f>Horizon!G179+Cadence!G179+'St Rose'!G179+Sloan!G179+Inspirada!G179+'System Wide'!G179</f>
        <v>#VALUE!</v>
      </c>
      <c r="I179" s="138" t="e">
        <f t="shared" si="69"/>
        <v>#VALUE!</v>
      </c>
      <c r="K179" s="96" t="str">
        <f t="shared" ref="K179" si="87">K1</f>
        <v>FY21</v>
      </c>
    </row>
    <row r="180" spans="1:11" x14ac:dyDescent="0.25">
      <c r="A180" s="59">
        <v>570</v>
      </c>
      <c r="B180" s="62" t="s">
        <v>154</v>
      </c>
      <c r="C180" s="14">
        <f>Horizon!C180+Cadence!C180+'St Rose'!C180+Sloan!C180+Inspirada!C180+'System Wide'!C180</f>
        <v>0</v>
      </c>
      <c r="D180" s="14">
        <f>Horizon!D180+Cadence!D180+'St Rose'!D180+Sloan!D180+Inspirada!D180+'System Wide'!D180</f>
        <v>0</v>
      </c>
      <c r="E180" s="14">
        <f>Horizon!E180+Cadence!E180+'St Rose'!E180+Sloan!E180+Inspirada!E180+'System Wide'!E180</f>
        <v>0</v>
      </c>
      <c r="F180" s="14">
        <f>Horizon!F180+Cadence!F180+'St Rose'!F180+Sloan!F180+Inspirada!F180+'System Wide'!F180</f>
        <v>898275.86869999999</v>
      </c>
      <c r="G180" s="14">
        <f>SUM(C180:F180)</f>
        <v>898275.86869999999</v>
      </c>
      <c r="H180">
        <f>Horizon!G180+Cadence!G180+'St Rose'!G180+Sloan!G180+Inspirada!G180+'System Wide'!G180</f>
        <v>898275.86869999999</v>
      </c>
      <c r="I180" s="138">
        <f t="shared" si="69"/>
        <v>0</v>
      </c>
      <c r="K180" s="14">
        <v>602102</v>
      </c>
    </row>
    <row r="181" spans="1:11" x14ac:dyDescent="0.25">
      <c r="A181" s="59">
        <v>540</v>
      </c>
      <c r="B181" s="62" t="s">
        <v>155</v>
      </c>
      <c r="C181" s="14">
        <f>Horizon!C181+Cadence!C181+'St Rose'!C181+Sloan!C181+Inspirada!C181+'System Wide'!C181</f>
        <v>15000</v>
      </c>
      <c r="D181" s="14">
        <f>Horizon!D181+Cadence!D181+'St Rose'!D181+Sloan!D181+Inspirada!D181+'System Wide'!D181</f>
        <v>0</v>
      </c>
      <c r="E181" s="14">
        <f>Horizon!E181+Cadence!E181+'St Rose'!E181+Sloan!E181+Inspirada!E181+'System Wide'!E181</f>
        <v>0</v>
      </c>
      <c r="F181" s="14">
        <f>Horizon!F181+Cadence!F181+'St Rose'!F181+Sloan!F181+Inspirada!F181+'System Wide'!F181</f>
        <v>0</v>
      </c>
      <c r="G181" s="14">
        <f t="shared" ref="G181:G188" si="88">SUM(C181:F181)</f>
        <v>15000</v>
      </c>
      <c r="H181">
        <f>Horizon!G181+Cadence!G181+'St Rose'!G181+Sloan!G181+Inspirada!G181+'System Wide'!G181</f>
        <v>15000</v>
      </c>
      <c r="I181" s="138">
        <f t="shared" si="69"/>
        <v>0</v>
      </c>
      <c r="K181" s="14">
        <v>20000</v>
      </c>
    </row>
    <row r="182" spans="1:11" x14ac:dyDescent="0.25">
      <c r="A182" s="59">
        <v>580</v>
      </c>
      <c r="B182" s="62" t="s">
        <v>156</v>
      </c>
      <c r="C182" s="14">
        <f>Horizon!C182+Cadence!C182+'St Rose'!C182+Sloan!C182+Inspirada!C182+'System Wide'!C182</f>
        <v>12800</v>
      </c>
      <c r="D182" s="14">
        <f>Horizon!D182+Cadence!D182+'St Rose'!D182+Sloan!D182+Inspirada!D182+'System Wide'!D182</f>
        <v>0</v>
      </c>
      <c r="E182" s="14">
        <f>Horizon!E182+Cadence!E182+'St Rose'!E182+Sloan!E182+Inspirada!E182+'System Wide'!E182</f>
        <v>0</v>
      </c>
      <c r="F182" s="14">
        <f>Horizon!F182+Cadence!F182+'St Rose'!F182+Sloan!F182+Inspirada!F182+'System Wide'!F182</f>
        <v>0</v>
      </c>
      <c r="G182" s="14">
        <f t="shared" si="88"/>
        <v>12800</v>
      </c>
      <c r="H182">
        <f>Horizon!G182+Cadence!G182+'St Rose'!G182+Sloan!G182+Inspirada!G182+'System Wide'!G182</f>
        <v>12800</v>
      </c>
      <c r="I182" s="138">
        <f t="shared" si="69"/>
        <v>0</v>
      </c>
      <c r="K182" s="14">
        <v>14000</v>
      </c>
    </row>
    <row r="183" spans="1:11" x14ac:dyDescent="0.25">
      <c r="A183" s="59">
        <v>340</v>
      </c>
      <c r="B183" s="62" t="s">
        <v>157</v>
      </c>
      <c r="C183" s="14">
        <f>Horizon!C183+Cadence!C183+'St Rose'!C183+Sloan!C183+Inspirada!C183+'System Wide'!C183</f>
        <v>5040</v>
      </c>
      <c r="D183" s="14">
        <f>Horizon!D183+Cadence!D183+'St Rose'!D183+Sloan!D183+Inspirada!D183+'System Wide'!D183</f>
        <v>0</v>
      </c>
      <c r="E183" s="14">
        <f>Horizon!E183+Cadence!E183+'St Rose'!E183+Sloan!E183+Inspirada!E183+'System Wide'!E183</f>
        <v>0</v>
      </c>
      <c r="F183" s="14">
        <f>Horizon!F183+Cadence!F183+'St Rose'!F183+Sloan!F183+Inspirada!F183+'System Wide'!F183</f>
        <v>0</v>
      </c>
      <c r="G183" s="14">
        <f t="shared" si="88"/>
        <v>5040</v>
      </c>
      <c r="H183">
        <f>Horizon!G183+Cadence!G183+'St Rose'!G183+Sloan!G183+Inspirada!G183+'System Wide'!G183</f>
        <v>5040</v>
      </c>
      <c r="I183" s="138">
        <f t="shared" si="69"/>
        <v>0</v>
      </c>
      <c r="K183" s="14">
        <v>5520</v>
      </c>
    </row>
    <row r="184" spans="1:11" x14ac:dyDescent="0.25">
      <c r="A184" s="79">
        <v>810</v>
      </c>
      <c r="B184" s="62" t="s">
        <v>158</v>
      </c>
      <c r="C184" s="14">
        <f>Horizon!C184+Cadence!C184+'St Rose'!C184+Sloan!C184+Inspirada!C184+'System Wide'!C184</f>
        <v>58500</v>
      </c>
      <c r="D184" s="14">
        <f>Horizon!D184+Cadence!D184+'St Rose'!D184+Sloan!D184+Inspirada!D184+'System Wide'!D184</f>
        <v>0</v>
      </c>
      <c r="E184" s="14">
        <f>Horizon!E184+Cadence!E184+'St Rose'!E184+Sloan!E184+Inspirada!E184+'System Wide'!E184</f>
        <v>0</v>
      </c>
      <c r="F184" s="14">
        <f>Horizon!F184+Cadence!F184+'St Rose'!F184+Sloan!F184+Inspirada!F184+'System Wide'!F184</f>
        <v>0</v>
      </c>
      <c r="G184" s="14">
        <f t="shared" si="88"/>
        <v>58500</v>
      </c>
      <c r="H184">
        <f>Horizon!G184+Cadence!G184+'St Rose'!G184+Sloan!G184+Inspirada!G184+'System Wide'!G184</f>
        <v>58500</v>
      </c>
      <c r="I184" s="138">
        <f t="shared" si="69"/>
        <v>0</v>
      </c>
      <c r="K184" s="14">
        <v>62800</v>
      </c>
    </row>
    <row r="185" spans="1:11" hidden="1" x14ac:dyDescent="0.25">
      <c r="A185" s="64"/>
      <c r="B185" s="62" t="s">
        <v>159</v>
      </c>
      <c r="C185" s="14">
        <f>Horizon!C185+Cadence!C185+'St Rose'!C185+Sloan!C185+Inspirada!C185+'System Wide'!C185</f>
        <v>0</v>
      </c>
      <c r="D185" s="14">
        <f>Horizon!D185+Cadence!D185+'St Rose'!D185+Sloan!D185+Inspirada!D185+'System Wide'!D185</f>
        <v>0</v>
      </c>
      <c r="E185" s="14">
        <f>Horizon!E185+Cadence!E185+'St Rose'!E185+Sloan!E185+Inspirada!E185+'System Wide'!E185</f>
        <v>0</v>
      </c>
      <c r="F185" s="14">
        <f>Horizon!F185+Cadence!F185+'St Rose'!F185+Sloan!F185+Inspirada!F185+'System Wide'!F185</f>
        <v>0</v>
      </c>
      <c r="G185" s="14">
        <f t="shared" si="88"/>
        <v>0</v>
      </c>
      <c r="H185">
        <f>Horizon!G185+Cadence!G185+'St Rose'!G185+Sloan!G185+Inspirada!G185+'System Wide'!G185</f>
        <v>0</v>
      </c>
      <c r="I185" s="138">
        <f t="shared" si="69"/>
        <v>0</v>
      </c>
      <c r="K185" s="14">
        <v>0</v>
      </c>
    </row>
    <row r="186" spans="1:11" hidden="1" x14ac:dyDescent="0.25">
      <c r="A186" s="64"/>
      <c r="B186" s="62" t="s">
        <v>160</v>
      </c>
      <c r="C186" s="14">
        <f>Horizon!C186+Cadence!C186+'St Rose'!C186+Sloan!C186+Inspirada!C186+'System Wide'!C186</f>
        <v>0</v>
      </c>
      <c r="D186" s="14">
        <f>Horizon!D186+Cadence!D186+'St Rose'!D186+Sloan!D186+Inspirada!D186+'System Wide'!D186</f>
        <v>0</v>
      </c>
      <c r="E186" s="14">
        <f>Horizon!E186+Cadence!E186+'St Rose'!E186+Sloan!E186+Inspirada!E186+'System Wide'!E186</f>
        <v>0</v>
      </c>
      <c r="F186" s="14">
        <f>Horizon!F186+Cadence!F186+'St Rose'!F186+Sloan!F186+Inspirada!F186+'System Wide'!F186</f>
        <v>0</v>
      </c>
      <c r="G186" s="14">
        <f t="shared" si="88"/>
        <v>0</v>
      </c>
      <c r="H186">
        <f>Horizon!G186+Cadence!G186+'St Rose'!G186+Sloan!G186+Inspirada!G186+'System Wide'!G186</f>
        <v>0</v>
      </c>
      <c r="I186" s="138">
        <f t="shared" si="69"/>
        <v>0</v>
      </c>
      <c r="K186" s="14">
        <v>30000</v>
      </c>
    </row>
    <row r="187" spans="1:11" x14ac:dyDescent="0.25">
      <c r="A187" s="64"/>
      <c r="B187" s="62" t="s">
        <v>161</v>
      </c>
      <c r="C187" s="14">
        <f>Horizon!C187+Cadence!C187+'St Rose'!C187+Sloan!C187+Inspirada!C187+'System Wide'!C187</f>
        <v>11000</v>
      </c>
      <c r="D187" s="14">
        <f>Horizon!D187+Cadence!D187+'St Rose'!D187+Sloan!D187+Inspirada!D187+'System Wide'!D187</f>
        <v>0</v>
      </c>
      <c r="E187" s="14">
        <f>Horizon!E187+Cadence!E187+'St Rose'!E187+Sloan!E187+Inspirada!E187+'System Wide'!E187</f>
        <v>0</v>
      </c>
      <c r="F187" s="14">
        <f>Horizon!F187+Cadence!F187+'St Rose'!F187+Sloan!F187+Inspirada!F187+'System Wide'!F187</f>
        <v>0</v>
      </c>
      <c r="G187" s="14">
        <f t="shared" si="88"/>
        <v>11000</v>
      </c>
      <c r="H187">
        <f>Horizon!G187+Cadence!G187+'St Rose'!G187+Sloan!G187+Inspirada!G187+'System Wide'!G187</f>
        <v>11000</v>
      </c>
      <c r="I187" s="138">
        <f t="shared" si="69"/>
        <v>0</v>
      </c>
      <c r="K187" s="14">
        <v>11000</v>
      </c>
    </row>
    <row r="188" spans="1:11" ht="15.75" thickBot="1" x14ac:dyDescent="0.3">
      <c r="A188" s="59">
        <v>900</v>
      </c>
      <c r="B188" s="62" t="s">
        <v>162</v>
      </c>
      <c r="C188" s="14">
        <f>Horizon!C188+Cadence!C188+'St Rose'!C188+Sloan!C188+Inspirada!C188+'System Wide'!C188</f>
        <v>8500</v>
      </c>
      <c r="D188" s="14">
        <f>Horizon!D188+Cadence!D188+'St Rose'!D188+Sloan!D188+Inspirada!D188+'System Wide'!D188</f>
        <v>0</v>
      </c>
      <c r="E188" s="14">
        <f>Horizon!E188+Cadence!E188+'St Rose'!E188+Sloan!E188+Inspirada!E188+'System Wide'!E188</f>
        <v>0</v>
      </c>
      <c r="F188" s="14">
        <f>Horizon!F188+Cadence!F188+'St Rose'!F188+Sloan!F188+Inspirada!F188+'System Wide'!F188</f>
        <v>0</v>
      </c>
      <c r="G188" s="14">
        <f t="shared" si="88"/>
        <v>8500</v>
      </c>
      <c r="H188">
        <f>Horizon!G188+Cadence!G188+'St Rose'!G188+Sloan!G188+Inspirada!G188+'System Wide'!G188</f>
        <v>8500</v>
      </c>
      <c r="I188" s="138">
        <f t="shared" si="69"/>
        <v>0</v>
      </c>
      <c r="K188" s="14">
        <v>10250</v>
      </c>
    </row>
    <row r="189" spans="1:11" ht="15.75" thickBot="1" x14ac:dyDescent="0.3">
      <c r="A189" s="88"/>
      <c r="B189" s="95" t="s">
        <v>163</v>
      </c>
      <c r="C189" s="92">
        <f>SUM(C180:C188)</f>
        <v>110840</v>
      </c>
      <c r="D189" s="92">
        <f>SUM(D180:D188)</f>
        <v>0</v>
      </c>
      <c r="E189" s="92">
        <f t="shared" ref="E189:G189" si="89">SUM(E180:E188)</f>
        <v>0</v>
      </c>
      <c r="F189" s="92">
        <f t="shared" si="89"/>
        <v>898275.86869999999</v>
      </c>
      <c r="G189" s="92">
        <f t="shared" si="89"/>
        <v>1009115.8687</v>
      </c>
      <c r="H189">
        <f>Horizon!G189+Cadence!G189+'St Rose'!G189+Sloan!G189+Inspirada!G189+'System Wide'!G189</f>
        <v>1009115.8687</v>
      </c>
      <c r="I189" s="138">
        <f t="shared" si="69"/>
        <v>0</v>
      </c>
      <c r="K189" s="92">
        <f t="shared" ref="K189" si="90">SUM(K180:K188)</f>
        <v>755672</v>
      </c>
    </row>
    <row r="190" spans="1:11" x14ac:dyDescent="0.25">
      <c r="A190" s="75"/>
      <c r="B190" s="101" t="s">
        <v>164</v>
      </c>
      <c r="C190" s="77" t="str">
        <f>C179</f>
        <v>Operating</v>
      </c>
      <c r="D190" s="77" t="str">
        <f>D179</f>
        <v>Weights</v>
      </c>
      <c r="E190" s="77" t="str">
        <f>E179</f>
        <v>SPED</v>
      </c>
      <c r="F190" s="77" t="str">
        <f t="shared" ref="F190:G190" si="91">F179</f>
        <v>NSLP</v>
      </c>
      <c r="G190" s="77" t="str">
        <f t="shared" si="91"/>
        <v xml:space="preserve"> Pinecrest Totals</v>
      </c>
      <c r="H190" t="e">
        <f>Horizon!G190+Cadence!G190+'St Rose'!G190+Sloan!G190+Inspirada!G190+'System Wide'!G190</f>
        <v>#VALUE!</v>
      </c>
      <c r="I190" s="138" t="e">
        <f t="shared" si="69"/>
        <v>#VALUE!</v>
      </c>
      <c r="K190" s="77" t="str">
        <f t="shared" ref="K190" si="92">K179</f>
        <v>FY21</v>
      </c>
    </row>
    <row r="191" spans="1:11" x14ac:dyDescent="0.25">
      <c r="A191" s="93">
        <v>622</v>
      </c>
      <c r="B191" s="62" t="s">
        <v>165</v>
      </c>
      <c r="C191" s="61">
        <f>Horizon!C191+Cadence!C191+'St Rose'!C191+Sloan!C191+Inspirada!C191+'System Wide'!C191</f>
        <v>555000</v>
      </c>
      <c r="D191" s="61">
        <f>Horizon!D191+Cadence!D191+'St Rose'!D191+Sloan!D191+Inspirada!D191+'System Wide'!D191</f>
        <v>0</v>
      </c>
      <c r="E191" s="61">
        <f>Horizon!E191+Cadence!E191+'St Rose'!E191+Sloan!E191+Inspirada!E191+'System Wide'!E191</f>
        <v>0</v>
      </c>
      <c r="F191" s="61">
        <f>Horizon!F191+Cadence!F191+'St Rose'!F191+Sloan!F191+Inspirada!F191+'System Wide'!F191</f>
        <v>0</v>
      </c>
      <c r="G191" s="61">
        <f>SUM(C191:F191)</f>
        <v>555000</v>
      </c>
      <c r="H191">
        <f>Horizon!G191+Cadence!G191+'St Rose'!G191+Sloan!G191+Inspirada!G191+'System Wide'!G191</f>
        <v>555000</v>
      </c>
      <c r="I191" s="138">
        <f t="shared" si="69"/>
        <v>0</v>
      </c>
      <c r="K191" s="61">
        <v>428500</v>
      </c>
    </row>
    <row r="192" spans="1:11" x14ac:dyDescent="0.25">
      <c r="A192" s="59">
        <v>621</v>
      </c>
      <c r="B192" s="62" t="s">
        <v>166</v>
      </c>
      <c r="C192" s="61">
        <f>Horizon!C192+Cadence!C192+'St Rose'!C192+Sloan!C192+Inspirada!C192+'System Wide'!C192</f>
        <v>6000</v>
      </c>
      <c r="D192" s="61">
        <f>Horizon!D192+Cadence!D192+'St Rose'!D192+Sloan!D192+Inspirada!D192+'System Wide'!D192</f>
        <v>0</v>
      </c>
      <c r="E192" s="61">
        <f>Horizon!E192+Cadence!E192+'St Rose'!E192+Sloan!E192+Inspirada!E192+'System Wide'!E192</f>
        <v>0</v>
      </c>
      <c r="F192" s="61">
        <f>Horizon!F192+Cadence!F192+'St Rose'!F192+Sloan!F192+Inspirada!F192+'System Wide'!F192</f>
        <v>0</v>
      </c>
      <c r="G192" s="61">
        <f t="shared" ref="G192:G201" si="93">SUM(C192:F192)</f>
        <v>6000</v>
      </c>
      <c r="H192">
        <f>Horizon!G192+Cadence!G192+'St Rose'!G192+Sloan!G192+Inspirada!G192+'System Wide'!G192</f>
        <v>6000</v>
      </c>
      <c r="I192" s="138">
        <f t="shared" si="69"/>
        <v>0</v>
      </c>
      <c r="K192" s="61">
        <v>0</v>
      </c>
    </row>
    <row r="193" spans="1:11" x14ac:dyDescent="0.25">
      <c r="A193" s="59">
        <v>411</v>
      </c>
      <c r="B193" s="62" t="s">
        <v>167</v>
      </c>
      <c r="C193" s="61">
        <f>Horizon!C193+Cadence!C193+'St Rose'!C193+Sloan!C193+Inspirada!C193+'System Wide'!C193</f>
        <v>143000</v>
      </c>
      <c r="D193" s="61">
        <f>Horizon!D193+Cadence!D193+'St Rose'!D193+Sloan!D193+Inspirada!D193+'System Wide'!D193</f>
        <v>0</v>
      </c>
      <c r="E193" s="61">
        <f>Horizon!E193+Cadence!E193+'St Rose'!E193+Sloan!E193+Inspirada!E193+'System Wide'!E193</f>
        <v>0</v>
      </c>
      <c r="F193" s="61">
        <f>Horizon!F193+Cadence!F193+'St Rose'!F193+Sloan!F193+Inspirada!F193+'System Wide'!F193</f>
        <v>0</v>
      </c>
      <c r="G193" s="61">
        <f t="shared" si="93"/>
        <v>143000</v>
      </c>
      <c r="H193">
        <f>Horizon!G193+Cadence!G193+'St Rose'!G193+Sloan!G193+Inspirada!G193+'System Wide'!G193</f>
        <v>143000</v>
      </c>
      <c r="I193" s="138">
        <f t="shared" si="69"/>
        <v>0</v>
      </c>
      <c r="K193" s="61">
        <v>219500</v>
      </c>
    </row>
    <row r="194" spans="1:11" x14ac:dyDescent="0.25">
      <c r="A194" s="59">
        <v>422</v>
      </c>
      <c r="B194" s="62" t="s">
        <v>168</v>
      </c>
      <c r="C194" s="61">
        <f>Horizon!C194+Cadence!C194+'St Rose'!C194+Sloan!C194+Inspirada!C194+'System Wide'!C194</f>
        <v>128872</v>
      </c>
      <c r="D194" s="61">
        <f>Horizon!D194+Cadence!D194+'St Rose'!D194+Sloan!D194+Inspirada!D194+'System Wide'!D194</f>
        <v>0</v>
      </c>
      <c r="E194" s="61">
        <f>Horizon!E194+Cadence!E194+'St Rose'!E194+Sloan!E194+Inspirada!E194+'System Wide'!E194</f>
        <v>0</v>
      </c>
      <c r="F194" s="61">
        <f>Horizon!F194+Cadence!F194+'St Rose'!F194+Sloan!F194+Inspirada!F194+'System Wide'!F194</f>
        <v>0</v>
      </c>
      <c r="G194" s="61">
        <f t="shared" si="93"/>
        <v>128872</v>
      </c>
      <c r="H194">
        <f>Horizon!G194+Cadence!G194+'St Rose'!G194+Sloan!G194+Inspirada!G194+'System Wide'!G194</f>
        <v>128872</v>
      </c>
      <c r="I194" s="138">
        <f t="shared" si="69"/>
        <v>0</v>
      </c>
      <c r="K194" s="61">
        <v>113500</v>
      </c>
    </row>
    <row r="195" spans="1:11" x14ac:dyDescent="0.25">
      <c r="A195" s="59">
        <v>490</v>
      </c>
      <c r="B195" s="62" t="s">
        <v>169</v>
      </c>
      <c r="C195" s="61">
        <f>Horizon!C195+Cadence!C195+'St Rose'!C195+Sloan!C195+Inspirada!C195+'System Wide'!C195</f>
        <v>50900</v>
      </c>
      <c r="D195" s="61">
        <f>Horizon!D195+Cadence!D195+'St Rose'!D195+Sloan!D195+Inspirada!D195+'System Wide'!D195</f>
        <v>0</v>
      </c>
      <c r="E195" s="61">
        <f>Horizon!E195+Cadence!E195+'St Rose'!E195+Sloan!E195+Inspirada!E195+'System Wide'!E195</f>
        <v>0</v>
      </c>
      <c r="F195" s="61">
        <f>Horizon!F195+Cadence!F195+'St Rose'!F195+Sloan!F195+Inspirada!F195+'System Wide'!F195</f>
        <v>0</v>
      </c>
      <c r="G195" s="61">
        <f t="shared" si="93"/>
        <v>50900</v>
      </c>
      <c r="H195">
        <f>Horizon!G195+Cadence!G195+'St Rose'!G195+Sloan!G195+Inspirada!G195+'System Wide'!G195</f>
        <v>50900</v>
      </c>
      <c r="I195" s="138">
        <f t="shared" si="69"/>
        <v>0</v>
      </c>
      <c r="K195" s="61">
        <v>50000</v>
      </c>
    </row>
    <row r="196" spans="1:11" x14ac:dyDescent="0.25">
      <c r="A196" s="59">
        <v>422</v>
      </c>
      <c r="B196" s="62" t="s">
        <v>170</v>
      </c>
      <c r="C196" s="61">
        <f>Horizon!C196+Cadence!C196+'St Rose'!C196+Sloan!C196+Inspirada!C196+'System Wide'!C196</f>
        <v>672945</v>
      </c>
      <c r="D196" s="61">
        <f>Horizon!D196+Cadence!D196+'St Rose'!D196+Sloan!D196+Inspirada!D196+'System Wide'!D196</f>
        <v>0</v>
      </c>
      <c r="E196" s="61">
        <f>Horizon!E196+Cadence!E196+'St Rose'!E196+Sloan!E196+Inspirada!E196+'System Wide'!E196</f>
        <v>0</v>
      </c>
      <c r="F196" s="61">
        <f>Horizon!F196+Cadence!F196+'St Rose'!F196+Sloan!F196+Inspirada!F196+'System Wide'!F196</f>
        <v>0</v>
      </c>
      <c r="G196" s="61">
        <f t="shared" si="93"/>
        <v>672945</v>
      </c>
      <c r="H196">
        <f>Horizon!G196+Cadence!G196+'St Rose'!G196+Sloan!G196+Inspirada!G196+'System Wide'!G196</f>
        <v>672945</v>
      </c>
      <c r="I196" s="138">
        <f t="shared" si="69"/>
        <v>0</v>
      </c>
      <c r="K196" s="61">
        <v>802540</v>
      </c>
    </row>
    <row r="197" spans="1:11" x14ac:dyDescent="0.25">
      <c r="A197" s="59">
        <v>610</v>
      </c>
      <c r="B197" s="62" t="s">
        <v>171</v>
      </c>
      <c r="C197" s="61">
        <f>Horizon!C197+Cadence!C197+'St Rose'!C197+Sloan!C197+Inspirada!C197+'System Wide'!C197</f>
        <v>209370</v>
      </c>
      <c r="D197" s="61">
        <f>Horizon!D197+Cadence!D197+'St Rose'!D197+Sloan!D197+Inspirada!D197+'System Wide'!D197</f>
        <v>0</v>
      </c>
      <c r="E197" s="61">
        <f>Horizon!E197+Cadence!E197+'St Rose'!E197+Sloan!E197+Inspirada!E197+'System Wide'!E197</f>
        <v>0</v>
      </c>
      <c r="F197" s="61">
        <f>Horizon!F197+Cadence!F197+'St Rose'!F197+Sloan!F197+Inspirada!F197+'System Wide'!F197</f>
        <v>0</v>
      </c>
      <c r="G197" s="61">
        <f t="shared" si="93"/>
        <v>209370</v>
      </c>
      <c r="H197">
        <f>Horizon!G197+Cadence!G197+'St Rose'!G197+Sloan!G197+Inspirada!G197+'System Wide'!G197</f>
        <v>209370</v>
      </c>
      <c r="I197" s="138">
        <f t="shared" si="69"/>
        <v>0</v>
      </c>
      <c r="K197" s="61">
        <v>243520</v>
      </c>
    </row>
    <row r="198" spans="1:11" x14ac:dyDescent="0.25">
      <c r="A198" s="59" t="s">
        <v>172</v>
      </c>
      <c r="B198" s="62" t="s">
        <v>173</v>
      </c>
      <c r="C198" s="61">
        <f>Horizon!C198+Cadence!C198+'St Rose'!C198+Sloan!C198+Inspirada!C198+'System Wide'!C198</f>
        <v>307500</v>
      </c>
      <c r="D198" s="61">
        <f>Horizon!D198+Cadence!D198+'St Rose'!D198+Sloan!D198+Inspirada!D198+'System Wide'!D198</f>
        <v>0</v>
      </c>
      <c r="E198" s="61">
        <f>Horizon!E198+Cadence!E198+'St Rose'!E198+Sloan!E198+Inspirada!E198+'System Wide'!E198</f>
        <v>0</v>
      </c>
      <c r="F198" s="61">
        <f>Horizon!F198+Cadence!F198+'St Rose'!F198+Sloan!F198+Inspirada!F198+'System Wide'!F198</f>
        <v>0</v>
      </c>
      <c r="G198" s="61">
        <f t="shared" si="93"/>
        <v>307500</v>
      </c>
      <c r="H198">
        <f>Horizon!G198+Cadence!G198+'St Rose'!G198+Sloan!G198+Inspirada!G198+'System Wide'!G198</f>
        <v>307500</v>
      </c>
      <c r="I198" s="138">
        <f t="shared" si="69"/>
        <v>0</v>
      </c>
      <c r="K198" s="61">
        <v>278000</v>
      </c>
    </row>
    <row r="199" spans="1:11" x14ac:dyDescent="0.25">
      <c r="A199" s="59">
        <v>420</v>
      </c>
      <c r="B199" s="62" t="s">
        <v>174</v>
      </c>
      <c r="C199" s="61">
        <f>Horizon!C199+Cadence!C199+'St Rose'!C199+Sloan!C199+Inspirada!C199+'System Wide'!C199</f>
        <v>75500</v>
      </c>
      <c r="D199" s="61">
        <f>Horizon!D199+Cadence!D199+'St Rose'!D199+Sloan!D199+Inspirada!D199+'System Wide'!D199</f>
        <v>0</v>
      </c>
      <c r="E199" s="61">
        <f>Horizon!E199+Cadence!E199+'St Rose'!E199+Sloan!E199+Inspirada!E199+'System Wide'!E199</f>
        <v>0</v>
      </c>
      <c r="F199" s="61">
        <f>Horizon!F199+Cadence!F199+'St Rose'!F199+Sloan!F199+Inspirada!F199+'System Wide'!F199</f>
        <v>0</v>
      </c>
      <c r="G199" s="61">
        <f t="shared" si="93"/>
        <v>75500</v>
      </c>
      <c r="H199">
        <f>Horizon!G199+Cadence!G199+'St Rose'!G199+Sloan!G199+Inspirada!G199+'System Wide'!G199</f>
        <v>75500</v>
      </c>
      <c r="I199" s="138">
        <f t="shared" si="69"/>
        <v>0</v>
      </c>
      <c r="K199" s="61">
        <v>54600</v>
      </c>
    </row>
    <row r="200" spans="1:11" x14ac:dyDescent="0.25">
      <c r="A200" s="59">
        <v>420</v>
      </c>
      <c r="B200" s="62" t="s">
        <v>175</v>
      </c>
      <c r="C200" s="61">
        <f>Horizon!C200+Cadence!C200+'St Rose'!C200+Sloan!C200+Inspirada!C200+'System Wide'!C200</f>
        <v>0</v>
      </c>
      <c r="D200" s="61">
        <f>Horizon!D200+Cadence!D200+'St Rose'!D200+Sloan!D200+Inspirada!D200+'System Wide'!D200</f>
        <v>0</v>
      </c>
      <c r="E200" s="61">
        <f>Horizon!E200+Cadence!E200+'St Rose'!E200+Sloan!E200+Inspirada!E200+'System Wide'!E200</f>
        <v>0</v>
      </c>
      <c r="F200" s="61">
        <f>Horizon!F200+Cadence!F200+'St Rose'!F200+Sloan!F200+Inspirada!F200+'System Wide'!F200</f>
        <v>0</v>
      </c>
      <c r="G200" s="61">
        <f t="shared" si="93"/>
        <v>0</v>
      </c>
      <c r="H200">
        <f>Horizon!G200+Cadence!G200+'St Rose'!G200+Sloan!G200+Inspirada!G200+'System Wide'!G200</f>
        <v>0</v>
      </c>
      <c r="I200" s="138">
        <f t="shared" si="69"/>
        <v>0</v>
      </c>
      <c r="K200" s="61">
        <v>0</v>
      </c>
    </row>
    <row r="201" spans="1:11" ht="15.75" thickBot="1" x14ac:dyDescent="0.3">
      <c r="A201" s="63">
        <v>431</v>
      </c>
      <c r="B201" s="62" t="s">
        <v>176</v>
      </c>
      <c r="C201" s="61">
        <f>Horizon!C201+Cadence!C201+'St Rose'!C201+Sloan!C201+Inspirada!C201+'System Wide'!C201</f>
        <v>109844</v>
      </c>
      <c r="D201" s="61">
        <f>Horizon!D201+Cadence!D201+'St Rose'!D201+Sloan!D201+Inspirada!D201+'System Wide'!D201</f>
        <v>0</v>
      </c>
      <c r="E201" s="61">
        <f>Horizon!E201+Cadence!E201+'St Rose'!E201+Sloan!E201+Inspirada!E201+'System Wide'!E201</f>
        <v>0</v>
      </c>
      <c r="F201" s="61">
        <f>Horizon!F201+Cadence!F201+'St Rose'!F201+Sloan!F201+Inspirada!F201+'System Wide'!F201</f>
        <v>0</v>
      </c>
      <c r="G201" s="61">
        <f t="shared" si="93"/>
        <v>109844</v>
      </c>
      <c r="H201">
        <f>Horizon!G201+Cadence!G201+'St Rose'!G201+Sloan!G201+Inspirada!G201+'System Wide'!G201</f>
        <v>109844</v>
      </c>
      <c r="I201" s="138">
        <f t="shared" si="69"/>
        <v>0</v>
      </c>
      <c r="K201" s="61">
        <v>55080</v>
      </c>
    </row>
    <row r="202" spans="1:11" ht="15.75" thickBot="1" x14ac:dyDescent="0.3">
      <c r="A202" s="88"/>
      <c r="B202" s="95" t="s">
        <v>177</v>
      </c>
      <c r="C202" s="90">
        <f>SUM(C191:C201)</f>
        <v>2258931</v>
      </c>
      <c r="D202" s="90">
        <f>SUM(D191:D201)</f>
        <v>0</v>
      </c>
      <c r="E202" s="90">
        <f>SUM(E191:E201)</f>
        <v>0</v>
      </c>
      <c r="F202" s="90">
        <f t="shared" ref="F202:G202" si="94">SUM(F191:F201)</f>
        <v>0</v>
      </c>
      <c r="G202" s="90">
        <f t="shared" si="94"/>
        <v>2258931</v>
      </c>
      <c r="H202">
        <f>Horizon!G202+Cadence!G202+'St Rose'!G202+Sloan!G202+Inspirada!G202+'System Wide'!G202</f>
        <v>2258931</v>
      </c>
      <c r="I202" s="138">
        <f t="shared" si="69"/>
        <v>0</v>
      </c>
      <c r="K202" s="90">
        <f t="shared" ref="K202" si="95">SUM(K191:K201)</f>
        <v>2245240</v>
      </c>
    </row>
    <row r="203" spans="1:11" ht="15.75" thickBot="1" x14ac:dyDescent="0.3">
      <c r="A203" s="69"/>
      <c r="B203" s="102"/>
      <c r="C203" s="103"/>
      <c r="D203" s="103"/>
      <c r="E203" s="103"/>
      <c r="F203" s="103"/>
      <c r="G203" s="103"/>
      <c r="H203">
        <f>Horizon!G203+Cadence!G203+'St Rose'!G203+Sloan!G203+Inspirada!G203+'System Wide'!G203</f>
        <v>0</v>
      </c>
      <c r="I203" s="138">
        <f t="shared" ref="I203:I217" si="96">G203-H203</f>
        <v>0</v>
      </c>
      <c r="K203" s="103"/>
    </row>
    <row r="204" spans="1:11" ht="15.75" thickBot="1" x14ac:dyDescent="0.3">
      <c r="A204" s="69"/>
      <c r="B204" s="95" t="s">
        <v>178</v>
      </c>
      <c r="C204" s="104">
        <f>C137+C149+C164+C173+C178+C189+C202</f>
        <v>37834542.2565405</v>
      </c>
      <c r="D204" s="104">
        <f>D137+D149+D164+D173+D178+D189+D202</f>
        <v>885902.30774999992</v>
      </c>
      <c r="E204" s="104">
        <f>E137+E149+E164+E173+E178+E189+E202</f>
        <v>5428613.8340694997</v>
      </c>
      <c r="F204" s="104">
        <f t="shared" ref="F204" si="97">F137+F149+F164+F173+F178+F189+F202</f>
        <v>1158197.6749499999</v>
      </c>
      <c r="G204" s="104">
        <f>G137+G149+G164+G173+G178+G189+G202</f>
        <v>45307256.073309995</v>
      </c>
      <c r="H204">
        <f>Horizon!G204+Cadence!G204+'St Rose'!G204+Sloan!G204+Inspirada!G204+'System Wide'!G204</f>
        <v>45307256.073310003</v>
      </c>
      <c r="I204" s="138">
        <f t="shared" si="96"/>
        <v>0</v>
      </c>
      <c r="K204" s="104">
        <f>K137+K149+K164+K173+K178+K189+K202</f>
        <v>41172451</v>
      </c>
    </row>
    <row r="205" spans="1:11" x14ac:dyDescent="0.25">
      <c r="A205" s="69"/>
      <c r="B205" s="105"/>
      <c r="C205" s="61"/>
      <c r="D205" s="61"/>
      <c r="E205" s="61"/>
      <c r="F205" s="61"/>
      <c r="G205" s="61"/>
      <c r="H205">
        <f>Horizon!G205+Cadence!G205+'St Rose'!G205+Sloan!G205+Inspirada!G205+'System Wide'!G205</f>
        <v>0</v>
      </c>
      <c r="I205" s="138">
        <f t="shared" si="96"/>
        <v>0</v>
      </c>
      <c r="K205" s="61"/>
    </row>
    <row r="206" spans="1:11" x14ac:dyDescent="0.25">
      <c r="A206" s="69"/>
      <c r="B206" s="106" t="s">
        <v>179</v>
      </c>
      <c r="C206" s="7">
        <f>Horizon!C206+Cadence!C206+'St Rose'!C206+Sloan!C206+Inspirada!C206+'System Wide'!C206</f>
        <v>0</v>
      </c>
      <c r="D206" s="7">
        <f>Horizon!D206+Cadence!D206+'St Rose'!D206+Sloan!D206+Inspirada!D206+'System Wide'!D206</f>
        <v>0</v>
      </c>
      <c r="E206" s="7">
        <f>Horizon!E206+Cadence!E206+'St Rose'!E206+Sloan!E206+Inspirada!E206+'System Wide'!E206</f>
        <v>0</v>
      </c>
      <c r="F206" s="7">
        <f>Horizon!F206+Cadence!F206+'St Rose'!F206+Sloan!F206+Inspirada!F206+'System Wide'!F206</f>
        <v>0</v>
      </c>
      <c r="G206" s="7">
        <v>0</v>
      </c>
      <c r="H206">
        <f>Horizon!G206+Cadence!G206+'St Rose'!G206+Sloan!G206+Inspirada!G206+'System Wide'!G206</f>
        <v>0</v>
      </c>
      <c r="I206" s="138">
        <f t="shared" si="96"/>
        <v>0</v>
      </c>
      <c r="K206" s="7">
        <v>320000</v>
      </c>
    </row>
    <row r="207" spans="1:11" x14ac:dyDescent="0.25">
      <c r="A207" s="69"/>
      <c r="B207" s="106" t="s">
        <v>180</v>
      </c>
      <c r="C207" s="7">
        <f>Horizon!C207+Cadence!C207+'St Rose'!C207+Sloan!C207+Inspirada!C207+'System Wide'!C207</f>
        <v>7474758</v>
      </c>
      <c r="D207" s="7">
        <f>Horizon!D207+Cadence!D207+'St Rose'!D207+Sloan!D207+Inspirada!D207+'System Wide'!D207</f>
        <v>0</v>
      </c>
      <c r="E207" s="7">
        <f>Horizon!E207+Cadence!E207+'St Rose'!E207+Sloan!E207+Inspirada!E207+'System Wide'!E207</f>
        <v>0</v>
      </c>
      <c r="F207" s="7">
        <f>Horizon!F207+Cadence!F207+'St Rose'!F207+Sloan!F207+Inspirada!F207+'System Wide'!F207</f>
        <v>0</v>
      </c>
      <c r="G207" s="7">
        <f t="shared" ref="G207:G215" si="98">SUM(C207:F207)</f>
        <v>7474758</v>
      </c>
      <c r="H207">
        <f>Horizon!G207+Cadence!G207+'St Rose'!G207+Sloan!G207+Inspirada!G207+'System Wide'!G207</f>
        <v>7474758</v>
      </c>
      <c r="I207" s="138">
        <f t="shared" si="96"/>
        <v>0</v>
      </c>
      <c r="K207" s="7">
        <v>5283959</v>
      </c>
    </row>
    <row r="208" spans="1:11" hidden="1" x14ac:dyDescent="0.25">
      <c r="A208" s="69"/>
      <c r="B208" s="106"/>
      <c r="C208" s="7">
        <f>Horizon!C208+Cadence!C208+'St Rose'!C208+Sloan!C208+Inspirada!C208+'System Wide'!C208</f>
        <v>0</v>
      </c>
      <c r="D208" s="7">
        <f>Horizon!D208+Cadence!D208+'St Rose'!D208+Sloan!D208+Inspirada!D208+'System Wide'!D208</f>
        <v>0</v>
      </c>
      <c r="E208" s="7">
        <f>Horizon!E208+Cadence!E208+'St Rose'!E208+Sloan!E208+Inspirada!E208+'System Wide'!E208</f>
        <v>0</v>
      </c>
      <c r="F208" s="7">
        <f>Horizon!F208+Cadence!F208+'St Rose'!F208+Sloan!F208+Inspirada!F208+'System Wide'!F208</f>
        <v>0</v>
      </c>
      <c r="G208" s="7">
        <f t="shared" si="98"/>
        <v>0</v>
      </c>
      <c r="H208">
        <f>Horizon!G208+Cadence!G208+'St Rose'!G208+Sloan!G208+Inspirada!G208+'System Wide'!G208</f>
        <v>0</v>
      </c>
      <c r="I208" s="138">
        <f t="shared" si="96"/>
        <v>0</v>
      </c>
      <c r="K208" s="7"/>
    </row>
    <row r="209" spans="1:11" hidden="1" x14ac:dyDescent="0.25">
      <c r="A209" s="69"/>
      <c r="B209" s="106"/>
      <c r="C209" s="7">
        <f>Horizon!C209+Cadence!C209+'St Rose'!C209+Sloan!C209+Inspirada!C209+'System Wide'!C209</f>
        <v>0</v>
      </c>
      <c r="D209" s="7">
        <f>Horizon!D209+Cadence!D209+'St Rose'!D209+Sloan!D209+Inspirada!D209+'System Wide'!D209</f>
        <v>0</v>
      </c>
      <c r="E209" s="7">
        <f>Horizon!E209+Cadence!E209+'St Rose'!E209+Sloan!E209+Inspirada!E209+'System Wide'!E209</f>
        <v>0</v>
      </c>
      <c r="F209" s="7">
        <f>Horizon!F209+Cadence!F209+'St Rose'!F209+Sloan!F209+Inspirada!F209+'System Wide'!F209</f>
        <v>0</v>
      </c>
      <c r="G209" s="7">
        <f t="shared" si="98"/>
        <v>0</v>
      </c>
      <c r="H209">
        <f>Horizon!G209+Cadence!G209+'St Rose'!G209+Sloan!G209+Inspirada!G209+'System Wide'!G209</f>
        <v>0</v>
      </c>
      <c r="I209" s="138">
        <f t="shared" si="96"/>
        <v>0</v>
      </c>
      <c r="K209" s="7"/>
    </row>
    <row r="210" spans="1:11" hidden="1" x14ac:dyDescent="0.25">
      <c r="A210" s="69"/>
      <c r="B210" s="106"/>
      <c r="C210" s="7">
        <f>Horizon!C210+Cadence!C210+'St Rose'!C210+Sloan!C210+Inspirada!C210+'System Wide'!C210</f>
        <v>0</v>
      </c>
      <c r="D210" s="7">
        <f>Horizon!D210+Cadence!D210+'St Rose'!D210+Sloan!D210+Inspirada!D210+'System Wide'!D210</f>
        <v>0</v>
      </c>
      <c r="E210" s="7">
        <f>Horizon!E210+Cadence!E210+'St Rose'!E210+Sloan!E210+Inspirada!E210+'System Wide'!E210</f>
        <v>0</v>
      </c>
      <c r="F210" s="7">
        <f>Horizon!F210+Cadence!F210+'St Rose'!F210+Sloan!F210+Inspirada!F210+'System Wide'!F210</f>
        <v>0</v>
      </c>
      <c r="G210" s="7">
        <f t="shared" si="98"/>
        <v>0</v>
      </c>
      <c r="H210">
        <f>Horizon!G210+Cadence!G210+'St Rose'!G210+Sloan!G210+Inspirada!G210+'System Wide'!G210</f>
        <v>0</v>
      </c>
      <c r="I210" s="138">
        <f t="shared" si="96"/>
        <v>0</v>
      </c>
      <c r="K210" s="7"/>
    </row>
    <row r="211" spans="1:11" hidden="1" x14ac:dyDescent="0.25">
      <c r="A211" s="69"/>
      <c r="B211" s="106"/>
      <c r="C211" s="7">
        <f>Horizon!C211+Cadence!C211+'St Rose'!C211+Sloan!C211+Inspirada!C211+'System Wide'!C211</f>
        <v>0</v>
      </c>
      <c r="D211" s="7">
        <f>Horizon!D211+Cadence!D211+'St Rose'!D211+Sloan!D211+Inspirada!D211+'System Wide'!D211</f>
        <v>0</v>
      </c>
      <c r="E211" s="7">
        <f>Horizon!E211+Cadence!E211+'St Rose'!E211+Sloan!E211+Inspirada!E211+'System Wide'!E211</f>
        <v>0</v>
      </c>
      <c r="F211" s="7">
        <f>Horizon!F211+Cadence!F211+'St Rose'!F211+Sloan!F211+Inspirada!F211+'System Wide'!F211</f>
        <v>0</v>
      </c>
      <c r="G211" s="7">
        <f t="shared" si="98"/>
        <v>0</v>
      </c>
      <c r="H211">
        <f>Horizon!G211+Cadence!G211+'St Rose'!G211+Sloan!G211+Inspirada!G211+'System Wide'!G211</f>
        <v>0</v>
      </c>
      <c r="I211" s="138">
        <f t="shared" si="96"/>
        <v>0</v>
      </c>
      <c r="K211" s="7"/>
    </row>
    <row r="212" spans="1:11" hidden="1" x14ac:dyDescent="0.25">
      <c r="A212" s="69"/>
      <c r="B212" s="106"/>
      <c r="C212" s="7">
        <f>Horizon!C212+Cadence!C212+'St Rose'!C212+Sloan!C212+Inspirada!C212+'System Wide'!C212</f>
        <v>0</v>
      </c>
      <c r="D212" s="7">
        <f>Horizon!D212+Cadence!D212+'St Rose'!D212+Sloan!D212+Inspirada!D212+'System Wide'!D212</f>
        <v>0</v>
      </c>
      <c r="E212" s="7">
        <f>Horizon!E212+Cadence!E212+'St Rose'!E212+Sloan!E212+Inspirada!E212+'System Wide'!E212</f>
        <v>0</v>
      </c>
      <c r="F212" s="7">
        <f>Horizon!F212+Cadence!F212+'St Rose'!F212+Sloan!F212+Inspirada!F212+'System Wide'!F212</f>
        <v>0</v>
      </c>
      <c r="G212" s="7">
        <f t="shared" si="98"/>
        <v>0</v>
      </c>
      <c r="H212">
        <f>Horizon!G212+Cadence!G212+'St Rose'!G212+Sloan!G212+Inspirada!G212+'System Wide'!G212</f>
        <v>0</v>
      </c>
      <c r="I212" s="138">
        <f t="shared" si="96"/>
        <v>0</v>
      </c>
      <c r="K212" s="7"/>
    </row>
    <row r="213" spans="1:11" hidden="1" x14ac:dyDescent="0.25">
      <c r="A213" s="69"/>
      <c r="B213" s="106" t="s">
        <v>180</v>
      </c>
      <c r="C213" s="7">
        <f>Horizon!C213+Cadence!C213+'St Rose'!C213+Sloan!C213+Inspirada!C213+'System Wide'!C213</f>
        <v>0</v>
      </c>
      <c r="D213" s="7">
        <f>Horizon!D213+Cadence!D213+'St Rose'!D213+Sloan!D213+Inspirada!D213+'System Wide'!D213</f>
        <v>0</v>
      </c>
      <c r="E213" s="7">
        <f>Horizon!E213+Cadence!E213+'St Rose'!E213+Sloan!E213+Inspirada!E213+'System Wide'!E213</f>
        <v>0</v>
      </c>
      <c r="F213" s="7">
        <f>Horizon!F213+Cadence!F213+'St Rose'!F213+Sloan!F213+Inspirada!F213+'System Wide'!F213</f>
        <v>0</v>
      </c>
      <c r="G213" s="7">
        <f t="shared" si="98"/>
        <v>0</v>
      </c>
      <c r="H213">
        <f>Horizon!G213+Cadence!G213+'St Rose'!G213+Sloan!G213+Inspirada!G213+'System Wide'!G213</f>
        <v>0</v>
      </c>
      <c r="I213" s="138">
        <f t="shared" si="96"/>
        <v>0</v>
      </c>
      <c r="K213" s="7"/>
    </row>
    <row r="214" spans="1:11" hidden="1" x14ac:dyDescent="0.25">
      <c r="A214" s="69"/>
      <c r="B214" s="107" t="s">
        <v>181</v>
      </c>
      <c r="C214" s="7">
        <f>Horizon!C214+Cadence!C214+'St Rose'!C214+Sloan!C214+Inspirada!C214+'System Wide'!C214</f>
        <v>0</v>
      </c>
      <c r="D214" s="7">
        <f>Horizon!D214+Cadence!D214+'St Rose'!D214+Sloan!D214+Inspirada!D214+'System Wide'!D214</f>
        <v>0</v>
      </c>
      <c r="E214" s="7">
        <f>Horizon!E214+Cadence!E214+'St Rose'!E214+Sloan!E214+Inspirada!E214+'System Wide'!E214</f>
        <v>0</v>
      </c>
      <c r="F214" s="7">
        <f>Horizon!F214+Cadence!F214+'St Rose'!F214+Sloan!F214+Inspirada!F214+'System Wide'!F214</f>
        <v>0</v>
      </c>
      <c r="G214" s="7">
        <f t="shared" si="98"/>
        <v>0</v>
      </c>
      <c r="H214">
        <f>Horizon!G214+Cadence!G214+'St Rose'!G214+Sloan!G214+Inspirada!G214+'System Wide'!G214</f>
        <v>0</v>
      </c>
      <c r="I214" s="138">
        <f t="shared" si="96"/>
        <v>0</v>
      </c>
      <c r="K214" s="7"/>
    </row>
    <row r="215" spans="1:11" x14ac:dyDescent="0.25">
      <c r="A215" s="69"/>
      <c r="B215" s="106" t="s">
        <v>182</v>
      </c>
      <c r="C215" s="7">
        <f>Horizon!C215+Cadence!C215+'St Rose'!C215+Sloan!C215+Inspirada!C215+'System Wide'!C215</f>
        <v>30000</v>
      </c>
      <c r="D215" s="7">
        <f>Horizon!D215+Cadence!D215+'St Rose'!D215+Sloan!D215+Inspirada!D215+'System Wide'!D215</f>
        <v>0</v>
      </c>
      <c r="E215" s="7">
        <f>Horizon!E215+Cadence!E215+'St Rose'!E215+Sloan!E215+Inspirada!E215+'System Wide'!E215</f>
        <v>0</v>
      </c>
      <c r="F215" s="7">
        <f>Horizon!F215+Cadence!F215+'St Rose'!F215+Sloan!F215+Inspirada!F215+'System Wide'!F215</f>
        <v>0</v>
      </c>
      <c r="G215" s="7">
        <f t="shared" si="98"/>
        <v>30000</v>
      </c>
      <c r="H215">
        <f>Horizon!G215+Cadence!G215+'St Rose'!G215+Sloan!G215+Inspirada!G215+'System Wide'!G215</f>
        <v>30000</v>
      </c>
      <c r="I215" s="138">
        <f t="shared" si="96"/>
        <v>0</v>
      </c>
      <c r="K215" s="7">
        <v>102100</v>
      </c>
    </row>
    <row r="216" spans="1:11" x14ac:dyDescent="0.25">
      <c r="A216" s="69"/>
      <c r="B216" s="147"/>
      <c r="C216" s="7"/>
      <c r="D216" s="7"/>
      <c r="E216" s="7"/>
      <c r="F216" s="7"/>
      <c r="G216" s="7"/>
      <c r="H216">
        <f>Horizon!G216+Cadence!G216+'St Rose'!G216+Sloan!G216+Inspirada!G216+'System Wide'!G216</f>
        <v>0</v>
      </c>
      <c r="I216" s="138">
        <f t="shared" si="96"/>
        <v>0</v>
      </c>
      <c r="K216" s="7"/>
    </row>
    <row r="217" spans="1:11" ht="15.75" thickBot="1" x14ac:dyDescent="0.3">
      <c r="A217" s="69"/>
      <c r="B217" s="144" t="s">
        <v>183</v>
      </c>
      <c r="C217" s="145">
        <f>C86-C204-C206-C207-C213-C214-C215</f>
        <v>3481863.6311594918</v>
      </c>
      <c r="D217" s="145">
        <f t="shared" ref="D217:F217" si="99">D86-D204-D206-D207-D213-D214-D215</f>
        <v>-212570.07774999994</v>
      </c>
      <c r="E217" s="145">
        <f t="shared" si="99"/>
        <v>-3065348.8340694997</v>
      </c>
      <c r="F217" s="145">
        <f t="shared" si="99"/>
        <v>15231.661049999995</v>
      </c>
      <c r="G217" s="145">
        <f>G86-G204-G206-G207-G213-G214-G215</f>
        <v>219176.38038999587</v>
      </c>
      <c r="H217">
        <f>Horizon!G217+Cadence!G217+'St Rose'!G217+Sloan!G217+Inspirada!G217+'System Wide'!G217</f>
        <v>219176.38038999625</v>
      </c>
      <c r="I217" s="138">
        <f t="shared" si="96"/>
        <v>-3.7834979593753815E-10</v>
      </c>
      <c r="K217" s="145">
        <f t="shared" ref="K217" si="100">K86-K204-K206-K207-K213-K214</f>
        <v>2342186</v>
      </c>
    </row>
    <row r="218" spans="1:11" ht="15.75" thickBot="1" x14ac:dyDescent="0.3">
      <c r="A218" s="69"/>
      <c r="B218" s="108"/>
      <c r="C218" s="110">
        <f>C217/(C86-C76)</f>
        <v>7.1318734620268096E-2</v>
      </c>
      <c r="D218" s="110">
        <f t="shared" ref="D218" si="101">D217/(D86-D76)</f>
        <v>-0.31569865258046531</v>
      </c>
      <c r="E218" s="110">
        <f>E217/(E86-E76)</f>
        <v>-1.2970821444355582</v>
      </c>
      <c r="F218" s="110">
        <f>F217/(F86)</f>
        <v>1.2980467236247788E-2</v>
      </c>
      <c r="G218" s="110">
        <f>G217/(G86-G76)</f>
        <v>4.2263349034591304E-3</v>
      </c>
      <c r="K218" s="110">
        <f>K217/(K86-K76)</f>
        <v>4.8287052844724759E-2</v>
      </c>
    </row>
    <row r="219" spans="1:11" x14ac:dyDescent="0.25">
      <c r="A219" s="5"/>
      <c r="C219" s="111"/>
      <c r="D219" s="111"/>
      <c r="E219" s="111"/>
      <c r="F219" s="111"/>
      <c r="G219" s="111"/>
      <c r="K219" s="111"/>
    </row>
    <row r="220" spans="1:11" x14ac:dyDescent="0.25">
      <c r="A220" s="5"/>
      <c r="B220" s="112" t="str">
        <f>B1</f>
        <v xml:space="preserve">Pinecrest FY 22 </v>
      </c>
      <c r="C220" s="112" t="str">
        <f>C1</f>
        <v>Operating</v>
      </c>
      <c r="D220" s="112" t="str">
        <f>D1</f>
        <v>Weights</v>
      </c>
      <c r="E220" s="112" t="str">
        <f>E1</f>
        <v>SPED</v>
      </c>
      <c r="F220" s="112" t="str">
        <f t="shared" ref="F220:G220" si="102">F1</f>
        <v>NSLP</v>
      </c>
      <c r="G220" s="112" t="str">
        <f t="shared" si="102"/>
        <v xml:space="preserve"> Pinecrest Totals</v>
      </c>
      <c r="K220" s="112" t="str">
        <f t="shared" ref="K220" si="103">K1</f>
        <v>FY21</v>
      </c>
    </row>
    <row r="221" spans="1:11" x14ac:dyDescent="0.25">
      <c r="A221" s="5"/>
      <c r="C221" s="109"/>
      <c r="D221" s="109"/>
      <c r="E221" s="109"/>
      <c r="F221" s="109"/>
      <c r="G221" s="109"/>
      <c r="K221" s="109"/>
    </row>
    <row r="222" spans="1:11" x14ac:dyDescent="0.25">
      <c r="A222" s="5"/>
      <c r="B222" s="112"/>
      <c r="C222" s="71"/>
      <c r="D222" s="71"/>
      <c r="E222" s="71"/>
      <c r="F222" s="71"/>
      <c r="G222" s="71"/>
      <c r="K222" s="71"/>
    </row>
    <row r="223" spans="1:11" hidden="1" x14ac:dyDescent="0.25">
      <c r="A223" s="5"/>
      <c r="B223" s="113" t="s">
        <v>184</v>
      </c>
      <c r="C223" s="7">
        <v>0</v>
      </c>
      <c r="D223" s="7">
        <v>0</v>
      </c>
      <c r="E223" s="7"/>
      <c r="F223" s="7"/>
      <c r="G223" s="7">
        <v>0</v>
      </c>
      <c r="K223" s="7">
        <v>0</v>
      </c>
    </row>
    <row r="224" spans="1:11" hidden="1" x14ac:dyDescent="0.25">
      <c r="A224" s="5"/>
      <c r="B224" s="113" t="s">
        <v>185</v>
      </c>
      <c r="C224" s="7">
        <v>0</v>
      </c>
      <c r="D224" s="7">
        <v>0</v>
      </c>
      <c r="E224" s="7"/>
      <c r="F224" s="7"/>
      <c r="G224" s="7">
        <v>0</v>
      </c>
      <c r="K224" s="7">
        <v>0</v>
      </c>
    </row>
    <row r="225" spans="1:11" ht="15.75" hidden="1" thickBot="1" x14ac:dyDescent="0.3">
      <c r="A225" s="5"/>
      <c r="B225" s="5"/>
      <c r="C225" s="71"/>
      <c r="D225" s="71"/>
      <c r="E225" s="71"/>
      <c r="F225" s="71"/>
      <c r="G225" s="71"/>
      <c r="K225" s="71"/>
    </row>
    <row r="226" spans="1:11" hidden="1" x14ac:dyDescent="0.25">
      <c r="A226" s="4"/>
      <c r="B226" s="114" t="s">
        <v>186</v>
      </c>
      <c r="C226" s="115"/>
      <c r="D226" s="115"/>
      <c r="E226" s="115"/>
      <c r="F226" s="115"/>
      <c r="G226" s="115"/>
      <c r="K226" s="115"/>
    </row>
    <row r="227" spans="1:11" hidden="1" x14ac:dyDescent="0.25">
      <c r="A227" s="4"/>
      <c r="B227" s="116" t="s">
        <v>187</v>
      </c>
      <c r="C227" s="117">
        <f>C99-C204</f>
        <v>12493413.553459495</v>
      </c>
      <c r="D227" s="117">
        <f>D99-D204</f>
        <v>-212570.07774999994</v>
      </c>
      <c r="E227" s="117"/>
      <c r="F227" s="117"/>
      <c r="G227" s="117">
        <f>G99-G204</f>
        <v>9230726.3026899993</v>
      </c>
      <c r="K227" s="117">
        <f>K99-K204</f>
        <v>10133259</v>
      </c>
    </row>
    <row r="228" spans="1:11" hidden="1" x14ac:dyDescent="0.25">
      <c r="A228" s="4"/>
      <c r="B228" s="118"/>
      <c r="C228" s="119"/>
      <c r="D228" s="119"/>
      <c r="E228" s="119"/>
      <c r="F228" s="119"/>
      <c r="G228" s="119"/>
      <c r="K228" s="119"/>
    </row>
    <row r="229" spans="1:11" hidden="1" x14ac:dyDescent="0.25">
      <c r="A229" s="4"/>
      <c r="B229" s="120" t="str">
        <f t="shared" ref="B229:D230" si="104">B206</f>
        <v>Scheduled Lease Payment</v>
      </c>
      <c r="C229" s="121">
        <f t="shared" si="104"/>
        <v>0</v>
      </c>
      <c r="D229" s="121">
        <f t="shared" si="104"/>
        <v>0</v>
      </c>
      <c r="E229" s="121"/>
      <c r="F229" s="121"/>
      <c r="G229" s="121">
        <f>G206</f>
        <v>0</v>
      </c>
      <c r="K229" s="121">
        <f>K206</f>
        <v>320000</v>
      </c>
    </row>
    <row r="230" spans="1:11" hidden="1" x14ac:dyDescent="0.25">
      <c r="A230" s="4"/>
      <c r="B230" s="120" t="str">
        <f t="shared" si="104"/>
        <v>Scheduled Bond Payment</v>
      </c>
      <c r="C230" s="122">
        <f t="shared" si="104"/>
        <v>7474758</v>
      </c>
      <c r="D230" s="122">
        <f t="shared" si="104"/>
        <v>0</v>
      </c>
      <c r="E230" s="122"/>
      <c r="F230" s="122"/>
      <c r="G230" s="122">
        <f>G207</f>
        <v>7474758</v>
      </c>
      <c r="K230" s="122">
        <f>K207</f>
        <v>5283959</v>
      </c>
    </row>
    <row r="231" spans="1:11" hidden="1" x14ac:dyDescent="0.25">
      <c r="A231" s="4"/>
      <c r="B231" s="120" t="str">
        <f t="shared" ref="B231:D232" si="105">B213</f>
        <v>Scheduled Bond Payment</v>
      </c>
      <c r="C231" s="122">
        <f t="shared" si="105"/>
        <v>0</v>
      </c>
      <c r="D231" s="122">
        <f t="shared" si="105"/>
        <v>0</v>
      </c>
      <c r="E231" s="122"/>
      <c r="F231" s="122"/>
      <c r="G231" s="122">
        <f>G213</f>
        <v>0</v>
      </c>
      <c r="K231" s="122">
        <f>K213</f>
        <v>0</v>
      </c>
    </row>
    <row r="232" spans="1:11" hidden="1" x14ac:dyDescent="0.25">
      <c r="A232" s="4"/>
      <c r="B232" s="120" t="str">
        <f t="shared" si="105"/>
        <v>Additional Parking</v>
      </c>
      <c r="C232" s="122">
        <f t="shared" si="105"/>
        <v>0</v>
      </c>
      <c r="D232" s="122">
        <f t="shared" si="105"/>
        <v>0</v>
      </c>
      <c r="E232" s="122"/>
      <c r="F232" s="122"/>
      <c r="G232" s="122">
        <f>G214</f>
        <v>0</v>
      </c>
      <c r="K232" s="122">
        <f>K214</f>
        <v>0</v>
      </c>
    </row>
    <row r="233" spans="1:11" hidden="1" x14ac:dyDescent="0.25">
      <c r="A233" s="4"/>
      <c r="B233" s="123" t="s">
        <v>188</v>
      </c>
      <c r="C233" s="124">
        <f>SUM(C229:C232)</f>
        <v>7474758</v>
      </c>
      <c r="D233" s="124">
        <f>SUM(D229:D232)</f>
        <v>0</v>
      </c>
      <c r="E233" s="124"/>
      <c r="F233" s="124"/>
      <c r="G233" s="124">
        <f t="shared" ref="G233" si="106">SUM(G229:G232)</f>
        <v>7474758</v>
      </c>
      <c r="K233" s="124">
        <f t="shared" ref="K233" si="107">SUM(K229:K232)</f>
        <v>5603959</v>
      </c>
    </row>
    <row r="234" spans="1:11" hidden="1" x14ac:dyDescent="0.25">
      <c r="A234" s="4"/>
      <c r="B234" s="118"/>
      <c r="C234" s="119"/>
      <c r="D234" s="119"/>
      <c r="E234" s="119"/>
      <c r="F234" s="119"/>
      <c r="G234" s="119"/>
      <c r="K234" s="119"/>
    </row>
    <row r="235" spans="1:11" hidden="1" x14ac:dyDescent="0.25">
      <c r="A235" s="4"/>
      <c r="B235" s="116" t="s">
        <v>189</v>
      </c>
      <c r="C235" s="125">
        <f>C227/C233</f>
        <v>1.6714137840261176</v>
      </c>
      <c r="D235" s="125" t="e">
        <f>D227/D233</f>
        <v>#DIV/0!</v>
      </c>
      <c r="E235" s="125"/>
      <c r="F235" s="125"/>
      <c r="G235" s="125">
        <f t="shared" ref="G235" si="108">G227/G233</f>
        <v>1.2349197529458478</v>
      </c>
      <c r="K235" s="125">
        <f t="shared" ref="K235" si="109">K227/K233</f>
        <v>1.8082321801426455</v>
      </c>
    </row>
    <row r="236" spans="1:11" hidden="1" x14ac:dyDescent="0.25">
      <c r="A236" s="4"/>
      <c r="B236" s="118"/>
      <c r="C236" s="126"/>
      <c r="D236" s="126"/>
      <c r="E236" s="126"/>
      <c r="F236" s="126"/>
      <c r="G236" s="126"/>
      <c r="K236" s="126"/>
    </row>
    <row r="237" spans="1:11" hidden="1" x14ac:dyDescent="0.25">
      <c r="A237" s="4"/>
      <c r="B237" s="127" t="s">
        <v>190</v>
      </c>
      <c r="C237" s="128"/>
      <c r="D237" s="128"/>
      <c r="E237" s="128"/>
      <c r="F237" s="128"/>
      <c r="G237" s="128"/>
      <c r="K237" s="128"/>
    </row>
    <row r="238" spans="1:11" hidden="1" x14ac:dyDescent="0.25">
      <c r="A238" s="4"/>
      <c r="B238" s="118" t="s">
        <v>191</v>
      </c>
      <c r="C238" s="129">
        <v>0</v>
      </c>
      <c r="D238" s="129">
        <v>0</v>
      </c>
      <c r="E238" s="129"/>
      <c r="F238" s="129"/>
      <c r="G238" s="129">
        <v>0</v>
      </c>
      <c r="K238" s="129">
        <v>0</v>
      </c>
    </row>
    <row r="239" spans="1:11" hidden="1" x14ac:dyDescent="0.25">
      <c r="A239" s="4"/>
      <c r="B239" s="130" t="s">
        <v>192</v>
      </c>
      <c r="C239" s="122">
        <v>0</v>
      </c>
      <c r="D239" s="122">
        <v>0</v>
      </c>
      <c r="E239" s="122"/>
      <c r="F239" s="122"/>
      <c r="G239" s="122">
        <v>0</v>
      </c>
      <c r="K239" s="122">
        <v>0</v>
      </c>
    </row>
    <row r="240" spans="1:11" hidden="1" x14ac:dyDescent="0.25">
      <c r="A240" s="4"/>
      <c r="B240" s="130" t="s">
        <v>193</v>
      </c>
      <c r="C240" s="122">
        <f>C99-C204-C206-C207-C213-C214</f>
        <v>5018655.5534594953</v>
      </c>
      <c r="D240" s="122">
        <f>D99-D204-D206-D207-D213-D214</f>
        <v>-212570.07774999994</v>
      </c>
      <c r="E240" s="122"/>
      <c r="F240" s="122"/>
      <c r="G240" s="122">
        <f>G99-G204-G206-G207-G213-G214</f>
        <v>1755968.3026899993</v>
      </c>
      <c r="K240" s="122">
        <f>K99-K204-K206-K207-K213-K214</f>
        <v>4529300</v>
      </c>
    </row>
    <row r="241" spans="1:11" hidden="1" x14ac:dyDescent="0.25">
      <c r="A241" s="4"/>
      <c r="B241" s="131" t="s">
        <v>194</v>
      </c>
      <c r="C241" s="132">
        <f>C238+C239+C240</f>
        <v>5018655.5534594953</v>
      </c>
      <c r="D241" s="132">
        <f>D238+D239+D240</f>
        <v>-212570.07774999994</v>
      </c>
      <c r="E241" s="132"/>
      <c r="F241" s="132"/>
      <c r="G241" s="132">
        <f t="shared" ref="G241" si="110">G238+G239+G240</f>
        <v>1755968.3026899993</v>
      </c>
      <c r="K241" s="132">
        <f t="shared" ref="K241" si="111">K238+K239+K240</f>
        <v>4529300</v>
      </c>
    </row>
    <row r="242" spans="1:11" hidden="1" x14ac:dyDescent="0.25">
      <c r="A242" s="4"/>
      <c r="B242" s="116" t="s">
        <v>195</v>
      </c>
      <c r="C242" s="125">
        <f>C241/((C204+C206+C207+C213+C214)/365)</f>
        <v>40.428990662867058</v>
      </c>
      <c r="D242" s="125">
        <f>D241/((D204+D206+D207+D213+D214)/365)</f>
        <v>-87.580851409910977</v>
      </c>
      <c r="E242" s="125"/>
      <c r="F242" s="125"/>
      <c r="G242" s="125">
        <f>G241/((G204+G206+G207+G213+G214)/365)</f>
        <v>12.142932431332602</v>
      </c>
      <c r="K242" s="125">
        <f>K241/((K204+K206+K207+K213+K214)/365)</f>
        <v>35.342483529625291</v>
      </c>
    </row>
    <row r="243" spans="1:11" hidden="1" x14ac:dyDescent="0.25">
      <c r="A243" s="4"/>
      <c r="B243" s="118"/>
      <c r="C243" s="119"/>
      <c r="D243" s="119"/>
      <c r="E243" s="119"/>
      <c r="F243" s="119"/>
      <c r="G243" s="119"/>
      <c r="K243" s="119"/>
    </row>
    <row r="244" spans="1:11" hidden="1" x14ac:dyDescent="0.25">
      <c r="A244" s="4"/>
      <c r="B244" s="118"/>
      <c r="C244" s="119"/>
      <c r="D244" s="119"/>
      <c r="E244" s="119"/>
      <c r="F244" s="119"/>
      <c r="G244" s="119"/>
      <c r="K244" s="119"/>
    </row>
    <row r="245" spans="1:11" hidden="1" x14ac:dyDescent="0.25">
      <c r="A245" s="4"/>
      <c r="B245" s="118"/>
      <c r="C245" s="133" t="str">
        <f>C220</f>
        <v>Operating</v>
      </c>
      <c r="D245" s="133" t="str">
        <f>D220</f>
        <v>Weights</v>
      </c>
      <c r="E245" s="133"/>
      <c r="F245" s="133"/>
      <c r="G245" s="133" t="str">
        <f>G220</f>
        <v xml:space="preserve"> Pinecrest Totals</v>
      </c>
      <c r="K245" s="133" t="str">
        <f>K220</f>
        <v>FY21</v>
      </c>
    </row>
    <row r="246" spans="1:11" hidden="1" x14ac:dyDescent="0.25">
      <c r="A246" s="4"/>
      <c r="B246" s="118" t="s">
        <v>196</v>
      </c>
      <c r="C246" s="119"/>
      <c r="D246" s="119"/>
      <c r="E246" s="119"/>
      <c r="F246" s="119"/>
      <c r="G246" s="119"/>
      <c r="K246" s="119"/>
    </row>
    <row r="247" spans="1:11" hidden="1" x14ac:dyDescent="0.25">
      <c r="A247" s="4"/>
      <c r="B247" s="116" t="s">
        <v>187</v>
      </c>
      <c r="C247" s="117">
        <f>C86-C204</f>
        <v>10986621.631159492</v>
      </c>
      <c r="D247" s="117">
        <f>D86-D204</f>
        <v>-212570.07774999994</v>
      </c>
      <c r="E247" s="117"/>
      <c r="F247" s="117"/>
      <c r="G247" s="117">
        <f>G86-G204</f>
        <v>7723934.3803899959</v>
      </c>
      <c r="K247" s="117">
        <f>K86-K204</f>
        <v>7946145</v>
      </c>
    </row>
    <row r="248" spans="1:11" hidden="1" x14ac:dyDescent="0.25">
      <c r="A248" s="4"/>
      <c r="B248" s="118"/>
      <c r="C248" s="119"/>
      <c r="D248" s="119"/>
      <c r="E248" s="119"/>
      <c r="F248" s="119"/>
      <c r="G248" s="119"/>
      <c r="K248" s="119"/>
    </row>
    <row r="249" spans="1:11" hidden="1" x14ac:dyDescent="0.25">
      <c r="A249" s="4"/>
      <c r="B249" s="120" t="str">
        <f t="shared" ref="B249:D250" si="112">B206</f>
        <v>Scheduled Lease Payment</v>
      </c>
      <c r="C249" s="121">
        <f t="shared" si="112"/>
        <v>0</v>
      </c>
      <c r="D249" s="121">
        <f t="shared" si="112"/>
        <v>0</v>
      </c>
      <c r="E249" s="121"/>
      <c r="F249" s="121"/>
      <c r="G249" s="121">
        <f>G206</f>
        <v>0</v>
      </c>
      <c r="K249" s="121">
        <f>K206</f>
        <v>320000</v>
      </c>
    </row>
    <row r="250" spans="1:11" hidden="1" x14ac:dyDescent="0.25">
      <c r="A250" s="4"/>
      <c r="B250" s="120" t="str">
        <f t="shared" si="112"/>
        <v>Scheduled Bond Payment</v>
      </c>
      <c r="C250" s="122">
        <f t="shared" si="112"/>
        <v>7474758</v>
      </c>
      <c r="D250" s="122">
        <f t="shared" si="112"/>
        <v>0</v>
      </c>
      <c r="E250" s="122"/>
      <c r="F250" s="122"/>
      <c r="G250" s="122">
        <f>G207</f>
        <v>7474758</v>
      </c>
      <c r="K250" s="122">
        <f>K207</f>
        <v>5283959</v>
      </c>
    </row>
    <row r="251" spans="1:11" hidden="1" x14ac:dyDescent="0.25">
      <c r="A251" s="4"/>
      <c r="B251" s="120" t="str">
        <f t="shared" ref="B251:D252" si="113">B213</f>
        <v>Scheduled Bond Payment</v>
      </c>
      <c r="C251" s="122">
        <f t="shared" si="113"/>
        <v>0</v>
      </c>
      <c r="D251" s="122">
        <f t="shared" si="113"/>
        <v>0</v>
      </c>
      <c r="E251" s="122"/>
      <c r="F251" s="122"/>
      <c r="G251" s="122">
        <f>G213</f>
        <v>0</v>
      </c>
      <c r="K251" s="122">
        <f>K213</f>
        <v>0</v>
      </c>
    </row>
    <row r="252" spans="1:11" hidden="1" x14ac:dyDescent="0.25">
      <c r="A252" s="4"/>
      <c r="B252" s="120" t="str">
        <f t="shared" si="113"/>
        <v>Additional Parking</v>
      </c>
      <c r="C252" s="122">
        <f t="shared" si="113"/>
        <v>0</v>
      </c>
      <c r="D252" s="122">
        <f t="shared" si="113"/>
        <v>0</v>
      </c>
      <c r="E252" s="122"/>
      <c r="F252" s="122"/>
      <c r="G252" s="122">
        <f>G214</f>
        <v>0</v>
      </c>
      <c r="K252" s="122">
        <f>K214</f>
        <v>0</v>
      </c>
    </row>
    <row r="253" spans="1:11" hidden="1" x14ac:dyDescent="0.25">
      <c r="A253" s="4"/>
      <c r="B253" s="123" t="s">
        <v>188</v>
      </c>
      <c r="C253" s="124">
        <f>SUM(C249:C252)</f>
        <v>7474758</v>
      </c>
      <c r="D253" s="124">
        <f>SUM(D249:D252)</f>
        <v>0</v>
      </c>
      <c r="E253" s="124"/>
      <c r="F253" s="124"/>
      <c r="G253" s="124">
        <f t="shared" ref="G253" si="114">SUM(G249:G252)</f>
        <v>7474758</v>
      </c>
      <c r="K253" s="124">
        <f t="shared" ref="K253" si="115">SUM(K249:K252)</f>
        <v>5603959</v>
      </c>
    </row>
    <row r="254" spans="1:11" hidden="1" x14ac:dyDescent="0.25">
      <c r="A254" s="4"/>
      <c r="B254" s="118"/>
      <c r="C254" s="119"/>
      <c r="D254" s="119"/>
      <c r="E254" s="119"/>
      <c r="F254" s="119"/>
      <c r="G254" s="119"/>
      <c r="K254" s="119"/>
    </row>
    <row r="255" spans="1:11" hidden="1" x14ac:dyDescent="0.25">
      <c r="A255" s="4"/>
      <c r="B255" s="116" t="s">
        <v>189</v>
      </c>
      <c r="C255" s="134">
        <f>C247/C253</f>
        <v>1.4698297431381044</v>
      </c>
      <c r="D255" s="134" t="e">
        <f>D247/D253</f>
        <v>#DIV/0!</v>
      </c>
      <c r="E255" s="134"/>
      <c r="F255" s="134"/>
      <c r="G255" s="134">
        <f t="shared" ref="G255" si="116">G247/G253</f>
        <v>1.0333357120578346</v>
      </c>
      <c r="K255" s="134">
        <f t="shared" ref="K255" si="117">K247/K253</f>
        <v>1.4179520228467053</v>
      </c>
    </row>
    <row r="256" spans="1:11" hidden="1" x14ac:dyDescent="0.25">
      <c r="A256" s="4"/>
      <c r="B256" s="118"/>
      <c r="C256" s="126"/>
      <c r="D256" s="126"/>
      <c r="E256" s="126"/>
      <c r="F256" s="126"/>
      <c r="G256" s="126"/>
      <c r="K256" s="126"/>
    </row>
    <row r="257" spans="1:11" hidden="1" x14ac:dyDescent="0.25">
      <c r="A257" s="4"/>
      <c r="B257" s="127" t="s">
        <v>190</v>
      </c>
      <c r="C257" s="128"/>
      <c r="D257" s="128"/>
      <c r="E257" s="128"/>
      <c r="F257" s="128"/>
      <c r="G257" s="128"/>
      <c r="K257" s="128"/>
    </row>
    <row r="258" spans="1:11" hidden="1" x14ac:dyDescent="0.25">
      <c r="A258" s="4"/>
      <c r="B258" s="118" t="s">
        <v>191</v>
      </c>
      <c r="C258" s="122">
        <f>C238</f>
        <v>0</v>
      </c>
      <c r="D258" s="122">
        <f>D238</f>
        <v>0</v>
      </c>
      <c r="E258" s="122"/>
      <c r="F258" s="122"/>
      <c r="G258" s="122">
        <f t="shared" ref="G258" si="118">G238</f>
        <v>0</v>
      </c>
      <c r="K258" s="122">
        <f t="shared" ref="K258" si="119">K238</f>
        <v>0</v>
      </c>
    </row>
    <row r="259" spans="1:11" hidden="1" x14ac:dyDescent="0.25">
      <c r="A259" s="4"/>
      <c r="B259" s="130" t="s">
        <v>192</v>
      </c>
      <c r="C259" s="122">
        <v>0</v>
      </c>
      <c r="D259" s="122">
        <v>0</v>
      </c>
      <c r="E259" s="122"/>
      <c r="F259" s="122"/>
      <c r="G259" s="122">
        <v>0</v>
      </c>
      <c r="K259" s="122">
        <v>0</v>
      </c>
    </row>
    <row r="260" spans="1:11" hidden="1" x14ac:dyDescent="0.25">
      <c r="A260" s="4"/>
      <c r="B260" s="130" t="s">
        <v>193</v>
      </c>
      <c r="C260" s="122">
        <f>C217</f>
        <v>3481863.6311594918</v>
      </c>
      <c r="D260" s="122">
        <f>D217</f>
        <v>-212570.07774999994</v>
      </c>
      <c r="E260" s="122"/>
      <c r="F260" s="122"/>
      <c r="G260" s="122">
        <f t="shared" ref="G260" si="120">G217</f>
        <v>219176.38038999587</v>
      </c>
      <c r="K260" s="122">
        <f t="shared" ref="K260" si="121">K217</f>
        <v>2342186</v>
      </c>
    </row>
    <row r="261" spans="1:11" hidden="1" x14ac:dyDescent="0.25">
      <c r="A261" s="4"/>
      <c r="B261" s="131" t="s">
        <v>194</v>
      </c>
      <c r="C261" s="132">
        <f>C258+C259+C260</f>
        <v>3481863.6311594918</v>
      </c>
      <c r="D261" s="132">
        <f>D258+D259+D260</f>
        <v>-212570.07774999994</v>
      </c>
      <c r="E261" s="132"/>
      <c r="F261" s="132"/>
      <c r="G261" s="132">
        <f t="shared" ref="G261" si="122">G258+G259+G260</f>
        <v>219176.38038999587</v>
      </c>
      <c r="K261" s="132">
        <f t="shared" ref="K261" si="123">K258+K259+K260</f>
        <v>2342186</v>
      </c>
    </row>
    <row r="262" spans="1:11" ht="15.75" hidden="1" thickBot="1" x14ac:dyDescent="0.3">
      <c r="A262" s="4"/>
      <c r="B262" s="135" t="s">
        <v>195</v>
      </c>
      <c r="C262" s="136">
        <f>C261/((C204+C206+C207+C213+C214)/365)</f>
        <v>28.048992550701776</v>
      </c>
      <c r="D262" s="136">
        <f>D261/((D204+D206+D207+D213+D214)/365)</f>
        <v>-87.580851409910977</v>
      </c>
      <c r="E262" s="136"/>
      <c r="F262" s="136"/>
      <c r="G262" s="136">
        <f>G261/((G204+G206+G207+G213+G214)/365)</f>
        <v>1.5156560477445167</v>
      </c>
      <c r="K262" s="136">
        <f>K261/((K204+K206+K207+K213+K214)/365)</f>
        <v>18.276261260750879</v>
      </c>
    </row>
    <row r="263" spans="1:11" x14ac:dyDescent="0.25">
      <c r="A263" s="4"/>
      <c r="C263" s="109"/>
      <c r="D263" s="109"/>
      <c r="E263" s="109"/>
      <c r="F263" s="109"/>
      <c r="G263" s="109"/>
      <c r="K263" s="109"/>
    </row>
    <row r="264" spans="1:11" x14ac:dyDescent="0.25">
      <c r="A264" s="4"/>
      <c r="C264" s="109"/>
      <c r="D264" s="109"/>
      <c r="E264" s="109"/>
      <c r="F264" s="109"/>
      <c r="G264" s="109"/>
      <c r="K264" s="109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226"/>
  <sheetViews>
    <sheetView topLeftCell="A68" zoomScale="75" zoomScaleNormal="75" workbookViewId="0">
      <pane xSplit="1" topLeftCell="S1" activePane="topRight" state="frozen"/>
      <selection pane="topRight" activeCell="AG106" sqref="AG106"/>
    </sheetView>
  </sheetViews>
  <sheetFormatPr defaultRowHeight="15" x14ac:dyDescent="0.25"/>
  <cols>
    <col min="1" max="1" width="46.85546875" customWidth="1"/>
    <col min="2" max="2" width="16.42578125" customWidth="1"/>
    <col min="3" max="3" width="14.85546875" customWidth="1"/>
    <col min="4" max="4" width="16.42578125" customWidth="1"/>
    <col min="5" max="6" width="14.85546875" customWidth="1"/>
    <col min="7" max="7" width="8.85546875" style="199"/>
    <col min="8" max="8" width="16.42578125" customWidth="1"/>
    <col min="9" max="9" width="14.85546875" customWidth="1"/>
    <col min="10" max="10" width="16.42578125" customWidth="1"/>
    <col min="11" max="12" width="14.85546875" customWidth="1"/>
    <col min="13" max="13" width="8.85546875" style="199"/>
    <col min="14" max="14" width="16.42578125" customWidth="1"/>
    <col min="15" max="15" width="14.85546875" customWidth="1"/>
    <col min="16" max="16" width="16.42578125" customWidth="1"/>
    <col min="17" max="18" width="14.85546875" customWidth="1"/>
    <col min="19" max="19" width="8.85546875" style="199"/>
    <col min="20" max="20" width="16.42578125" customWidth="1"/>
    <col min="21" max="21" width="14.85546875" customWidth="1"/>
    <col min="22" max="22" width="16.42578125" customWidth="1"/>
    <col min="23" max="24" width="14.85546875" customWidth="1"/>
    <col min="25" max="25" width="8.85546875" style="199"/>
    <col min="26" max="26" width="16.42578125" customWidth="1"/>
    <col min="27" max="27" width="14.85546875" customWidth="1"/>
    <col min="28" max="28" width="16.42578125" customWidth="1"/>
    <col min="29" max="30" width="14.85546875" customWidth="1"/>
    <col min="31" max="31" width="8.85546875" style="199"/>
    <col min="32" max="32" width="16.42578125" customWidth="1"/>
    <col min="33" max="33" width="14.85546875" customWidth="1"/>
    <col min="34" max="34" width="16.42578125" customWidth="1"/>
    <col min="35" max="36" width="14.85546875" customWidth="1"/>
    <col min="37" max="37" width="8.85546875" style="199"/>
    <col min="38" max="38" width="16.42578125" customWidth="1"/>
    <col min="39" max="39" width="14.85546875" customWidth="1"/>
    <col min="40" max="40" width="16.42578125" customWidth="1"/>
    <col min="41" max="42" width="14.85546875" customWidth="1"/>
    <col min="43" max="43" width="8.85546875" style="199"/>
    <col min="44" max="44" width="16.42578125" customWidth="1"/>
    <col min="45" max="45" width="14.85546875" customWidth="1"/>
    <col min="46" max="46" width="16.42578125" customWidth="1"/>
    <col min="47" max="48" width="14.85546875" customWidth="1"/>
    <col min="50" max="50" width="16.42578125" customWidth="1"/>
    <col min="51" max="51" width="14.85546875" customWidth="1"/>
    <col min="52" max="52" width="16.42578125" customWidth="1"/>
    <col min="53" max="53" width="14.85546875" customWidth="1"/>
    <col min="54" max="54" width="17.140625" bestFit="1" customWidth="1"/>
  </cols>
  <sheetData>
    <row r="1" spans="1:54" x14ac:dyDescent="0.25">
      <c r="A1" s="1" t="s">
        <v>257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238</v>
      </c>
      <c r="H1" s="3" t="s">
        <v>1</v>
      </c>
      <c r="I1" s="3" t="s">
        <v>2</v>
      </c>
      <c r="J1" s="3" t="s">
        <v>3</v>
      </c>
      <c r="K1" s="3" t="s">
        <v>4</v>
      </c>
      <c r="L1" s="3" t="s">
        <v>208</v>
      </c>
      <c r="N1" s="3" t="s">
        <v>1</v>
      </c>
      <c r="O1" s="3" t="s">
        <v>2</v>
      </c>
      <c r="P1" s="3" t="s">
        <v>3</v>
      </c>
      <c r="Q1" s="3" t="s">
        <v>4</v>
      </c>
      <c r="R1" s="3" t="s">
        <v>215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231</v>
      </c>
      <c r="Z1" s="3" t="s">
        <v>1</v>
      </c>
      <c r="AA1" s="3" t="s">
        <v>2</v>
      </c>
      <c r="AB1" s="3" t="s">
        <v>3</v>
      </c>
      <c r="AC1" s="3" t="s">
        <v>4</v>
      </c>
      <c r="AD1" s="3" t="s">
        <v>240</v>
      </c>
      <c r="AF1" s="3" t="s">
        <v>1</v>
      </c>
      <c r="AG1" s="3" t="s">
        <v>2</v>
      </c>
      <c r="AH1" s="3" t="s">
        <v>3</v>
      </c>
      <c r="AI1" s="3" t="s">
        <v>4</v>
      </c>
      <c r="AJ1" s="340" t="s">
        <v>258</v>
      </c>
      <c r="AL1" s="3" t="s">
        <v>1</v>
      </c>
      <c r="AM1" s="3" t="s">
        <v>2</v>
      </c>
      <c r="AN1" s="3" t="s">
        <v>3</v>
      </c>
      <c r="AO1" s="3" t="s">
        <v>4</v>
      </c>
      <c r="AP1" s="3" t="s">
        <v>241</v>
      </c>
      <c r="AR1" s="3" t="s">
        <v>1</v>
      </c>
      <c r="AS1" s="3" t="s">
        <v>2</v>
      </c>
      <c r="AT1" s="3" t="s">
        <v>3</v>
      </c>
      <c r="AU1" s="3" t="s">
        <v>4</v>
      </c>
      <c r="AV1" s="3" t="s">
        <v>242</v>
      </c>
      <c r="AX1" s="3" t="s">
        <v>1</v>
      </c>
      <c r="AY1" s="3" t="s">
        <v>2</v>
      </c>
      <c r="AZ1" s="3" t="s">
        <v>3</v>
      </c>
      <c r="BA1" s="3" t="s">
        <v>4</v>
      </c>
      <c r="BB1" s="3" t="s">
        <v>243</v>
      </c>
    </row>
    <row r="2" spans="1:54" x14ac:dyDescent="0.25">
      <c r="A2" s="6" t="s">
        <v>7</v>
      </c>
      <c r="B2" s="7">
        <f>7293*1.013</f>
        <v>7387.8089999999993</v>
      </c>
      <c r="C2" s="7">
        <v>0</v>
      </c>
      <c r="D2" s="7">
        <v>0</v>
      </c>
      <c r="E2" s="7">
        <v>0</v>
      </c>
      <c r="F2" s="7">
        <f>SUM(B2:E2)</f>
        <v>7387.8089999999993</v>
      </c>
      <c r="H2" s="7">
        <f>7293*1.013</f>
        <v>7387.8089999999993</v>
      </c>
      <c r="I2" s="7">
        <v>0</v>
      </c>
      <c r="J2" s="7">
        <v>0</v>
      </c>
      <c r="K2" s="7">
        <v>0</v>
      </c>
      <c r="L2" s="7">
        <f>SUM(H2:K2)</f>
        <v>7387.8089999999993</v>
      </c>
      <c r="N2" s="7">
        <f>7293*1.013</f>
        <v>7387.8089999999993</v>
      </c>
      <c r="O2" s="7">
        <v>0</v>
      </c>
      <c r="P2" s="7">
        <v>0</v>
      </c>
      <c r="Q2" s="7">
        <v>0</v>
      </c>
      <c r="R2" s="7">
        <f>SUM(N2:Q2)</f>
        <v>7387.8089999999993</v>
      </c>
      <c r="T2" s="7">
        <f>7293*1.013</f>
        <v>7387.8089999999993</v>
      </c>
      <c r="U2" s="7">
        <v>0</v>
      </c>
      <c r="V2" s="7">
        <v>0</v>
      </c>
      <c r="W2" s="7">
        <v>0</v>
      </c>
      <c r="X2" s="7">
        <f>SUM(T2:W2)</f>
        <v>7387.8089999999993</v>
      </c>
      <c r="Z2" s="7">
        <f>7293*1.013</f>
        <v>7387.8089999999993</v>
      </c>
      <c r="AA2" s="7">
        <v>0</v>
      </c>
      <c r="AB2" s="7">
        <v>0</v>
      </c>
      <c r="AC2" s="7">
        <v>0</v>
      </c>
      <c r="AD2" s="7">
        <f>SUM(Z2:AC2)</f>
        <v>7387.8089999999993</v>
      </c>
      <c r="AF2" s="7">
        <f>7293*1.013</f>
        <v>7387.8089999999993</v>
      </c>
      <c r="AG2" s="7">
        <v>0</v>
      </c>
      <c r="AH2" s="7">
        <v>0</v>
      </c>
      <c r="AI2" s="7">
        <v>0</v>
      </c>
      <c r="AJ2" s="7">
        <f>SUM(AF2:AI2)</f>
        <v>7387.8089999999993</v>
      </c>
      <c r="AL2" s="7">
        <v>0</v>
      </c>
      <c r="AM2" s="7">
        <v>0</v>
      </c>
      <c r="AN2" s="7">
        <v>0</v>
      </c>
      <c r="AO2" s="7">
        <v>0</v>
      </c>
      <c r="AP2" s="7">
        <f>SUM(AL2:AO2)</f>
        <v>0</v>
      </c>
      <c r="AR2" s="7">
        <v>7215</v>
      </c>
      <c r="AS2" s="7">
        <v>0</v>
      </c>
      <c r="AT2" s="7">
        <v>0</v>
      </c>
      <c r="AU2" s="7">
        <v>0</v>
      </c>
      <c r="AV2" s="7">
        <f>SUM(AR2:AU2)</f>
        <v>7215</v>
      </c>
      <c r="AX2" s="7">
        <f>AX87/AX19</f>
        <v>7384.398955890887</v>
      </c>
      <c r="AY2" s="7">
        <v>0</v>
      </c>
      <c r="AZ2" s="7">
        <v>0</v>
      </c>
      <c r="BA2" s="7">
        <v>0</v>
      </c>
      <c r="BB2" s="7">
        <f>SUM(AX2:BA2)</f>
        <v>7384.398955890887</v>
      </c>
    </row>
    <row r="3" spans="1:54" hidden="1" x14ac:dyDescent="0.25">
      <c r="A3" s="8"/>
      <c r="B3" s="7">
        <v>0</v>
      </c>
      <c r="C3" s="7">
        <v>0</v>
      </c>
      <c r="D3" s="7"/>
      <c r="E3" s="7">
        <v>0</v>
      </c>
      <c r="F3" s="7">
        <f>SUM(B3:E3)</f>
        <v>0</v>
      </c>
      <c r="H3" s="7">
        <v>0</v>
      </c>
      <c r="I3" s="7">
        <v>0</v>
      </c>
      <c r="J3" s="7"/>
      <c r="K3" s="7">
        <v>0</v>
      </c>
      <c r="L3" s="7">
        <f>SUM(H3:K3)</f>
        <v>0</v>
      </c>
      <c r="N3" s="7">
        <v>0</v>
      </c>
      <c r="O3" s="7">
        <v>0</v>
      </c>
      <c r="P3" s="7"/>
      <c r="Q3" s="7">
        <v>0</v>
      </c>
      <c r="R3" s="7">
        <f>SUM(N3:Q3)</f>
        <v>0</v>
      </c>
      <c r="T3" s="7">
        <v>0</v>
      </c>
      <c r="U3" s="7">
        <v>0</v>
      </c>
      <c r="V3" s="7"/>
      <c r="W3" s="7">
        <v>0</v>
      </c>
      <c r="X3" s="7">
        <f>SUM(T3:W3)</f>
        <v>0</v>
      </c>
      <c r="Z3" s="7">
        <v>0</v>
      </c>
      <c r="AA3" s="7">
        <v>0</v>
      </c>
      <c r="AB3" s="7"/>
      <c r="AC3" s="7">
        <v>0</v>
      </c>
      <c r="AD3" s="7">
        <f>SUM(Z3:AC3)</f>
        <v>0</v>
      </c>
      <c r="AF3" s="7">
        <v>0</v>
      </c>
      <c r="AG3" s="7">
        <v>0</v>
      </c>
      <c r="AH3" s="7"/>
      <c r="AI3" s="7">
        <v>0</v>
      </c>
      <c r="AJ3" s="7">
        <f>SUM(AF3:AI3)</f>
        <v>0</v>
      </c>
      <c r="AL3" s="7">
        <v>0</v>
      </c>
      <c r="AM3" s="7">
        <v>0</v>
      </c>
      <c r="AN3" s="7"/>
      <c r="AO3" s="7">
        <v>0</v>
      </c>
      <c r="AP3" s="7">
        <f>SUM(AL3:AO3)</f>
        <v>0</v>
      </c>
      <c r="AR3" s="7">
        <v>0</v>
      </c>
      <c r="AS3" s="7">
        <v>0</v>
      </c>
      <c r="AT3" s="7"/>
      <c r="AU3" s="7">
        <v>0</v>
      </c>
      <c r="AV3" s="7">
        <f>SUM(AR3:AU3)</f>
        <v>0</v>
      </c>
      <c r="AX3" s="7">
        <v>0</v>
      </c>
      <c r="AY3" s="7">
        <v>0</v>
      </c>
      <c r="AZ3" s="7"/>
      <c r="BA3" s="7">
        <v>0</v>
      </c>
      <c r="BB3" s="7">
        <f>SUM(AX3:BA3)</f>
        <v>0</v>
      </c>
    </row>
    <row r="4" spans="1:54" hidden="1" x14ac:dyDescent="0.25">
      <c r="A4" s="8"/>
      <c r="B4" s="139"/>
      <c r="C4" s="139"/>
      <c r="D4" s="139"/>
      <c r="E4" s="139"/>
      <c r="F4" s="153"/>
      <c r="H4" s="139"/>
      <c r="I4" s="139"/>
      <c r="J4" s="139"/>
      <c r="K4" s="139"/>
      <c r="L4" s="153"/>
      <c r="N4" s="139"/>
      <c r="O4" s="139"/>
      <c r="P4" s="139"/>
      <c r="Q4" s="139"/>
      <c r="R4" s="153"/>
      <c r="T4" s="139"/>
      <c r="U4" s="139"/>
      <c r="V4" s="139"/>
      <c r="W4" s="139"/>
      <c r="X4" s="153"/>
      <c r="Z4" s="139"/>
      <c r="AA4" s="139"/>
      <c r="AB4" s="139"/>
      <c r="AC4" s="139"/>
      <c r="AD4" s="153"/>
      <c r="AF4" s="139"/>
      <c r="AG4" s="139"/>
      <c r="AH4" s="139"/>
      <c r="AI4" s="139"/>
      <c r="AJ4" s="153"/>
      <c r="AL4" s="139"/>
      <c r="AM4" s="139"/>
      <c r="AN4" s="139"/>
      <c r="AO4" s="139"/>
      <c r="AP4" s="153"/>
      <c r="AR4" s="139"/>
      <c r="AS4" s="139"/>
      <c r="AT4" s="139"/>
      <c r="AU4" s="139"/>
      <c r="AV4" s="153"/>
      <c r="AX4" s="139"/>
      <c r="AY4" s="139"/>
      <c r="AZ4" s="139"/>
      <c r="BA4" s="139"/>
      <c r="BB4" s="153"/>
    </row>
    <row r="5" spans="1:54" x14ac:dyDescent="0.25">
      <c r="A5" s="8" t="s">
        <v>8</v>
      </c>
      <c r="B5" s="9">
        <f>B6+B7+B8+B9+B10+B11+B12+B13+B14+B15+B16+B17+B18</f>
        <v>936</v>
      </c>
      <c r="C5" s="9"/>
      <c r="D5" s="9"/>
      <c r="E5" s="9"/>
      <c r="F5" s="9">
        <f t="shared" ref="F5:F19" si="0">SUM(B5:E5)</f>
        <v>936</v>
      </c>
      <c r="H5" s="9">
        <f>H6+H7+H8+H9+H10+H11+H12+H13+H14+H15+H16+H17+H18</f>
        <v>2379</v>
      </c>
      <c r="I5" s="9"/>
      <c r="J5" s="9"/>
      <c r="K5" s="9"/>
      <c r="L5" s="9">
        <f t="shared" ref="L5:L19" si="1">SUM(H5:K5)</f>
        <v>2379</v>
      </c>
      <c r="N5" s="9">
        <f>N6+N7+N8+N9+N10+N11+N12+N13+N14+N15+N16+N17+N18</f>
        <v>1016</v>
      </c>
      <c r="O5" s="9"/>
      <c r="P5" s="9"/>
      <c r="Q5" s="9"/>
      <c r="R5" s="9">
        <f t="shared" ref="R5:R19" si="2">SUM(N5:Q5)</f>
        <v>1016</v>
      </c>
      <c r="T5" s="9">
        <f>T6+T7+T8+T9+T10+T11+T12+T13+T14+T15+T16+T17+T18</f>
        <v>1215</v>
      </c>
      <c r="U5" s="9"/>
      <c r="V5" s="9"/>
      <c r="W5" s="9"/>
      <c r="X5" s="9">
        <f t="shared" ref="X5:X19" si="3">SUM(T5:W5)</f>
        <v>1215</v>
      </c>
      <c r="Z5" s="9">
        <f>Z6+Z7+Z8+Z9+Z10+Z11+Z12+Z13+Z14+Z15+Z16+Z17+Z18</f>
        <v>2254</v>
      </c>
      <c r="AA5" s="9"/>
      <c r="AB5" s="9"/>
      <c r="AC5" s="9"/>
      <c r="AD5" s="9">
        <f t="shared" ref="AD5:AD19" si="4">SUM(Z5:AC5)</f>
        <v>2254</v>
      </c>
      <c r="AF5" s="9">
        <f>AF6+AF7+AF8+AF9+AF10+AF11+AF12+AF13+AF14+AF15+AF16+AF17+AF18</f>
        <v>645</v>
      </c>
      <c r="AG5" s="9"/>
      <c r="AH5" s="9"/>
      <c r="AI5" s="9"/>
      <c r="AJ5" s="9">
        <f t="shared" ref="AJ5:AJ19" si="5">SUM(AF5:AI5)</f>
        <v>645</v>
      </c>
      <c r="AL5" s="9">
        <f>AL6+AL7+AL8+AL9+AL10+AL11+AL12+AL13+AL14+AL15+AL16+AL17+AL18</f>
        <v>0</v>
      </c>
      <c r="AM5" s="9"/>
      <c r="AN5" s="9"/>
      <c r="AO5" s="9"/>
      <c r="AP5" s="9">
        <f t="shared" ref="AP5:AP19" si="6">SUM(AL5:AO5)</f>
        <v>0</v>
      </c>
      <c r="AR5" s="9">
        <f>AR6+AR7+AR8+AR9+AR10+AR11+AR12+AR13+AR14+AR15+AR16+AR17+AR18</f>
        <v>170</v>
      </c>
      <c r="AS5" s="9"/>
      <c r="AT5" s="9"/>
      <c r="AU5" s="9"/>
      <c r="AV5" s="9">
        <f t="shared" ref="AV5:AV19" si="7">SUM(AR5:AU5)</f>
        <v>170</v>
      </c>
      <c r="AX5" s="9">
        <f>B5+H5+N5+T5+Z5+AL5+AR5</f>
        <v>7970</v>
      </c>
      <c r="AY5" s="9">
        <f>C5+I5+O5+U5+AA5+AM5+AS5</f>
        <v>0</v>
      </c>
      <c r="AZ5" s="9">
        <f>D5+J5+P5+V5+AB5+AN5+AT5</f>
        <v>0</v>
      </c>
      <c r="BA5" s="9">
        <f>E5+K5+Q5+W5+AC5+AO5+AU5</f>
        <v>0</v>
      </c>
      <c r="BB5" s="9">
        <f t="shared" ref="BB5:BB19" si="8">SUM(AX5:BA5)</f>
        <v>7970</v>
      </c>
    </row>
    <row r="6" spans="1:54" x14ac:dyDescent="0.25">
      <c r="A6" s="10" t="s">
        <v>9</v>
      </c>
      <c r="B6" s="11">
        <f>6*25</f>
        <v>150</v>
      </c>
      <c r="C6" s="11"/>
      <c r="D6" s="11"/>
      <c r="E6" s="11"/>
      <c r="F6" s="9">
        <f t="shared" si="0"/>
        <v>150</v>
      </c>
      <c r="G6" s="222">
        <f>F6/25</f>
        <v>6</v>
      </c>
      <c r="H6" s="11">
        <f>25*5</f>
        <v>125</v>
      </c>
      <c r="I6" s="11"/>
      <c r="J6" s="11"/>
      <c r="K6" s="11"/>
      <c r="L6" s="9">
        <f t="shared" si="1"/>
        <v>125</v>
      </c>
      <c r="M6" s="221">
        <f>L6/25</f>
        <v>5</v>
      </c>
      <c r="N6" s="11">
        <f>25*4</f>
        <v>100</v>
      </c>
      <c r="O6" s="11"/>
      <c r="P6" s="11"/>
      <c r="Q6" s="11"/>
      <c r="R6" s="9">
        <f t="shared" si="2"/>
        <v>100</v>
      </c>
      <c r="S6" s="221">
        <f>R6/25</f>
        <v>4</v>
      </c>
      <c r="T6" s="11">
        <f>25*5</f>
        <v>125</v>
      </c>
      <c r="U6" s="11"/>
      <c r="V6" s="11"/>
      <c r="W6" s="11"/>
      <c r="X6" s="9">
        <f t="shared" si="3"/>
        <v>125</v>
      </c>
      <c r="Y6" s="221">
        <f>X6/25</f>
        <v>5</v>
      </c>
      <c r="Z6" s="11">
        <f>25*5</f>
        <v>125</v>
      </c>
      <c r="AA6" s="11"/>
      <c r="AB6" s="11"/>
      <c r="AC6" s="11"/>
      <c r="AD6" s="9">
        <f t="shared" si="4"/>
        <v>125</v>
      </c>
      <c r="AE6" s="221">
        <f>AD6/25</f>
        <v>5</v>
      </c>
      <c r="AF6" s="11">
        <f>25*4</f>
        <v>100</v>
      </c>
      <c r="AG6" s="11"/>
      <c r="AH6" s="11"/>
      <c r="AI6" s="11"/>
      <c r="AJ6" s="9">
        <f t="shared" si="5"/>
        <v>100</v>
      </c>
      <c r="AK6" s="221">
        <f>AJ6/25</f>
        <v>4</v>
      </c>
      <c r="AL6" s="11">
        <v>0</v>
      </c>
      <c r="AM6" s="11"/>
      <c r="AN6" s="11"/>
      <c r="AO6" s="11"/>
      <c r="AP6" s="9">
        <f t="shared" si="6"/>
        <v>0</v>
      </c>
      <c r="AR6" s="11"/>
      <c r="AS6" s="11"/>
      <c r="AT6" s="11"/>
      <c r="AU6" s="11"/>
      <c r="AV6" s="9">
        <f t="shared" si="7"/>
        <v>0</v>
      </c>
      <c r="AX6" s="94">
        <f>B6+H6+N6+T6+Z6+AF6+AL6+AR6</f>
        <v>725</v>
      </c>
      <c r="AY6" s="94">
        <f t="shared" ref="AY6:BA6" si="9">C6+I6+O6+U6+AA6+AG6+AM6+AS6</f>
        <v>0</v>
      </c>
      <c r="AZ6" s="94">
        <f t="shared" si="9"/>
        <v>0</v>
      </c>
      <c r="BA6" s="94">
        <f t="shared" si="9"/>
        <v>0</v>
      </c>
      <c r="BB6" s="9">
        <f t="shared" si="8"/>
        <v>725</v>
      </c>
    </row>
    <row r="7" spans="1:54" x14ac:dyDescent="0.25">
      <c r="A7" s="12" t="s">
        <v>10</v>
      </c>
      <c r="B7" s="11">
        <f>6*25</f>
        <v>150</v>
      </c>
      <c r="C7" s="11"/>
      <c r="D7" s="11"/>
      <c r="E7" s="11"/>
      <c r="F7" s="9">
        <f t="shared" si="0"/>
        <v>150</v>
      </c>
      <c r="G7" s="222">
        <f t="shared" ref="G7" si="10">F7/25</f>
        <v>6</v>
      </c>
      <c r="H7" s="11">
        <f>26*5</f>
        <v>130</v>
      </c>
      <c r="I7" s="11"/>
      <c r="J7" s="11"/>
      <c r="K7" s="11"/>
      <c r="L7" s="9">
        <f t="shared" si="1"/>
        <v>130</v>
      </c>
      <c r="M7" s="221">
        <f>L7/26</f>
        <v>5</v>
      </c>
      <c r="N7" s="11">
        <f>25*4</f>
        <v>100</v>
      </c>
      <c r="O7" s="11"/>
      <c r="P7" s="11"/>
      <c r="Q7" s="11"/>
      <c r="R7" s="9">
        <f t="shared" si="2"/>
        <v>100</v>
      </c>
      <c r="S7" s="221">
        <f>R7/25</f>
        <v>4</v>
      </c>
      <c r="T7" s="11">
        <f>25*5</f>
        <v>125</v>
      </c>
      <c r="U7" s="11"/>
      <c r="V7" s="11"/>
      <c r="W7" s="11"/>
      <c r="X7" s="9">
        <f t="shared" si="3"/>
        <v>125</v>
      </c>
      <c r="Y7" s="221">
        <f>X7/25</f>
        <v>5</v>
      </c>
      <c r="Z7" s="11">
        <f t="shared" ref="Z7" si="11">25*5</f>
        <v>125</v>
      </c>
      <c r="AA7" s="11"/>
      <c r="AB7" s="11"/>
      <c r="AC7" s="11"/>
      <c r="AD7" s="9">
        <f t="shared" si="4"/>
        <v>125</v>
      </c>
      <c r="AE7" s="221">
        <f>AD7/25</f>
        <v>5</v>
      </c>
      <c r="AF7" s="11">
        <f>25*4</f>
        <v>100</v>
      </c>
      <c r="AG7" s="11"/>
      <c r="AH7" s="11"/>
      <c r="AI7" s="11"/>
      <c r="AJ7" s="9">
        <f t="shared" si="5"/>
        <v>100</v>
      </c>
      <c r="AK7" s="221">
        <f t="shared" ref="AK7:AK11" si="12">AJ7/25</f>
        <v>4</v>
      </c>
      <c r="AL7" s="11">
        <v>0</v>
      </c>
      <c r="AM7" s="11"/>
      <c r="AN7" s="11"/>
      <c r="AO7" s="11"/>
      <c r="AP7" s="9">
        <f t="shared" si="6"/>
        <v>0</v>
      </c>
      <c r="AR7" s="11"/>
      <c r="AS7" s="11"/>
      <c r="AT7" s="11"/>
      <c r="AU7" s="11"/>
      <c r="AV7" s="9">
        <f t="shared" si="7"/>
        <v>0</v>
      </c>
      <c r="AX7" s="94">
        <f t="shared" ref="AX7:AX18" si="13">B7+H7+N7+T7+Z7+AF7+AL7+AR7</f>
        <v>730</v>
      </c>
      <c r="AY7" s="94">
        <f t="shared" ref="AY7:AY18" si="14">C7+I7+O7+U7+AA7+AG7+AM7+AS7</f>
        <v>0</v>
      </c>
      <c r="AZ7" s="94">
        <f t="shared" ref="AZ7:AZ18" si="15">D7+J7+P7+V7+AB7+AH7+AN7+AT7</f>
        <v>0</v>
      </c>
      <c r="BA7" s="94">
        <f t="shared" ref="BA7:BA18" si="16">E7+K7+Q7+W7+AC7+AI7+AO7+AU7</f>
        <v>0</v>
      </c>
      <c r="BB7" s="9">
        <f t="shared" si="8"/>
        <v>730</v>
      </c>
    </row>
    <row r="8" spans="1:54" x14ac:dyDescent="0.25">
      <c r="A8" s="12" t="s">
        <v>11</v>
      </c>
      <c r="B8" s="11">
        <f>6*26</f>
        <v>156</v>
      </c>
      <c r="C8" s="11"/>
      <c r="D8" s="11"/>
      <c r="E8" s="11"/>
      <c r="F8" s="9">
        <f t="shared" si="0"/>
        <v>156</v>
      </c>
      <c r="G8" s="222">
        <f>F8/26</f>
        <v>6</v>
      </c>
      <c r="H8" s="11">
        <f>27*5</f>
        <v>135</v>
      </c>
      <c r="I8" s="11"/>
      <c r="J8" s="11"/>
      <c r="K8" s="11"/>
      <c r="L8" s="9">
        <f t="shared" si="1"/>
        <v>135</v>
      </c>
      <c r="M8" s="221">
        <f>L8/27</f>
        <v>5</v>
      </c>
      <c r="N8" s="11">
        <f>26*4</f>
        <v>104</v>
      </c>
      <c r="O8" s="11"/>
      <c r="P8" s="11"/>
      <c r="Q8" s="11"/>
      <c r="R8" s="9">
        <f t="shared" si="2"/>
        <v>104</v>
      </c>
      <c r="S8" s="221">
        <f>R8/26</f>
        <v>4</v>
      </c>
      <c r="T8" s="11">
        <f>25*5</f>
        <v>125</v>
      </c>
      <c r="U8" s="11"/>
      <c r="V8" s="11"/>
      <c r="W8" s="11"/>
      <c r="X8" s="9">
        <f t="shared" si="3"/>
        <v>125</v>
      </c>
      <c r="Y8" s="221">
        <f>X8/25</f>
        <v>5</v>
      </c>
      <c r="Z8" s="11">
        <f>26*5</f>
        <v>130</v>
      </c>
      <c r="AA8" s="11"/>
      <c r="AB8" s="11"/>
      <c r="AC8" s="11"/>
      <c r="AD8" s="9">
        <f t="shared" si="4"/>
        <v>130</v>
      </c>
      <c r="AE8" s="221">
        <f>AD8/26</f>
        <v>5</v>
      </c>
      <c r="AF8" s="11">
        <f>25*4</f>
        <v>100</v>
      </c>
      <c r="AG8" s="11"/>
      <c r="AH8" s="11"/>
      <c r="AI8" s="11"/>
      <c r="AJ8" s="9">
        <f t="shared" si="5"/>
        <v>100</v>
      </c>
      <c r="AK8" s="221">
        <f t="shared" si="12"/>
        <v>4</v>
      </c>
      <c r="AL8" s="11">
        <v>0</v>
      </c>
      <c r="AM8" s="11"/>
      <c r="AN8" s="11"/>
      <c r="AO8" s="11"/>
      <c r="AP8" s="9">
        <f t="shared" si="6"/>
        <v>0</v>
      </c>
      <c r="AR8" s="11"/>
      <c r="AS8" s="11"/>
      <c r="AT8" s="11"/>
      <c r="AU8" s="11"/>
      <c r="AV8" s="9">
        <f t="shared" si="7"/>
        <v>0</v>
      </c>
      <c r="AX8" s="94">
        <f t="shared" si="13"/>
        <v>750</v>
      </c>
      <c r="AY8" s="94">
        <f t="shared" si="14"/>
        <v>0</v>
      </c>
      <c r="AZ8" s="94">
        <f t="shared" si="15"/>
        <v>0</v>
      </c>
      <c r="BA8" s="94">
        <f t="shared" si="16"/>
        <v>0</v>
      </c>
      <c r="BB8" s="9">
        <f t="shared" si="8"/>
        <v>750</v>
      </c>
    </row>
    <row r="9" spans="1:54" x14ac:dyDescent="0.25">
      <c r="A9" s="13" t="s">
        <v>12</v>
      </c>
      <c r="B9" s="11">
        <f>6*26</f>
        <v>156</v>
      </c>
      <c r="C9" s="11"/>
      <c r="D9" s="11"/>
      <c r="E9" s="11"/>
      <c r="F9" s="9">
        <f t="shared" si="0"/>
        <v>156</v>
      </c>
      <c r="G9" s="222">
        <f>F9/26</f>
        <v>6</v>
      </c>
      <c r="H9" s="11">
        <f>27*5</f>
        <v>135</v>
      </c>
      <c r="I9" s="11"/>
      <c r="J9" s="11"/>
      <c r="K9" s="11"/>
      <c r="L9" s="9">
        <f t="shared" si="1"/>
        <v>135</v>
      </c>
      <c r="M9" s="221">
        <f>L9/27</f>
        <v>5</v>
      </c>
      <c r="N9" s="11">
        <f>27*4</f>
        <v>108</v>
      </c>
      <c r="O9" s="11"/>
      <c r="P9" s="11"/>
      <c r="Q9" s="11"/>
      <c r="R9" s="9">
        <f t="shared" si="2"/>
        <v>108</v>
      </c>
      <c r="S9" s="221">
        <f>R9/27</f>
        <v>4</v>
      </c>
      <c r="T9" s="11">
        <f t="shared" ref="T9:T11" si="17">26*6</f>
        <v>156</v>
      </c>
      <c r="U9" s="11"/>
      <c r="V9" s="11"/>
      <c r="W9" s="11"/>
      <c r="X9" s="9">
        <f t="shared" si="3"/>
        <v>156</v>
      </c>
      <c r="Y9" s="221">
        <f t="shared" ref="Y9:Y11" si="18">X9/26</f>
        <v>6</v>
      </c>
      <c r="Z9" s="11">
        <f>26*5</f>
        <v>130</v>
      </c>
      <c r="AA9" s="11"/>
      <c r="AB9" s="11"/>
      <c r="AC9" s="11"/>
      <c r="AD9" s="9">
        <f t="shared" si="4"/>
        <v>130</v>
      </c>
      <c r="AE9" s="221">
        <f t="shared" ref="AE9" si="19">AD9/26</f>
        <v>5</v>
      </c>
      <c r="AF9" s="11">
        <f>25*4</f>
        <v>100</v>
      </c>
      <c r="AG9" s="11"/>
      <c r="AH9" s="11"/>
      <c r="AI9" s="11"/>
      <c r="AJ9" s="9">
        <f t="shared" si="5"/>
        <v>100</v>
      </c>
      <c r="AK9" s="221">
        <f t="shared" si="12"/>
        <v>4</v>
      </c>
      <c r="AL9" s="11">
        <v>0</v>
      </c>
      <c r="AM9" s="11"/>
      <c r="AN9" s="11"/>
      <c r="AO9" s="11"/>
      <c r="AP9" s="9">
        <f t="shared" si="6"/>
        <v>0</v>
      </c>
      <c r="AR9" s="11"/>
      <c r="AS9" s="11"/>
      <c r="AT9" s="11"/>
      <c r="AU9" s="11"/>
      <c r="AV9" s="9">
        <f t="shared" si="7"/>
        <v>0</v>
      </c>
      <c r="AX9" s="94">
        <f t="shared" si="13"/>
        <v>785</v>
      </c>
      <c r="AY9" s="94">
        <f t="shared" si="14"/>
        <v>0</v>
      </c>
      <c r="AZ9" s="94">
        <f t="shared" si="15"/>
        <v>0</v>
      </c>
      <c r="BA9" s="94">
        <f t="shared" si="16"/>
        <v>0</v>
      </c>
      <c r="BB9" s="9">
        <f t="shared" si="8"/>
        <v>785</v>
      </c>
    </row>
    <row r="10" spans="1:54" x14ac:dyDescent="0.25">
      <c r="A10" s="13" t="s">
        <v>13</v>
      </c>
      <c r="B10" s="11">
        <f>6*27</f>
        <v>162</v>
      </c>
      <c r="C10" s="11"/>
      <c r="D10" s="11"/>
      <c r="E10" s="11"/>
      <c r="F10" s="9">
        <f t="shared" si="0"/>
        <v>162</v>
      </c>
      <c r="G10" s="222">
        <f>F10/27</f>
        <v>6</v>
      </c>
      <c r="H10" s="11">
        <f>28*5</f>
        <v>140</v>
      </c>
      <c r="I10" s="11"/>
      <c r="J10" s="11"/>
      <c r="K10" s="11"/>
      <c r="L10" s="9">
        <f t="shared" si="1"/>
        <v>140</v>
      </c>
      <c r="M10" s="221">
        <f>L10/28</f>
        <v>5</v>
      </c>
      <c r="N10" s="11">
        <f>27*4</f>
        <v>108</v>
      </c>
      <c r="O10" s="11"/>
      <c r="P10" s="11"/>
      <c r="Q10" s="11"/>
      <c r="R10" s="9">
        <f t="shared" si="2"/>
        <v>108</v>
      </c>
      <c r="S10" s="221">
        <f>R10/27</f>
        <v>4</v>
      </c>
      <c r="T10" s="11">
        <f t="shared" si="17"/>
        <v>156</v>
      </c>
      <c r="U10" s="11"/>
      <c r="V10" s="11"/>
      <c r="W10" s="11"/>
      <c r="X10" s="9">
        <f t="shared" si="3"/>
        <v>156</v>
      </c>
      <c r="Y10" s="221">
        <f t="shared" si="18"/>
        <v>6</v>
      </c>
      <c r="Z10" s="11">
        <f>27*5</f>
        <v>135</v>
      </c>
      <c r="AA10" s="11"/>
      <c r="AB10" s="11"/>
      <c r="AC10" s="11"/>
      <c r="AD10" s="9">
        <f t="shared" si="4"/>
        <v>135</v>
      </c>
      <c r="AE10" s="221">
        <f>AD10/27</f>
        <v>5</v>
      </c>
      <c r="AF10" s="11">
        <f>25*3</f>
        <v>75</v>
      </c>
      <c r="AG10" s="11"/>
      <c r="AH10" s="11"/>
      <c r="AI10" s="11"/>
      <c r="AJ10" s="9">
        <f t="shared" si="5"/>
        <v>75</v>
      </c>
      <c r="AK10" s="221">
        <f t="shared" si="12"/>
        <v>3</v>
      </c>
      <c r="AL10" s="11">
        <v>0</v>
      </c>
      <c r="AM10" s="11"/>
      <c r="AN10" s="11"/>
      <c r="AO10" s="11"/>
      <c r="AP10" s="9">
        <f t="shared" si="6"/>
        <v>0</v>
      </c>
      <c r="AR10" s="11"/>
      <c r="AS10" s="11"/>
      <c r="AT10" s="11"/>
      <c r="AU10" s="11"/>
      <c r="AV10" s="9">
        <f t="shared" si="7"/>
        <v>0</v>
      </c>
      <c r="AX10" s="94">
        <f t="shared" si="13"/>
        <v>776</v>
      </c>
      <c r="AY10" s="94">
        <f t="shared" si="14"/>
        <v>0</v>
      </c>
      <c r="AZ10" s="94">
        <f t="shared" si="15"/>
        <v>0</v>
      </c>
      <c r="BA10" s="94">
        <f t="shared" si="16"/>
        <v>0</v>
      </c>
      <c r="BB10" s="9">
        <f t="shared" si="8"/>
        <v>776</v>
      </c>
    </row>
    <row r="11" spans="1:54" x14ac:dyDescent="0.25">
      <c r="A11" s="13" t="s">
        <v>14</v>
      </c>
      <c r="B11" s="11">
        <f>6*27</f>
        <v>162</v>
      </c>
      <c r="C11" s="11"/>
      <c r="D11" s="11"/>
      <c r="E11" s="11"/>
      <c r="F11" s="9">
        <f t="shared" si="0"/>
        <v>162</v>
      </c>
      <c r="G11" s="222">
        <f>F11/27</f>
        <v>6</v>
      </c>
      <c r="H11" s="11">
        <f>29*5</f>
        <v>145</v>
      </c>
      <c r="I11" s="11"/>
      <c r="J11" s="11"/>
      <c r="K11" s="11"/>
      <c r="L11" s="9">
        <f t="shared" si="1"/>
        <v>145</v>
      </c>
      <c r="M11" s="221">
        <f>L11/29</f>
        <v>5</v>
      </c>
      <c r="N11" s="11">
        <v>124</v>
      </c>
      <c r="O11" s="11"/>
      <c r="P11" s="11"/>
      <c r="Q11" s="11"/>
      <c r="R11" s="9">
        <f t="shared" si="2"/>
        <v>124</v>
      </c>
      <c r="S11" s="221">
        <f>R11/31</f>
        <v>4</v>
      </c>
      <c r="T11" s="11">
        <f t="shared" si="17"/>
        <v>156</v>
      </c>
      <c r="U11" s="11"/>
      <c r="V11" s="11"/>
      <c r="W11" s="11"/>
      <c r="X11" s="9">
        <f t="shared" si="3"/>
        <v>156</v>
      </c>
      <c r="Y11" s="221">
        <f t="shared" si="18"/>
        <v>6</v>
      </c>
      <c r="Z11" s="11">
        <f>27*5</f>
        <v>135</v>
      </c>
      <c r="AA11" s="11"/>
      <c r="AB11" s="11"/>
      <c r="AC11" s="11"/>
      <c r="AD11" s="9">
        <f t="shared" si="4"/>
        <v>135</v>
      </c>
      <c r="AE11" s="221">
        <f>AD11/27</f>
        <v>5</v>
      </c>
      <c r="AF11" s="11">
        <f>25*2</f>
        <v>50</v>
      </c>
      <c r="AG11" s="11"/>
      <c r="AH11" s="11"/>
      <c r="AI11" s="11"/>
      <c r="AJ11" s="9">
        <f t="shared" si="5"/>
        <v>50</v>
      </c>
      <c r="AK11" s="221">
        <f t="shared" si="12"/>
        <v>2</v>
      </c>
      <c r="AL11" s="11">
        <v>0</v>
      </c>
      <c r="AM11" s="11"/>
      <c r="AN11" s="11"/>
      <c r="AO11" s="11"/>
      <c r="AP11" s="9">
        <f t="shared" si="6"/>
        <v>0</v>
      </c>
      <c r="AR11" s="11"/>
      <c r="AS11" s="11"/>
      <c r="AT11" s="11"/>
      <c r="AU11" s="11"/>
      <c r="AV11" s="9">
        <f t="shared" si="7"/>
        <v>0</v>
      </c>
      <c r="AX11" s="94">
        <f t="shared" si="13"/>
        <v>772</v>
      </c>
      <c r="AY11" s="94">
        <f t="shared" si="14"/>
        <v>0</v>
      </c>
      <c r="AZ11" s="94">
        <f t="shared" si="15"/>
        <v>0</v>
      </c>
      <c r="BA11" s="94">
        <f t="shared" si="16"/>
        <v>0</v>
      </c>
      <c r="BB11" s="9">
        <f t="shared" si="8"/>
        <v>772</v>
      </c>
    </row>
    <row r="12" spans="1:54" x14ac:dyDescent="0.25">
      <c r="A12" s="13" t="s">
        <v>15</v>
      </c>
      <c r="B12" s="11"/>
      <c r="C12" s="7"/>
      <c r="D12" s="7"/>
      <c r="E12" s="7"/>
      <c r="F12" s="9">
        <f t="shared" si="0"/>
        <v>0</v>
      </c>
      <c r="H12" s="11">
        <f>31*8</f>
        <v>248</v>
      </c>
      <c r="I12" s="7"/>
      <c r="J12" s="7"/>
      <c r="K12" s="7"/>
      <c r="L12" s="9">
        <f t="shared" si="1"/>
        <v>248</v>
      </c>
      <c r="M12" s="221">
        <f>L12/31</f>
        <v>8</v>
      </c>
      <c r="N12" s="11">
        <f>31*4</f>
        <v>124</v>
      </c>
      <c r="O12" s="7"/>
      <c r="P12" s="7"/>
      <c r="Q12" s="7"/>
      <c r="R12" s="9">
        <f t="shared" si="2"/>
        <v>124</v>
      </c>
      <c r="S12" s="221">
        <f>R12/31</f>
        <v>4</v>
      </c>
      <c r="T12" s="11">
        <f>31*4</f>
        <v>124</v>
      </c>
      <c r="U12" s="7"/>
      <c r="V12" s="7"/>
      <c r="W12" s="7"/>
      <c r="X12" s="9">
        <f t="shared" si="3"/>
        <v>124</v>
      </c>
      <c r="Y12" s="221">
        <f>T12/31</f>
        <v>4</v>
      </c>
      <c r="Z12" s="11">
        <f>31*7</f>
        <v>217</v>
      </c>
      <c r="AA12" s="7"/>
      <c r="AB12" s="7"/>
      <c r="AC12" s="7"/>
      <c r="AD12" s="9">
        <f t="shared" si="4"/>
        <v>217</v>
      </c>
      <c r="AE12" s="221">
        <f>AD12/31</f>
        <v>7</v>
      </c>
      <c r="AF12" s="11">
        <f>30*4</f>
        <v>120</v>
      </c>
      <c r="AG12" s="7"/>
      <c r="AH12" s="7"/>
      <c r="AI12" s="7"/>
      <c r="AJ12" s="9">
        <f t="shared" si="5"/>
        <v>120</v>
      </c>
      <c r="AK12" s="221">
        <f>AJ12/30</f>
        <v>4</v>
      </c>
      <c r="AL12" s="11">
        <v>0</v>
      </c>
      <c r="AM12" s="7"/>
      <c r="AN12" s="7"/>
      <c r="AO12" s="7"/>
      <c r="AP12" s="9">
        <f t="shared" si="6"/>
        <v>0</v>
      </c>
      <c r="AR12" s="11">
        <v>30</v>
      </c>
      <c r="AS12" s="7"/>
      <c r="AT12" s="7"/>
      <c r="AU12" s="7"/>
      <c r="AV12" s="9">
        <f t="shared" si="7"/>
        <v>30</v>
      </c>
      <c r="AX12" s="94">
        <f t="shared" si="13"/>
        <v>863</v>
      </c>
      <c r="AY12" s="94">
        <f t="shared" si="14"/>
        <v>0</v>
      </c>
      <c r="AZ12" s="94">
        <f t="shared" si="15"/>
        <v>0</v>
      </c>
      <c r="BA12" s="94">
        <f t="shared" si="16"/>
        <v>0</v>
      </c>
      <c r="BB12" s="9">
        <f t="shared" si="8"/>
        <v>863</v>
      </c>
    </row>
    <row r="13" spans="1:54" x14ac:dyDescent="0.25">
      <c r="A13" s="13" t="s">
        <v>16</v>
      </c>
      <c r="B13" s="11"/>
      <c r="C13" s="7"/>
      <c r="D13" s="7"/>
      <c r="E13" s="7"/>
      <c r="F13" s="9">
        <f t="shared" si="0"/>
        <v>0</v>
      </c>
      <c r="H13" s="11">
        <f t="shared" ref="H13:H14" si="20">31*8</f>
        <v>248</v>
      </c>
      <c r="I13" s="7"/>
      <c r="J13" s="7"/>
      <c r="K13" s="7"/>
      <c r="L13" s="9">
        <f t="shared" si="1"/>
        <v>248</v>
      </c>
      <c r="M13" s="221">
        <f t="shared" ref="M13:M14" si="21">L13/31</f>
        <v>8</v>
      </c>
      <c r="N13" s="11">
        <f>31*4</f>
        <v>124</v>
      </c>
      <c r="O13" s="7"/>
      <c r="P13" s="7"/>
      <c r="Q13" s="7"/>
      <c r="R13" s="9">
        <f t="shared" si="2"/>
        <v>124</v>
      </c>
      <c r="S13" s="221">
        <f t="shared" ref="S13:S14" si="22">R13/31</f>
        <v>4</v>
      </c>
      <c r="T13" s="11">
        <f>31*4</f>
        <v>124</v>
      </c>
      <c r="U13" s="7"/>
      <c r="V13" s="7"/>
      <c r="W13" s="7"/>
      <c r="X13" s="9">
        <f t="shared" si="3"/>
        <v>124</v>
      </c>
      <c r="Y13" s="221">
        <f t="shared" ref="Y13:Y14" si="23">T13/31</f>
        <v>4</v>
      </c>
      <c r="Z13" s="11">
        <f>31*7</f>
        <v>217</v>
      </c>
      <c r="AA13" s="7"/>
      <c r="AB13" s="7"/>
      <c r="AC13" s="7"/>
      <c r="AD13" s="9">
        <f t="shared" si="4"/>
        <v>217</v>
      </c>
      <c r="AE13" s="221">
        <f t="shared" ref="AE13:AE15" si="24">AD13/31</f>
        <v>7</v>
      </c>
      <c r="AF13" s="11"/>
      <c r="AG13" s="7"/>
      <c r="AH13" s="7"/>
      <c r="AI13" s="7"/>
      <c r="AJ13" s="9">
        <f t="shared" si="5"/>
        <v>0</v>
      </c>
      <c r="AK13" s="221"/>
      <c r="AL13" s="11">
        <v>0</v>
      </c>
      <c r="AM13" s="7"/>
      <c r="AN13" s="7"/>
      <c r="AO13" s="7"/>
      <c r="AP13" s="9">
        <f t="shared" si="6"/>
        <v>0</v>
      </c>
      <c r="AR13" s="11">
        <v>30</v>
      </c>
      <c r="AS13" s="7"/>
      <c r="AT13" s="7"/>
      <c r="AU13" s="7"/>
      <c r="AV13" s="9">
        <f t="shared" si="7"/>
        <v>30</v>
      </c>
      <c r="AX13" s="94">
        <f t="shared" si="13"/>
        <v>743</v>
      </c>
      <c r="AY13" s="94">
        <f t="shared" si="14"/>
        <v>0</v>
      </c>
      <c r="AZ13" s="94">
        <f t="shared" si="15"/>
        <v>0</v>
      </c>
      <c r="BA13" s="94">
        <f t="shared" si="16"/>
        <v>0</v>
      </c>
      <c r="BB13" s="9">
        <f t="shared" si="8"/>
        <v>743</v>
      </c>
    </row>
    <row r="14" spans="1:54" x14ac:dyDescent="0.25">
      <c r="A14" s="13" t="s">
        <v>17</v>
      </c>
      <c r="B14" s="11"/>
      <c r="C14" s="7"/>
      <c r="D14" s="7"/>
      <c r="E14" s="7"/>
      <c r="F14" s="9">
        <f t="shared" si="0"/>
        <v>0</v>
      </c>
      <c r="H14" s="11">
        <f t="shared" si="20"/>
        <v>248</v>
      </c>
      <c r="I14" s="7"/>
      <c r="J14" s="7"/>
      <c r="K14" s="7"/>
      <c r="L14" s="9">
        <f t="shared" si="1"/>
        <v>248</v>
      </c>
      <c r="M14" s="221">
        <f t="shared" si="21"/>
        <v>8</v>
      </c>
      <c r="N14" s="11">
        <f>31*4</f>
        <v>124</v>
      </c>
      <c r="O14" s="7"/>
      <c r="P14" s="7"/>
      <c r="Q14" s="7"/>
      <c r="R14" s="9">
        <f t="shared" si="2"/>
        <v>124</v>
      </c>
      <c r="S14" s="221">
        <f t="shared" si="22"/>
        <v>4</v>
      </c>
      <c r="T14" s="11">
        <f>31*4</f>
        <v>124</v>
      </c>
      <c r="U14" s="7"/>
      <c r="V14" s="7"/>
      <c r="W14" s="7"/>
      <c r="X14" s="9">
        <f t="shared" si="3"/>
        <v>124</v>
      </c>
      <c r="Y14" s="221">
        <f t="shared" si="23"/>
        <v>4</v>
      </c>
      <c r="Z14" s="11">
        <f>31*7</f>
        <v>217</v>
      </c>
      <c r="AA14" s="7"/>
      <c r="AB14" s="7"/>
      <c r="AC14" s="7"/>
      <c r="AD14" s="9">
        <f t="shared" si="4"/>
        <v>217</v>
      </c>
      <c r="AE14" s="221">
        <f t="shared" si="24"/>
        <v>7</v>
      </c>
      <c r="AF14" s="11"/>
      <c r="AG14" s="7"/>
      <c r="AH14" s="7"/>
      <c r="AI14" s="7"/>
      <c r="AJ14" s="9">
        <f t="shared" si="5"/>
        <v>0</v>
      </c>
      <c r="AK14" s="221"/>
      <c r="AL14" s="11">
        <v>0</v>
      </c>
      <c r="AM14" s="7"/>
      <c r="AN14" s="7"/>
      <c r="AO14" s="7"/>
      <c r="AP14" s="9">
        <f t="shared" si="6"/>
        <v>0</v>
      </c>
      <c r="AR14" s="11">
        <v>30</v>
      </c>
      <c r="AS14" s="7"/>
      <c r="AT14" s="7"/>
      <c r="AU14" s="7"/>
      <c r="AV14" s="9">
        <f t="shared" si="7"/>
        <v>30</v>
      </c>
      <c r="AX14" s="94">
        <f t="shared" si="13"/>
        <v>743</v>
      </c>
      <c r="AY14" s="94">
        <f t="shared" si="14"/>
        <v>0</v>
      </c>
      <c r="AZ14" s="94">
        <f t="shared" si="15"/>
        <v>0</v>
      </c>
      <c r="BA14" s="94">
        <f t="shared" si="16"/>
        <v>0</v>
      </c>
      <c r="BB14" s="9">
        <f t="shared" si="8"/>
        <v>743</v>
      </c>
    </row>
    <row r="15" spans="1:54" x14ac:dyDescent="0.25">
      <c r="A15" s="13" t="s">
        <v>18</v>
      </c>
      <c r="B15" s="11"/>
      <c r="C15" s="7"/>
      <c r="D15" s="7"/>
      <c r="E15" s="7"/>
      <c r="F15" s="9">
        <f t="shared" si="0"/>
        <v>0</v>
      </c>
      <c r="H15" s="11">
        <f>30*8</f>
        <v>240</v>
      </c>
      <c r="I15" s="7"/>
      <c r="J15" s="7"/>
      <c r="K15" s="7"/>
      <c r="L15" s="9">
        <f t="shared" si="1"/>
        <v>240</v>
      </c>
      <c r="M15" s="221">
        <f>L15/30</f>
        <v>8</v>
      </c>
      <c r="N15" s="11"/>
      <c r="O15" s="7"/>
      <c r="P15" s="7"/>
      <c r="Q15" s="7"/>
      <c r="R15" s="9">
        <f t="shared" si="2"/>
        <v>0</v>
      </c>
      <c r="T15" s="11"/>
      <c r="U15" s="7"/>
      <c r="V15" s="7"/>
      <c r="W15" s="7"/>
      <c r="X15" s="9">
        <f t="shared" si="3"/>
        <v>0</v>
      </c>
      <c r="Z15" s="11">
        <f>31*8</f>
        <v>248</v>
      </c>
      <c r="AA15" s="7"/>
      <c r="AB15" s="7"/>
      <c r="AC15" s="7"/>
      <c r="AD15" s="9">
        <f t="shared" si="4"/>
        <v>248</v>
      </c>
      <c r="AE15" s="221">
        <f t="shared" si="24"/>
        <v>8</v>
      </c>
      <c r="AF15" s="11"/>
      <c r="AG15" s="7"/>
      <c r="AH15" s="7"/>
      <c r="AI15" s="7"/>
      <c r="AJ15" s="9">
        <f t="shared" si="5"/>
        <v>0</v>
      </c>
      <c r="AK15" s="221"/>
      <c r="AL15" s="11">
        <v>0</v>
      </c>
      <c r="AM15" s="7"/>
      <c r="AN15" s="7"/>
      <c r="AO15" s="7"/>
      <c r="AP15" s="9">
        <f t="shared" si="6"/>
        <v>0</v>
      </c>
      <c r="AR15" s="11">
        <v>30</v>
      </c>
      <c r="AS15" s="7"/>
      <c r="AT15" s="7"/>
      <c r="AU15" s="7"/>
      <c r="AV15" s="9">
        <f t="shared" si="7"/>
        <v>30</v>
      </c>
      <c r="AX15" s="94">
        <f t="shared" si="13"/>
        <v>518</v>
      </c>
      <c r="AY15" s="94">
        <f t="shared" si="14"/>
        <v>0</v>
      </c>
      <c r="AZ15" s="94">
        <f t="shared" si="15"/>
        <v>0</v>
      </c>
      <c r="BA15" s="94">
        <f t="shared" si="16"/>
        <v>0</v>
      </c>
      <c r="BB15" s="9">
        <f t="shared" si="8"/>
        <v>518</v>
      </c>
    </row>
    <row r="16" spans="1:54" x14ac:dyDescent="0.25">
      <c r="A16" s="13" t="s">
        <v>19</v>
      </c>
      <c r="B16" s="11"/>
      <c r="C16" s="7"/>
      <c r="D16" s="7"/>
      <c r="E16" s="7"/>
      <c r="F16" s="9">
        <f t="shared" si="0"/>
        <v>0</v>
      </c>
      <c r="H16" s="11">
        <v>220</v>
      </c>
      <c r="I16" s="7"/>
      <c r="J16" s="7"/>
      <c r="K16" s="7"/>
      <c r="L16" s="9">
        <f t="shared" si="1"/>
        <v>220</v>
      </c>
      <c r="M16" s="221">
        <v>7</v>
      </c>
      <c r="N16" s="11"/>
      <c r="O16" s="7"/>
      <c r="P16" s="7"/>
      <c r="Q16" s="7"/>
      <c r="R16" s="9">
        <f t="shared" si="2"/>
        <v>0</v>
      </c>
      <c r="T16" s="11"/>
      <c r="U16" s="7"/>
      <c r="V16" s="7"/>
      <c r="W16" s="7"/>
      <c r="X16" s="9">
        <f t="shared" si="3"/>
        <v>0</v>
      </c>
      <c r="Z16" s="11">
        <f>30*8</f>
        <v>240</v>
      </c>
      <c r="AA16" s="7"/>
      <c r="AB16" s="7"/>
      <c r="AC16" s="7"/>
      <c r="AD16" s="9">
        <f t="shared" si="4"/>
        <v>240</v>
      </c>
      <c r="AE16" s="221">
        <f>AD16/30</f>
        <v>8</v>
      </c>
      <c r="AF16" s="11"/>
      <c r="AG16" s="7"/>
      <c r="AH16" s="7"/>
      <c r="AI16" s="7"/>
      <c r="AJ16" s="9">
        <f t="shared" si="5"/>
        <v>0</v>
      </c>
      <c r="AK16" s="221"/>
      <c r="AL16" s="11">
        <v>0</v>
      </c>
      <c r="AM16" s="7"/>
      <c r="AN16" s="7"/>
      <c r="AO16" s="7"/>
      <c r="AP16" s="9">
        <f t="shared" si="6"/>
        <v>0</v>
      </c>
      <c r="AR16" s="11">
        <v>30</v>
      </c>
      <c r="AS16" s="7"/>
      <c r="AT16" s="7"/>
      <c r="AU16" s="7"/>
      <c r="AV16" s="9">
        <f t="shared" si="7"/>
        <v>30</v>
      </c>
      <c r="AX16" s="94">
        <f t="shared" si="13"/>
        <v>490</v>
      </c>
      <c r="AY16" s="94">
        <f t="shared" si="14"/>
        <v>0</v>
      </c>
      <c r="AZ16" s="94">
        <f t="shared" si="15"/>
        <v>0</v>
      </c>
      <c r="BA16" s="94">
        <f t="shared" si="16"/>
        <v>0</v>
      </c>
      <c r="BB16" s="9">
        <f t="shared" si="8"/>
        <v>490</v>
      </c>
    </row>
    <row r="17" spans="1:55" x14ac:dyDescent="0.25">
      <c r="A17" s="13" t="s">
        <v>20</v>
      </c>
      <c r="B17" s="11"/>
      <c r="C17" s="7"/>
      <c r="D17" s="7"/>
      <c r="E17" s="7"/>
      <c r="F17" s="9">
        <f t="shared" si="0"/>
        <v>0</v>
      </c>
      <c r="H17" s="11">
        <v>195</v>
      </c>
      <c r="I17" s="7"/>
      <c r="J17" s="7"/>
      <c r="K17" s="7"/>
      <c r="L17" s="9">
        <f t="shared" si="1"/>
        <v>195</v>
      </c>
      <c r="M17" s="221">
        <v>7</v>
      </c>
      <c r="N17" s="11"/>
      <c r="O17" s="7"/>
      <c r="P17" s="7"/>
      <c r="Q17" s="7"/>
      <c r="R17" s="9">
        <f t="shared" si="2"/>
        <v>0</v>
      </c>
      <c r="T17" s="11"/>
      <c r="U17" s="7"/>
      <c r="V17" s="7"/>
      <c r="W17" s="7"/>
      <c r="X17" s="9">
        <f t="shared" si="3"/>
        <v>0</v>
      </c>
      <c r="Z17" s="11">
        <v>200</v>
      </c>
      <c r="AA17" s="7"/>
      <c r="AB17" s="7"/>
      <c r="AC17" s="7"/>
      <c r="AD17" s="9">
        <f t="shared" si="4"/>
        <v>200</v>
      </c>
      <c r="AE17" s="221">
        <v>7</v>
      </c>
      <c r="AF17" s="11"/>
      <c r="AG17" s="7"/>
      <c r="AH17" s="7"/>
      <c r="AI17" s="7"/>
      <c r="AJ17" s="9">
        <f t="shared" si="5"/>
        <v>0</v>
      </c>
      <c r="AK17" s="221"/>
      <c r="AL17" s="11">
        <v>0</v>
      </c>
      <c r="AM17" s="7"/>
      <c r="AN17" s="7"/>
      <c r="AO17" s="7"/>
      <c r="AP17" s="9">
        <f t="shared" si="6"/>
        <v>0</v>
      </c>
      <c r="AR17" s="11">
        <v>20</v>
      </c>
      <c r="AS17" s="7"/>
      <c r="AT17" s="7"/>
      <c r="AU17" s="7"/>
      <c r="AV17" s="9">
        <f t="shared" si="7"/>
        <v>20</v>
      </c>
      <c r="AX17" s="94">
        <f t="shared" si="13"/>
        <v>415</v>
      </c>
      <c r="AY17" s="94">
        <f t="shared" si="14"/>
        <v>0</v>
      </c>
      <c r="AZ17" s="94">
        <f t="shared" si="15"/>
        <v>0</v>
      </c>
      <c r="BA17" s="94">
        <f t="shared" si="16"/>
        <v>0</v>
      </c>
      <c r="BB17" s="9">
        <f t="shared" si="8"/>
        <v>415</v>
      </c>
    </row>
    <row r="18" spans="1:55" x14ac:dyDescent="0.25">
      <c r="A18" s="13" t="s">
        <v>21</v>
      </c>
      <c r="B18" s="11"/>
      <c r="C18" s="7"/>
      <c r="D18" s="7"/>
      <c r="E18" s="7"/>
      <c r="F18" s="9">
        <f t="shared" si="0"/>
        <v>0</v>
      </c>
      <c r="H18" s="11">
        <v>170</v>
      </c>
      <c r="I18" s="7"/>
      <c r="J18" s="7"/>
      <c r="K18" s="7"/>
      <c r="L18" s="9">
        <f t="shared" si="1"/>
        <v>170</v>
      </c>
      <c r="M18" s="221">
        <v>7</v>
      </c>
      <c r="N18" s="11"/>
      <c r="O18" s="7"/>
      <c r="P18" s="7"/>
      <c r="Q18" s="7"/>
      <c r="R18" s="9">
        <f t="shared" si="2"/>
        <v>0</v>
      </c>
      <c r="T18" s="11"/>
      <c r="U18" s="7"/>
      <c r="V18" s="7"/>
      <c r="W18" s="7"/>
      <c r="X18" s="9">
        <f t="shared" si="3"/>
        <v>0</v>
      </c>
      <c r="Z18" s="11">
        <v>135</v>
      </c>
      <c r="AA18" s="7"/>
      <c r="AB18" s="7"/>
      <c r="AC18" s="7"/>
      <c r="AD18" s="9">
        <f t="shared" si="4"/>
        <v>135</v>
      </c>
      <c r="AE18" s="221">
        <v>5</v>
      </c>
      <c r="AF18" s="11"/>
      <c r="AG18" s="7"/>
      <c r="AH18" s="7"/>
      <c r="AI18" s="7"/>
      <c r="AJ18" s="9">
        <f t="shared" si="5"/>
        <v>0</v>
      </c>
      <c r="AK18" s="221"/>
      <c r="AL18" s="11">
        <v>0</v>
      </c>
      <c r="AM18" s="7"/>
      <c r="AN18" s="7"/>
      <c r="AO18" s="7"/>
      <c r="AP18" s="9">
        <f t="shared" si="6"/>
        <v>0</v>
      </c>
      <c r="AR18" s="11"/>
      <c r="AS18" s="7"/>
      <c r="AT18" s="7"/>
      <c r="AU18" s="7"/>
      <c r="AV18" s="9">
        <f t="shared" si="7"/>
        <v>0</v>
      </c>
      <c r="AX18" s="94">
        <f t="shared" si="13"/>
        <v>305</v>
      </c>
      <c r="AY18" s="94">
        <f t="shared" si="14"/>
        <v>0</v>
      </c>
      <c r="AZ18" s="94">
        <f t="shared" si="15"/>
        <v>0</v>
      </c>
      <c r="BA18" s="94">
        <f t="shared" si="16"/>
        <v>0</v>
      </c>
      <c r="BB18" s="9">
        <f t="shared" si="8"/>
        <v>305</v>
      </c>
    </row>
    <row r="19" spans="1:55" x14ac:dyDescent="0.25">
      <c r="A19" s="13" t="s">
        <v>8</v>
      </c>
      <c r="B19" s="9">
        <f>SUM(B6:B18)</f>
        <v>936</v>
      </c>
      <c r="C19" s="9"/>
      <c r="D19" s="9"/>
      <c r="E19" s="9"/>
      <c r="F19" s="9">
        <f t="shared" si="0"/>
        <v>936</v>
      </c>
      <c r="H19" s="9">
        <f>SUM(H6:H18)</f>
        <v>2379</v>
      </c>
      <c r="I19" s="9"/>
      <c r="J19" s="9"/>
      <c r="K19" s="9"/>
      <c r="L19" s="9">
        <f t="shared" si="1"/>
        <v>2379</v>
      </c>
      <c r="N19" s="9">
        <f>SUM(N6:N18)</f>
        <v>1016</v>
      </c>
      <c r="O19" s="9"/>
      <c r="P19" s="9"/>
      <c r="Q19" s="9"/>
      <c r="R19" s="9">
        <f t="shared" si="2"/>
        <v>1016</v>
      </c>
      <c r="T19" s="9">
        <f>SUM(T6:T18)</f>
        <v>1215</v>
      </c>
      <c r="U19" s="9"/>
      <c r="V19" s="9"/>
      <c r="W19" s="9"/>
      <c r="X19" s="9">
        <f t="shared" si="3"/>
        <v>1215</v>
      </c>
      <c r="Z19" s="9">
        <f>SUM(Z6:Z18)</f>
        <v>2254</v>
      </c>
      <c r="AA19" s="9"/>
      <c r="AB19" s="9"/>
      <c r="AC19" s="9"/>
      <c r="AD19" s="9">
        <f t="shared" si="4"/>
        <v>2254</v>
      </c>
      <c r="AF19" s="9">
        <f>SUM(AF6:AF18)</f>
        <v>645</v>
      </c>
      <c r="AG19" s="9"/>
      <c r="AH19" s="9"/>
      <c r="AI19" s="9"/>
      <c r="AJ19" s="9">
        <f t="shared" si="5"/>
        <v>645</v>
      </c>
      <c r="AL19" s="9">
        <f>SUM(AL6:AL18)</f>
        <v>0</v>
      </c>
      <c r="AM19" s="9"/>
      <c r="AN19" s="9"/>
      <c r="AO19" s="9"/>
      <c r="AP19" s="9">
        <f t="shared" si="6"/>
        <v>0</v>
      </c>
      <c r="AR19" s="9">
        <f>SUM(AR6:AR18)</f>
        <v>170</v>
      </c>
      <c r="AS19" s="9"/>
      <c r="AT19" s="9"/>
      <c r="AU19" s="9"/>
      <c r="AV19" s="9">
        <f t="shared" si="7"/>
        <v>170</v>
      </c>
      <c r="AX19" s="9">
        <f>B19+H19+N19+T19+Z19+AF19+AL19+AR19</f>
        <v>8615</v>
      </c>
      <c r="AY19" s="9">
        <f>C19+I19+O19+U19+AA19+AM19+AS19</f>
        <v>0</v>
      </c>
      <c r="AZ19" s="9">
        <f>D19+J19+P19+V19+AB19+AN19+AT19</f>
        <v>0</v>
      </c>
      <c r="BA19" s="9">
        <f>E19+K19+Q19+W19+AC19+AO19+AU19</f>
        <v>0</v>
      </c>
      <c r="BB19" s="9">
        <f t="shared" si="8"/>
        <v>8615</v>
      </c>
      <c r="BC19" s="224" t="b">
        <f>BB19='Use this enrollment'!D70</f>
        <v>1</v>
      </c>
    </row>
    <row r="20" spans="1:55" x14ac:dyDescent="0.25">
      <c r="A20" s="16"/>
      <c r="B20" s="7"/>
      <c r="C20" s="7"/>
      <c r="D20" s="7"/>
      <c r="E20" s="7"/>
      <c r="F20" s="7"/>
      <c r="H20" s="7"/>
      <c r="I20" s="7"/>
      <c r="J20" s="7"/>
      <c r="K20" s="7"/>
      <c r="L20" s="7"/>
      <c r="N20" s="7"/>
      <c r="O20" s="7"/>
      <c r="P20" s="7"/>
      <c r="Q20" s="7"/>
      <c r="R20" s="7"/>
      <c r="T20" s="7"/>
      <c r="U20" s="7"/>
      <c r="V20" s="7"/>
      <c r="W20" s="7"/>
      <c r="X20" s="7"/>
      <c r="Z20" s="7"/>
      <c r="AA20" s="7"/>
      <c r="AB20" s="7"/>
      <c r="AC20" s="7"/>
      <c r="AD20" s="7"/>
      <c r="AF20" s="7"/>
      <c r="AG20" s="7"/>
      <c r="AH20" s="7"/>
      <c r="AI20" s="7"/>
      <c r="AJ20" s="7"/>
      <c r="AL20" s="7"/>
      <c r="AM20" s="7"/>
      <c r="AN20" s="7"/>
      <c r="AO20" s="7"/>
      <c r="AP20" s="7"/>
      <c r="AR20" s="7"/>
      <c r="AS20" s="7"/>
      <c r="AT20" s="7"/>
      <c r="AU20" s="7"/>
      <c r="AV20" s="7"/>
      <c r="AX20" s="7"/>
      <c r="AY20" s="7"/>
      <c r="AZ20" s="7"/>
      <c r="BA20" s="7"/>
      <c r="BB20" s="7"/>
    </row>
    <row r="21" spans="1:55" x14ac:dyDescent="0.25">
      <c r="A21" s="17" t="s">
        <v>22</v>
      </c>
      <c r="B21" s="18"/>
      <c r="C21" s="18"/>
      <c r="D21" s="18"/>
      <c r="E21" s="18"/>
      <c r="F21" s="18"/>
      <c r="H21" s="18"/>
      <c r="I21" s="18"/>
      <c r="J21" s="18"/>
      <c r="K21" s="18"/>
      <c r="L21" s="18"/>
      <c r="N21" s="18"/>
      <c r="O21" s="18"/>
      <c r="P21" s="18"/>
      <c r="Q21" s="18"/>
      <c r="R21" s="18"/>
      <c r="T21" s="18"/>
      <c r="U21" s="18"/>
      <c r="V21" s="18"/>
      <c r="W21" s="18"/>
      <c r="X21" s="18"/>
      <c r="Z21" s="18"/>
      <c r="AA21" s="18"/>
      <c r="AB21" s="18"/>
      <c r="AC21" s="18"/>
      <c r="AD21" s="18"/>
      <c r="AF21" s="18"/>
      <c r="AG21" s="18"/>
      <c r="AH21" s="18"/>
      <c r="AI21" s="18"/>
      <c r="AJ21" s="18"/>
      <c r="AL21" s="18"/>
      <c r="AM21" s="18"/>
      <c r="AN21" s="18"/>
      <c r="AO21" s="18"/>
      <c r="AP21" s="18"/>
      <c r="AR21" s="18"/>
      <c r="AS21" s="18"/>
      <c r="AT21" s="18"/>
      <c r="AU21" s="18"/>
      <c r="AV21" s="18"/>
      <c r="AX21" s="18"/>
      <c r="AY21" s="18"/>
      <c r="AZ21" s="18"/>
      <c r="BA21" s="18"/>
      <c r="BB21" s="18"/>
    </row>
    <row r="22" spans="1:55" x14ac:dyDescent="0.25">
      <c r="A22" s="140" t="s">
        <v>23</v>
      </c>
      <c r="B22" s="7"/>
      <c r="C22" s="7"/>
      <c r="D22" s="7">
        <f>('FY23'!D22/'FY23'!B19)*'FY24'!B19</f>
        <v>100.99221357063404</v>
      </c>
      <c r="E22" s="7"/>
      <c r="F22" s="7">
        <f t="shared" ref="F22:F27" si="25">SUM(B22:E22)</f>
        <v>100.99221357063404</v>
      </c>
      <c r="H22" s="7"/>
      <c r="I22" s="7"/>
      <c r="J22" s="7">
        <f>('FY23'!J22/'FY23'!H19)*'FY24'!H19</f>
        <v>302.14572192513373</v>
      </c>
      <c r="K22" s="7"/>
      <c r="L22" s="7">
        <f t="shared" ref="L22:L27" si="26">SUM(H22:K22)</f>
        <v>302.14572192513373</v>
      </c>
      <c r="M22" s="219"/>
      <c r="N22" s="7"/>
      <c r="O22" s="7"/>
      <c r="P22" s="7">
        <f>('FY23'!P22/'FY23'!N19)*'FY24'!N19</f>
        <v>74</v>
      </c>
      <c r="Q22" s="7"/>
      <c r="R22" s="7">
        <f t="shared" ref="R22:R27" si="27">SUM(N22:Q22)</f>
        <v>74</v>
      </c>
      <c r="T22" s="7"/>
      <c r="U22" s="7"/>
      <c r="V22" s="7">
        <f>('FY23'!V22/'FY23'!T19)*'FY24'!T19</f>
        <v>109.44120100083403</v>
      </c>
      <c r="W22" s="7"/>
      <c r="X22" s="7">
        <f t="shared" ref="X22:X27" si="28">SUM(T22:W22)</f>
        <v>109.44120100083403</v>
      </c>
      <c r="Z22" s="7"/>
      <c r="AA22" s="7"/>
      <c r="AB22" s="7">
        <f>('FY23'!AB22/'FY23'!Z19)*'FY24'!Z19</f>
        <v>184.41818181818181</v>
      </c>
      <c r="AC22" s="7"/>
      <c r="AD22" s="7">
        <f t="shared" ref="AD22:AD27" si="29">SUM(Z22:AC22)</f>
        <v>184.41818181818181</v>
      </c>
      <c r="AF22" s="7"/>
      <c r="AG22" s="7"/>
      <c r="AH22" s="357">
        <f>AF19*0.12</f>
        <v>77.399999999999991</v>
      </c>
      <c r="AI22" s="7"/>
      <c r="AJ22" s="7">
        <f t="shared" ref="AJ22:AJ27" si="30">SUM(AF22:AI22)</f>
        <v>77.399999999999991</v>
      </c>
      <c r="AL22" s="7"/>
      <c r="AM22" s="7"/>
      <c r="AN22" s="7">
        <v>0</v>
      </c>
      <c r="AO22" s="7"/>
      <c r="AP22" s="7">
        <f t="shared" ref="AP22:AP27" si="31">SUM(AL22:AO22)</f>
        <v>0</v>
      </c>
      <c r="AR22" s="7"/>
      <c r="AS22" s="7"/>
      <c r="AT22" s="7">
        <v>10</v>
      </c>
      <c r="AU22" s="7"/>
      <c r="AV22" s="7">
        <f t="shared" ref="AV22:AV27" si="32">SUM(AR22:AU22)</f>
        <v>10</v>
      </c>
      <c r="AX22" s="7">
        <f>B22+H22+N22+T22+Z22+AF22+AL22+AR22</f>
        <v>0</v>
      </c>
      <c r="AY22" s="7">
        <f t="shared" ref="AY22:BA22" si="33">C22+I22+O22+U22+AA22+AG22+AM22+AS22</f>
        <v>0</v>
      </c>
      <c r="AZ22" s="7">
        <f t="shared" si="33"/>
        <v>858.39731831478355</v>
      </c>
      <c r="BA22" s="7">
        <f t="shared" si="33"/>
        <v>0</v>
      </c>
      <c r="BB22" s="7">
        <f t="shared" ref="BB22:BB27" si="34">SUM(AX22:BA22)</f>
        <v>858.39731831478355</v>
      </c>
    </row>
    <row r="23" spans="1:55" x14ac:dyDescent="0.25">
      <c r="A23" s="140" t="s">
        <v>24</v>
      </c>
      <c r="B23" s="7"/>
      <c r="C23" s="7">
        <f>('FY23'!C23/'FY23'!B19)*'FY24'!B19</f>
        <v>15.617352614015573</v>
      </c>
      <c r="D23" s="7"/>
      <c r="E23" s="7"/>
      <c r="F23" s="7">
        <f t="shared" si="25"/>
        <v>15.617352614015573</v>
      </c>
      <c r="H23" s="7"/>
      <c r="I23" s="7">
        <f>('FY23'!I23/'FY23'!H19)*'FY24'!H19</f>
        <v>34.985294117647058</v>
      </c>
      <c r="J23" s="7"/>
      <c r="K23" s="7"/>
      <c r="L23" s="7">
        <f t="shared" si="26"/>
        <v>34.985294117647058</v>
      </c>
      <c r="N23" s="7"/>
      <c r="O23" s="7">
        <f>('FY23'!O23/'FY23'!N19)*'FY24'!N19</f>
        <v>18</v>
      </c>
      <c r="P23" s="7"/>
      <c r="Q23" s="7"/>
      <c r="R23" s="7">
        <f t="shared" si="27"/>
        <v>18</v>
      </c>
      <c r="T23" s="7"/>
      <c r="U23" s="7">
        <f>('FY23'!U23/'FY23'!T19)*'FY24'!T19</f>
        <v>8.1067556296914098</v>
      </c>
      <c r="V23" s="7"/>
      <c r="W23" s="7"/>
      <c r="X23" s="7">
        <f t="shared" si="28"/>
        <v>8.1067556296914098</v>
      </c>
      <c r="Z23" s="7"/>
      <c r="AA23" s="7">
        <f>('FY23'!AA23/'FY23'!Z19)*'FY24'!Z19</f>
        <v>24.804784688995216</v>
      </c>
      <c r="AB23" s="7"/>
      <c r="AC23" s="7"/>
      <c r="AD23" s="7">
        <f t="shared" si="29"/>
        <v>24.804784688995216</v>
      </c>
      <c r="AF23" s="7"/>
      <c r="AG23" s="7"/>
      <c r="AH23" s="7"/>
      <c r="AI23" s="7"/>
      <c r="AJ23" s="7">
        <f t="shared" si="30"/>
        <v>0</v>
      </c>
      <c r="AL23" s="7"/>
      <c r="AM23" s="7">
        <v>0</v>
      </c>
      <c r="AN23" s="7"/>
      <c r="AO23" s="7"/>
      <c r="AP23" s="7">
        <f t="shared" si="31"/>
        <v>0</v>
      </c>
      <c r="AR23" s="7"/>
      <c r="AS23" s="7">
        <v>0</v>
      </c>
      <c r="AT23" s="7"/>
      <c r="AU23" s="7"/>
      <c r="AV23" s="7">
        <f t="shared" si="32"/>
        <v>0</v>
      </c>
      <c r="AX23" s="7">
        <f t="shared" ref="AX23:AX26" si="35">B23+H23+N23+T23+Z23+AL23+AR23</f>
        <v>0</v>
      </c>
      <c r="AY23" s="7">
        <f t="shared" ref="AY23:BA24" si="36">C23+I23+O23+U23+AA23+AM23+AS23</f>
        <v>101.51418705034925</v>
      </c>
      <c r="AZ23" s="7">
        <f t="shared" si="36"/>
        <v>0</v>
      </c>
      <c r="BA23" s="7">
        <f t="shared" si="36"/>
        <v>0</v>
      </c>
      <c r="BB23" s="7">
        <f t="shared" si="34"/>
        <v>101.51418705034925</v>
      </c>
    </row>
    <row r="24" spans="1:55" x14ac:dyDescent="0.25">
      <c r="A24" s="140" t="s">
        <v>25</v>
      </c>
      <c r="B24" s="7"/>
      <c r="C24" s="7">
        <f>('FY23'!C24/'FY23'!B19)*'FY24'!B19</f>
        <v>45.810901001112349</v>
      </c>
      <c r="D24" s="7"/>
      <c r="E24" s="7"/>
      <c r="F24" s="7">
        <f t="shared" si="25"/>
        <v>45.810901001112349</v>
      </c>
      <c r="H24" s="7"/>
      <c r="I24" s="7">
        <f>('FY23'!I24/'FY23'!H19)*'FY24'!H19</f>
        <v>55.128342245989309</v>
      </c>
      <c r="J24" s="7"/>
      <c r="K24" s="7"/>
      <c r="L24" s="7">
        <f t="shared" si="26"/>
        <v>55.128342245989309</v>
      </c>
      <c r="N24" s="7"/>
      <c r="O24" s="7">
        <f>('FY23'!O24/'FY23'!N19)*'FY24'!N19</f>
        <v>46</v>
      </c>
      <c r="P24" s="7"/>
      <c r="Q24" s="7"/>
      <c r="R24" s="7">
        <f t="shared" si="27"/>
        <v>46</v>
      </c>
      <c r="T24" s="7"/>
      <c r="U24" s="7">
        <f>('FY23'!U24/'FY23'!T19)*'FY24'!T19</f>
        <v>78.027522935779814</v>
      </c>
      <c r="V24" s="7"/>
      <c r="W24" s="7"/>
      <c r="X24" s="7">
        <f t="shared" si="28"/>
        <v>78.027522935779814</v>
      </c>
      <c r="Z24" s="7"/>
      <c r="AA24" s="7">
        <f>('FY23'!AA24/'FY23'!Z19)*'FY24'!Z19</f>
        <v>69.022009569377985</v>
      </c>
      <c r="AB24" s="7"/>
      <c r="AC24" s="7"/>
      <c r="AD24" s="7">
        <f t="shared" si="29"/>
        <v>69.022009569377985</v>
      </c>
      <c r="AF24" s="7"/>
      <c r="AG24" s="7"/>
      <c r="AH24" s="7"/>
      <c r="AI24" s="7"/>
      <c r="AJ24" s="7">
        <f t="shared" si="30"/>
        <v>0</v>
      </c>
      <c r="AL24" s="7"/>
      <c r="AM24" s="7">
        <v>0</v>
      </c>
      <c r="AN24" s="7"/>
      <c r="AO24" s="7"/>
      <c r="AP24" s="7">
        <f t="shared" si="31"/>
        <v>0</v>
      </c>
      <c r="AR24" s="7"/>
      <c r="AS24" s="7">
        <v>0</v>
      </c>
      <c r="AT24" s="7"/>
      <c r="AU24" s="7"/>
      <c r="AV24" s="7">
        <f t="shared" si="32"/>
        <v>0</v>
      </c>
      <c r="AX24" s="7">
        <f t="shared" si="35"/>
        <v>0</v>
      </c>
      <c r="AY24" s="7">
        <f t="shared" si="36"/>
        <v>293.98877575225947</v>
      </c>
      <c r="AZ24" s="7">
        <f t="shared" si="36"/>
        <v>0</v>
      </c>
      <c r="BA24" s="7">
        <f t="shared" si="36"/>
        <v>0</v>
      </c>
      <c r="BB24" s="7">
        <f t="shared" si="34"/>
        <v>293.98877575225947</v>
      </c>
    </row>
    <row r="25" spans="1:55" x14ac:dyDescent="0.25">
      <c r="A25" s="140" t="s">
        <v>26</v>
      </c>
      <c r="B25" s="19"/>
      <c r="C25" s="19"/>
      <c r="D25" s="19"/>
      <c r="E25" s="19">
        <v>0.38</v>
      </c>
      <c r="F25" s="19">
        <f t="shared" si="25"/>
        <v>0.38</v>
      </c>
      <c r="H25" s="19"/>
      <c r="I25" s="19"/>
      <c r="J25" s="19"/>
      <c r="K25" s="19">
        <v>0.4</v>
      </c>
      <c r="L25" s="19">
        <f t="shared" si="26"/>
        <v>0.4</v>
      </c>
      <c r="N25" s="19"/>
      <c r="O25" s="19"/>
      <c r="P25" s="19"/>
      <c r="Q25" s="19">
        <v>0.3</v>
      </c>
      <c r="R25" s="19">
        <f t="shared" si="27"/>
        <v>0.3</v>
      </c>
      <c r="T25" s="19"/>
      <c r="U25" s="19"/>
      <c r="V25" s="19"/>
      <c r="W25" s="19">
        <v>0.15</v>
      </c>
      <c r="X25" s="19">
        <f t="shared" si="28"/>
        <v>0.15</v>
      </c>
      <c r="Z25" s="19"/>
      <c r="AA25" s="19"/>
      <c r="AB25" s="19"/>
      <c r="AC25" s="19">
        <v>0.24</v>
      </c>
      <c r="AD25" s="19">
        <f t="shared" si="29"/>
        <v>0.24</v>
      </c>
      <c r="AF25" s="19"/>
      <c r="AG25" s="19"/>
      <c r="AH25" s="19"/>
      <c r="AI25" s="358">
        <v>0.64</v>
      </c>
      <c r="AJ25" s="19">
        <f t="shared" si="30"/>
        <v>0.64</v>
      </c>
      <c r="AL25" s="19"/>
      <c r="AM25" s="19"/>
      <c r="AN25" s="19"/>
      <c r="AO25" s="19">
        <v>0</v>
      </c>
      <c r="AP25" s="19">
        <f t="shared" si="31"/>
        <v>0</v>
      </c>
      <c r="AR25" s="19"/>
      <c r="AS25" s="19"/>
      <c r="AT25" s="19"/>
      <c r="AU25" s="19">
        <v>0.4</v>
      </c>
      <c r="AV25" s="19">
        <f t="shared" si="32"/>
        <v>0.4</v>
      </c>
      <c r="AX25" s="7">
        <f t="shared" si="35"/>
        <v>0</v>
      </c>
      <c r="AY25" s="7">
        <f>C25+I25+O25+U25+AA25+AM25+AS25</f>
        <v>0</v>
      </c>
      <c r="AZ25" s="7">
        <f>D25+J25+P25+V25+AB25+AN25+AT25</f>
        <v>0</v>
      </c>
      <c r="BA25" s="226">
        <f>((E25*B19)+(K25*H19)+(Q25*N19)+(W25*T19)+(AC25*Z19)+(AF19*AI25))/AX19</f>
        <v>0.31898897272199656</v>
      </c>
      <c r="BB25" s="19">
        <f t="shared" si="34"/>
        <v>0.31898897272199656</v>
      </c>
    </row>
    <row r="26" spans="1:55" x14ac:dyDescent="0.25">
      <c r="A26" s="140" t="s">
        <v>27</v>
      </c>
      <c r="B26" s="7"/>
      <c r="C26" s="7">
        <f>('FY23'!C26/'FY23'!B19)*'FY24'!B19</f>
        <v>241.54838709677418</v>
      </c>
      <c r="D26" s="19"/>
      <c r="E26" s="7"/>
      <c r="F26" s="7">
        <f t="shared" si="25"/>
        <v>241.54838709677418</v>
      </c>
      <c r="H26" s="7"/>
      <c r="I26" s="7">
        <f>('FY23'!I26/'FY23'!H19)*'FY24'!H19</f>
        <v>548.10294117647061</v>
      </c>
      <c r="J26" s="19"/>
      <c r="K26" s="7"/>
      <c r="L26" s="7">
        <f t="shared" si="26"/>
        <v>548.10294117647061</v>
      </c>
      <c r="N26" s="7"/>
      <c r="O26" s="7">
        <f>('FY23'!O26/'FY23'!N19)*'FY24'!N19</f>
        <v>241</v>
      </c>
      <c r="P26" s="19"/>
      <c r="Q26" s="7"/>
      <c r="R26" s="7">
        <f t="shared" si="27"/>
        <v>241</v>
      </c>
      <c r="T26" s="7"/>
      <c r="U26" s="7">
        <f>('FY23'!U26/'FY23'!T19)*'FY24'!T19</f>
        <v>132.74812343619683</v>
      </c>
      <c r="V26" s="19"/>
      <c r="W26" s="7"/>
      <c r="X26" s="7">
        <f t="shared" si="28"/>
        <v>132.74812343619683</v>
      </c>
      <c r="Z26" s="7"/>
      <c r="AA26" s="7">
        <f>('FY23'!AA26/'FY23'!Z19)*'FY24'!Z19</f>
        <v>264.2248803827751</v>
      </c>
      <c r="AB26" s="19"/>
      <c r="AC26" s="7"/>
      <c r="AD26" s="7">
        <f t="shared" si="29"/>
        <v>264.2248803827751</v>
      </c>
      <c r="AF26" s="7"/>
      <c r="AG26" s="7"/>
      <c r="AH26" s="19"/>
      <c r="AI26" s="7"/>
      <c r="AJ26" s="7">
        <f t="shared" si="30"/>
        <v>0</v>
      </c>
      <c r="AL26" s="7"/>
      <c r="AM26" s="7">
        <v>0</v>
      </c>
      <c r="AN26" s="7"/>
      <c r="AO26" s="7"/>
      <c r="AP26" s="7">
        <f t="shared" si="31"/>
        <v>0</v>
      </c>
      <c r="AR26" s="7"/>
      <c r="AS26" s="7">
        <v>40</v>
      </c>
      <c r="AT26" s="7"/>
      <c r="AU26" s="7"/>
      <c r="AV26" s="7">
        <f t="shared" si="32"/>
        <v>40</v>
      </c>
      <c r="AX26" s="7">
        <f t="shared" si="35"/>
        <v>0</v>
      </c>
      <c r="AY26" s="7">
        <f>C26+I26+O26+U26+AA26+AM26+AS26</f>
        <v>1467.6243320922169</v>
      </c>
      <c r="AZ26" s="7">
        <f>D26+J26+P26+V26+AB26+AN26+AT26</f>
        <v>0</v>
      </c>
      <c r="BA26" s="7">
        <f>E26+K26+Q26+W26+AC26+AO26+AU26</f>
        <v>0</v>
      </c>
      <c r="BB26" s="7">
        <f t="shared" si="34"/>
        <v>1467.6243320922169</v>
      </c>
    </row>
    <row r="27" spans="1:55" x14ac:dyDescent="0.25">
      <c r="A27" s="20"/>
      <c r="B27" s="7"/>
      <c r="C27" s="7"/>
      <c r="D27" s="7"/>
      <c r="E27" s="7"/>
      <c r="F27" s="7">
        <f t="shared" si="25"/>
        <v>0</v>
      </c>
      <c r="H27" s="7"/>
      <c r="I27" s="7"/>
      <c r="J27" s="7"/>
      <c r="K27" s="7"/>
      <c r="L27" s="7">
        <f t="shared" si="26"/>
        <v>0</v>
      </c>
      <c r="N27" s="7"/>
      <c r="O27" s="7"/>
      <c r="P27" s="7"/>
      <c r="Q27" s="7"/>
      <c r="R27" s="7">
        <f t="shared" si="27"/>
        <v>0</v>
      </c>
      <c r="T27" s="7"/>
      <c r="U27" s="7"/>
      <c r="V27" s="7"/>
      <c r="W27" s="7"/>
      <c r="X27" s="7">
        <f t="shared" si="28"/>
        <v>0</v>
      </c>
      <c r="Z27" s="7"/>
      <c r="AA27" s="7"/>
      <c r="AB27" s="7"/>
      <c r="AC27" s="7"/>
      <c r="AD27" s="7">
        <f t="shared" si="29"/>
        <v>0</v>
      </c>
      <c r="AF27" s="7"/>
      <c r="AG27" s="7"/>
      <c r="AH27" s="7"/>
      <c r="AI27" s="7"/>
      <c r="AJ27" s="7">
        <f t="shared" si="30"/>
        <v>0</v>
      </c>
      <c r="AL27" s="7"/>
      <c r="AM27" s="7"/>
      <c r="AN27" s="7"/>
      <c r="AO27" s="7"/>
      <c r="AP27" s="7">
        <f t="shared" si="31"/>
        <v>0</v>
      </c>
      <c r="AR27" s="7"/>
      <c r="AS27" s="7"/>
      <c r="AT27" s="7"/>
      <c r="AU27" s="7"/>
      <c r="AV27" s="7">
        <f t="shared" si="32"/>
        <v>0</v>
      </c>
      <c r="AX27" s="7"/>
      <c r="AY27" s="7"/>
      <c r="AZ27" s="7"/>
      <c r="BA27" s="7"/>
      <c r="BB27" s="7">
        <f t="shared" si="34"/>
        <v>0</v>
      </c>
    </row>
    <row r="28" spans="1:55" x14ac:dyDescent="0.25">
      <c r="A28" s="17" t="s">
        <v>28</v>
      </c>
      <c r="B28" s="18"/>
      <c r="C28" s="18"/>
      <c r="D28" s="18"/>
      <c r="E28" s="18"/>
      <c r="F28" s="18"/>
      <c r="H28" s="18"/>
      <c r="I28" s="18"/>
      <c r="J28" s="18"/>
      <c r="K28" s="18"/>
      <c r="L28" s="18"/>
      <c r="N28" s="18"/>
      <c r="O28" s="18"/>
      <c r="P28" s="18"/>
      <c r="Q28" s="18"/>
      <c r="R28" s="18"/>
      <c r="T28" s="18"/>
      <c r="U28" s="18"/>
      <c r="V28" s="18"/>
      <c r="W28" s="18"/>
      <c r="X28" s="18"/>
      <c r="Z28" s="18"/>
      <c r="AA28" s="18"/>
      <c r="AB28" s="18"/>
      <c r="AC28" s="18"/>
      <c r="AD28" s="18"/>
      <c r="AF28" s="18"/>
      <c r="AG28" s="18"/>
      <c r="AH28" s="18"/>
      <c r="AI28" s="18"/>
      <c r="AJ28" s="18"/>
      <c r="AL28" s="18"/>
      <c r="AM28" s="18"/>
      <c r="AN28" s="18"/>
      <c r="AO28" s="18"/>
      <c r="AP28" s="18"/>
      <c r="AR28" s="18"/>
      <c r="AS28" s="18"/>
      <c r="AT28" s="18"/>
      <c r="AU28" s="18"/>
      <c r="AV28" s="18"/>
      <c r="AX28" s="18"/>
      <c r="AY28" s="18"/>
      <c r="AZ28" s="18"/>
      <c r="BA28" s="18"/>
      <c r="BB28" s="18"/>
    </row>
    <row r="29" spans="1:55" x14ac:dyDescent="0.25">
      <c r="A29" s="21" t="s">
        <v>29</v>
      </c>
      <c r="B29" s="23">
        <v>36</v>
      </c>
      <c r="C29" s="23">
        <v>0</v>
      </c>
      <c r="D29" s="23">
        <v>0</v>
      </c>
      <c r="E29" s="23">
        <v>0</v>
      </c>
      <c r="F29" s="23">
        <f t="shared" ref="F29:F38" si="37">SUM(B29:E29)</f>
        <v>36</v>
      </c>
      <c r="G29" s="223" t="b">
        <f>SUM(G6:G18)=B29</f>
        <v>1</v>
      </c>
      <c r="H29" s="23">
        <v>83</v>
      </c>
      <c r="I29" s="23">
        <v>0</v>
      </c>
      <c r="J29" s="23">
        <v>0</v>
      </c>
      <c r="K29" s="23">
        <v>0</v>
      </c>
      <c r="L29" s="23">
        <f t="shared" ref="L29:L38" si="38">SUM(H29:K29)</f>
        <v>83</v>
      </c>
      <c r="M29" s="223" t="b">
        <f>SUM(M6:M18)=H29</f>
        <v>1</v>
      </c>
      <c r="N29" s="23">
        <v>36</v>
      </c>
      <c r="O29" s="23">
        <v>0</v>
      </c>
      <c r="P29" s="23">
        <v>0</v>
      </c>
      <c r="Q29" s="23">
        <v>0</v>
      </c>
      <c r="R29" s="23">
        <f t="shared" ref="R29:R38" si="39">SUM(N29:Q29)</f>
        <v>36</v>
      </c>
      <c r="S29" s="223" t="b">
        <f>SUM(S6:S18)=N29</f>
        <v>1</v>
      </c>
      <c r="T29" s="23">
        <v>45</v>
      </c>
      <c r="U29" s="23">
        <v>0</v>
      </c>
      <c r="V29" s="23">
        <v>0</v>
      </c>
      <c r="W29" s="23">
        <v>0</v>
      </c>
      <c r="X29" s="23">
        <f t="shared" ref="X29:X38" si="40">SUM(T29:W29)</f>
        <v>45</v>
      </c>
      <c r="Y29" s="223" t="b">
        <f>SUM(Y6:Y18)=T29</f>
        <v>1</v>
      </c>
      <c r="Z29" s="23">
        <v>79</v>
      </c>
      <c r="AA29" s="23">
        <v>0</v>
      </c>
      <c r="AB29" s="23">
        <v>0</v>
      </c>
      <c r="AC29" s="23">
        <v>0</v>
      </c>
      <c r="AD29" s="23">
        <f t="shared" ref="AD29:AD38" si="41">SUM(Z29:AC29)</f>
        <v>79</v>
      </c>
      <c r="AE29" s="223" t="b">
        <f>SUM(AE6:AE18)=Z29</f>
        <v>1</v>
      </c>
      <c r="AF29" s="23">
        <v>25</v>
      </c>
      <c r="AG29" s="23">
        <v>0</v>
      </c>
      <c r="AH29" s="23">
        <v>0</v>
      </c>
      <c r="AI29" s="23">
        <v>0</v>
      </c>
      <c r="AJ29" s="23">
        <f t="shared" ref="AJ29:AJ38" si="42">SUM(AF29:AI29)</f>
        <v>25</v>
      </c>
      <c r="AK29" s="223" t="b">
        <f>SUM(AK6:AK18)=AF29</f>
        <v>1</v>
      </c>
      <c r="AL29" s="23">
        <v>0</v>
      </c>
      <c r="AM29" s="23">
        <v>0</v>
      </c>
      <c r="AN29" s="23">
        <v>0</v>
      </c>
      <c r="AO29" s="23">
        <v>0</v>
      </c>
      <c r="AP29" s="23">
        <f t="shared" ref="AP29:AP38" si="43">SUM(AL29:AO29)</f>
        <v>0</v>
      </c>
      <c r="AQ29" s="200">
        <f>AP29/6</f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f t="shared" ref="AV29:AV38" si="44">SUM(AR29:AU29)</f>
        <v>0</v>
      </c>
      <c r="AX29" s="23">
        <f>B29+H29+N29+T29+Z29+AF29+AL29+AR29</f>
        <v>304</v>
      </c>
      <c r="AY29" s="23">
        <f t="shared" ref="AY29:BA29" si="45">C29+I29+O29+U29+AA29+AG29+AM29+AS29</f>
        <v>0</v>
      </c>
      <c r="AZ29" s="23">
        <f t="shared" si="45"/>
        <v>0</v>
      </c>
      <c r="BA29" s="23">
        <f t="shared" si="45"/>
        <v>0</v>
      </c>
      <c r="BB29" s="23">
        <f t="shared" ref="BB29:BB38" si="46">SUM(AX29:BA29)</f>
        <v>304</v>
      </c>
    </row>
    <row r="30" spans="1:55" x14ac:dyDescent="0.25">
      <c r="A30" s="21" t="s">
        <v>30</v>
      </c>
      <c r="B30" s="23">
        <v>0</v>
      </c>
      <c r="C30" s="23">
        <v>0</v>
      </c>
      <c r="D30" s="23">
        <v>4</v>
      </c>
      <c r="E30" s="23">
        <v>0</v>
      </c>
      <c r="F30" s="23">
        <f t="shared" si="37"/>
        <v>4</v>
      </c>
      <c r="G30" s="223">
        <f>D22/23</f>
        <v>4.3909658074188709</v>
      </c>
      <c r="H30" s="23">
        <v>0</v>
      </c>
      <c r="I30" s="23">
        <v>0</v>
      </c>
      <c r="J30" s="23">
        <v>13</v>
      </c>
      <c r="K30" s="23">
        <v>0</v>
      </c>
      <c r="L30" s="23">
        <f t="shared" si="38"/>
        <v>13</v>
      </c>
      <c r="M30" s="223">
        <f>J22/23</f>
        <v>13.136770518484076</v>
      </c>
      <c r="N30" s="23">
        <v>0</v>
      </c>
      <c r="O30" s="23">
        <v>0</v>
      </c>
      <c r="P30" s="23">
        <v>4</v>
      </c>
      <c r="Q30" s="23">
        <v>0</v>
      </c>
      <c r="R30" s="23">
        <f t="shared" si="39"/>
        <v>4</v>
      </c>
      <c r="S30" s="223">
        <f>P22/23</f>
        <v>3.2173913043478262</v>
      </c>
      <c r="T30" s="23">
        <v>0</v>
      </c>
      <c r="U30" s="23">
        <v>0</v>
      </c>
      <c r="V30" s="23">
        <v>5</v>
      </c>
      <c r="W30" s="23">
        <v>0</v>
      </c>
      <c r="X30" s="23">
        <f t="shared" si="40"/>
        <v>5</v>
      </c>
      <c r="Y30" s="223">
        <f>V22/23</f>
        <v>4.7583130869927839</v>
      </c>
      <c r="Z30" s="23">
        <v>0</v>
      </c>
      <c r="AA30" s="23">
        <v>0</v>
      </c>
      <c r="AB30" s="23">
        <v>10</v>
      </c>
      <c r="AC30" s="23">
        <v>0</v>
      </c>
      <c r="AD30" s="23">
        <f t="shared" si="41"/>
        <v>10</v>
      </c>
      <c r="AE30" s="223">
        <f>AB22/23</f>
        <v>8.0181818181818176</v>
      </c>
      <c r="AF30" s="23">
        <v>0</v>
      </c>
      <c r="AG30" s="23">
        <v>0</v>
      </c>
      <c r="AH30" s="23">
        <v>3</v>
      </c>
      <c r="AI30" s="23">
        <v>0</v>
      </c>
      <c r="AJ30" s="23">
        <f t="shared" si="42"/>
        <v>3</v>
      </c>
      <c r="AK30" s="223">
        <f>AH22/23</f>
        <v>3.3652173913043475</v>
      </c>
      <c r="AL30" s="23">
        <v>0</v>
      </c>
      <c r="AM30" s="23">
        <v>0</v>
      </c>
      <c r="AN30" s="23">
        <v>0</v>
      </c>
      <c r="AO30" s="23">
        <v>0</v>
      </c>
      <c r="AP30" s="23">
        <f t="shared" si="43"/>
        <v>0</v>
      </c>
      <c r="AQ30" s="199">
        <f>(AL19*0.13)/23</f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f t="shared" si="44"/>
        <v>0</v>
      </c>
      <c r="AX30" s="23">
        <f t="shared" ref="AX30:AX38" si="47">B30+H30+N30+T30+Z30+AF30+AL30+AR30</f>
        <v>0</v>
      </c>
      <c r="AY30" s="23">
        <f t="shared" ref="AY30:AY38" si="48">C30+I30+O30+U30+AA30+AG30+AM30+AS30</f>
        <v>0</v>
      </c>
      <c r="AZ30" s="23">
        <f t="shared" ref="AZ30:AZ38" si="49">D30+J30+P30+V30+AB30+AH30+AN30+AT30</f>
        <v>39</v>
      </c>
      <c r="BA30" s="23">
        <f t="shared" ref="BA30:BA38" si="50">E30+K30+Q30+W30+AC30+AI30+AO30+AU30</f>
        <v>0</v>
      </c>
      <c r="BB30" s="23">
        <f t="shared" si="46"/>
        <v>39</v>
      </c>
    </row>
    <row r="31" spans="1:55" x14ac:dyDescent="0.25">
      <c r="A31" s="21" t="s">
        <v>31</v>
      </c>
      <c r="B31" s="23">
        <v>1</v>
      </c>
      <c r="C31" s="23">
        <v>0</v>
      </c>
      <c r="D31" s="23">
        <v>0</v>
      </c>
      <c r="E31" s="23">
        <v>0</v>
      </c>
      <c r="F31" s="23">
        <f t="shared" si="37"/>
        <v>1</v>
      </c>
      <c r="H31" s="23">
        <v>2</v>
      </c>
      <c r="I31" s="23">
        <v>0</v>
      </c>
      <c r="J31" s="23">
        <v>0</v>
      </c>
      <c r="K31" s="23">
        <v>0</v>
      </c>
      <c r="L31" s="23">
        <f t="shared" si="38"/>
        <v>2</v>
      </c>
      <c r="M31" s="223"/>
      <c r="N31" s="23">
        <v>1</v>
      </c>
      <c r="O31" s="23">
        <v>0</v>
      </c>
      <c r="P31" s="23">
        <v>0</v>
      </c>
      <c r="Q31" s="23">
        <v>0</v>
      </c>
      <c r="R31" s="23">
        <f t="shared" si="39"/>
        <v>1</v>
      </c>
      <c r="T31" s="23">
        <v>1</v>
      </c>
      <c r="U31" s="23">
        <v>0</v>
      </c>
      <c r="V31" s="23">
        <v>0</v>
      </c>
      <c r="W31" s="23">
        <v>0</v>
      </c>
      <c r="X31" s="23">
        <f t="shared" si="40"/>
        <v>1</v>
      </c>
      <c r="Z31" s="23">
        <v>2</v>
      </c>
      <c r="AA31" s="23">
        <v>0</v>
      </c>
      <c r="AB31" s="23">
        <v>0</v>
      </c>
      <c r="AC31" s="23">
        <v>0</v>
      </c>
      <c r="AD31" s="23">
        <f t="shared" si="41"/>
        <v>2</v>
      </c>
      <c r="AF31" s="23">
        <v>1</v>
      </c>
      <c r="AG31" s="23">
        <v>0</v>
      </c>
      <c r="AH31" s="23">
        <v>0</v>
      </c>
      <c r="AI31" s="23">
        <v>0</v>
      </c>
      <c r="AJ31" s="23">
        <f t="shared" si="42"/>
        <v>1</v>
      </c>
      <c r="AL31" s="23">
        <v>0</v>
      </c>
      <c r="AM31" s="23">
        <v>0</v>
      </c>
      <c r="AN31" s="23">
        <v>0</v>
      </c>
      <c r="AO31" s="23">
        <v>0</v>
      </c>
      <c r="AP31" s="23">
        <f t="shared" si="43"/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f t="shared" si="44"/>
        <v>0</v>
      </c>
      <c r="AX31" s="23">
        <f t="shared" si="47"/>
        <v>8</v>
      </c>
      <c r="AY31" s="23">
        <f t="shared" si="48"/>
        <v>0</v>
      </c>
      <c r="AZ31" s="23">
        <f t="shared" si="49"/>
        <v>0</v>
      </c>
      <c r="BA31" s="23">
        <f t="shared" si="50"/>
        <v>0</v>
      </c>
      <c r="BB31" s="23">
        <f t="shared" si="46"/>
        <v>8</v>
      </c>
    </row>
    <row r="32" spans="1:55" x14ac:dyDescent="0.25">
      <c r="A32" s="21" t="s">
        <v>32</v>
      </c>
      <c r="B32" s="23">
        <v>1</v>
      </c>
      <c r="C32" s="23">
        <v>0</v>
      </c>
      <c r="D32" s="23">
        <v>0</v>
      </c>
      <c r="E32" s="23">
        <v>0</v>
      </c>
      <c r="F32" s="23">
        <f t="shared" si="37"/>
        <v>1</v>
      </c>
      <c r="H32" s="23">
        <v>2</v>
      </c>
      <c r="I32" s="23">
        <v>0</v>
      </c>
      <c r="J32" s="23">
        <v>0</v>
      </c>
      <c r="K32" s="23">
        <v>0</v>
      </c>
      <c r="L32" s="23">
        <f t="shared" si="38"/>
        <v>2</v>
      </c>
      <c r="N32" s="23">
        <v>1</v>
      </c>
      <c r="O32" s="23">
        <v>0</v>
      </c>
      <c r="P32" s="23">
        <v>0</v>
      </c>
      <c r="Q32" s="23">
        <v>0</v>
      </c>
      <c r="R32" s="23">
        <f t="shared" si="39"/>
        <v>1</v>
      </c>
      <c r="T32" s="23">
        <v>1</v>
      </c>
      <c r="U32" s="23">
        <v>0</v>
      </c>
      <c r="V32" s="23">
        <v>0</v>
      </c>
      <c r="W32" s="23">
        <v>0</v>
      </c>
      <c r="X32" s="23">
        <f t="shared" si="40"/>
        <v>1</v>
      </c>
      <c r="Z32" s="23">
        <v>2</v>
      </c>
      <c r="AA32" s="23">
        <v>0</v>
      </c>
      <c r="AB32" s="23">
        <v>0</v>
      </c>
      <c r="AC32" s="23">
        <v>0</v>
      </c>
      <c r="AD32" s="23">
        <f t="shared" si="41"/>
        <v>2</v>
      </c>
      <c r="AF32" s="23">
        <v>1</v>
      </c>
      <c r="AG32" s="23">
        <v>0</v>
      </c>
      <c r="AH32" s="23">
        <v>0</v>
      </c>
      <c r="AI32" s="23">
        <v>0</v>
      </c>
      <c r="AJ32" s="23">
        <f t="shared" si="42"/>
        <v>1</v>
      </c>
      <c r="AL32" s="23">
        <v>0</v>
      </c>
      <c r="AM32" s="23">
        <v>0</v>
      </c>
      <c r="AN32" s="23">
        <v>0</v>
      </c>
      <c r="AO32" s="23">
        <v>0</v>
      </c>
      <c r="AP32" s="23">
        <f t="shared" si="43"/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f t="shared" si="44"/>
        <v>0</v>
      </c>
      <c r="AX32" s="23">
        <f t="shared" si="47"/>
        <v>8</v>
      </c>
      <c r="AY32" s="23">
        <f t="shared" si="48"/>
        <v>0</v>
      </c>
      <c r="AZ32" s="23">
        <f t="shared" si="49"/>
        <v>0</v>
      </c>
      <c r="BA32" s="23">
        <f t="shared" si="50"/>
        <v>0</v>
      </c>
      <c r="BB32" s="23">
        <f t="shared" si="46"/>
        <v>8</v>
      </c>
    </row>
    <row r="33" spans="1:54" x14ac:dyDescent="0.25">
      <c r="A33" s="21" t="s">
        <v>33</v>
      </c>
      <c r="B33" s="23">
        <v>1</v>
      </c>
      <c r="C33" s="23">
        <v>0</v>
      </c>
      <c r="D33" s="23">
        <v>0</v>
      </c>
      <c r="E33" s="23">
        <v>0</v>
      </c>
      <c r="F33" s="23">
        <f t="shared" si="37"/>
        <v>1</v>
      </c>
      <c r="H33" s="23">
        <v>3</v>
      </c>
      <c r="I33" s="23">
        <v>0</v>
      </c>
      <c r="J33" s="23">
        <v>0</v>
      </c>
      <c r="K33" s="23">
        <v>0</v>
      </c>
      <c r="L33" s="23">
        <f t="shared" si="38"/>
        <v>3</v>
      </c>
      <c r="N33" s="23">
        <v>1</v>
      </c>
      <c r="O33" s="23">
        <v>0</v>
      </c>
      <c r="P33" s="23">
        <v>0</v>
      </c>
      <c r="Q33" s="23">
        <v>0</v>
      </c>
      <c r="R33" s="23">
        <f t="shared" si="39"/>
        <v>1</v>
      </c>
      <c r="T33" s="23">
        <v>1</v>
      </c>
      <c r="U33" s="23">
        <v>0</v>
      </c>
      <c r="V33" s="23">
        <v>0</v>
      </c>
      <c r="W33" s="23">
        <v>0</v>
      </c>
      <c r="X33" s="23">
        <f t="shared" si="40"/>
        <v>1</v>
      </c>
      <c r="Z33" s="23">
        <v>2</v>
      </c>
      <c r="AA33" s="23">
        <v>0</v>
      </c>
      <c r="AB33" s="23">
        <v>0</v>
      </c>
      <c r="AC33" s="23">
        <v>0</v>
      </c>
      <c r="AD33" s="23">
        <f t="shared" si="41"/>
        <v>2</v>
      </c>
      <c r="AF33" s="23">
        <v>1</v>
      </c>
      <c r="AG33" s="23">
        <v>0</v>
      </c>
      <c r="AH33" s="23">
        <v>0</v>
      </c>
      <c r="AI33" s="23">
        <v>0</v>
      </c>
      <c r="AJ33" s="23">
        <f t="shared" si="42"/>
        <v>1</v>
      </c>
      <c r="AL33" s="23">
        <v>0</v>
      </c>
      <c r="AM33" s="23">
        <v>0</v>
      </c>
      <c r="AN33" s="23">
        <v>0</v>
      </c>
      <c r="AO33" s="23">
        <v>0</v>
      </c>
      <c r="AP33" s="23">
        <f t="shared" si="43"/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f t="shared" si="44"/>
        <v>0</v>
      </c>
      <c r="AX33" s="23">
        <f t="shared" si="47"/>
        <v>9</v>
      </c>
      <c r="AY33" s="23">
        <f t="shared" si="48"/>
        <v>0</v>
      </c>
      <c r="AZ33" s="23">
        <f t="shared" si="49"/>
        <v>0</v>
      </c>
      <c r="BA33" s="23">
        <f t="shared" si="50"/>
        <v>0</v>
      </c>
      <c r="BB33" s="23">
        <f t="shared" si="46"/>
        <v>9</v>
      </c>
    </row>
    <row r="34" spans="1:54" x14ac:dyDescent="0.25">
      <c r="A34" s="24" t="s">
        <v>34</v>
      </c>
      <c r="B34" s="23">
        <v>0</v>
      </c>
      <c r="C34" s="23">
        <v>0</v>
      </c>
      <c r="D34" s="23">
        <v>0</v>
      </c>
      <c r="E34" s="23">
        <v>0</v>
      </c>
      <c r="F34" s="23">
        <f t="shared" si="37"/>
        <v>0</v>
      </c>
      <c r="H34" s="23">
        <v>0</v>
      </c>
      <c r="I34" s="23">
        <v>0</v>
      </c>
      <c r="J34" s="23">
        <v>0</v>
      </c>
      <c r="K34" s="23">
        <v>0</v>
      </c>
      <c r="L34" s="23">
        <f t="shared" si="38"/>
        <v>0</v>
      </c>
      <c r="N34" s="23">
        <v>0</v>
      </c>
      <c r="O34" s="23">
        <v>0</v>
      </c>
      <c r="P34" s="23">
        <v>0</v>
      </c>
      <c r="Q34" s="23">
        <v>0</v>
      </c>
      <c r="R34" s="23">
        <f t="shared" si="39"/>
        <v>0</v>
      </c>
      <c r="T34" s="23">
        <v>0</v>
      </c>
      <c r="U34" s="23">
        <v>0</v>
      </c>
      <c r="V34" s="23">
        <v>0</v>
      </c>
      <c r="W34" s="23">
        <v>0</v>
      </c>
      <c r="X34" s="23">
        <f t="shared" si="40"/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f t="shared" si="41"/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f t="shared" si="42"/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f t="shared" si="43"/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f t="shared" si="44"/>
        <v>0</v>
      </c>
      <c r="AX34" s="23">
        <f t="shared" si="47"/>
        <v>0</v>
      </c>
      <c r="AY34" s="23">
        <f t="shared" si="48"/>
        <v>0</v>
      </c>
      <c r="AZ34" s="23">
        <f t="shared" si="49"/>
        <v>0</v>
      </c>
      <c r="BA34" s="23">
        <f t="shared" si="50"/>
        <v>0</v>
      </c>
      <c r="BB34" s="23">
        <f t="shared" si="46"/>
        <v>0</v>
      </c>
    </row>
    <row r="35" spans="1:54" x14ac:dyDescent="0.25">
      <c r="A35" s="27" t="s">
        <v>35</v>
      </c>
      <c r="B35" s="23">
        <v>1</v>
      </c>
      <c r="C35" s="23">
        <v>0</v>
      </c>
      <c r="D35" s="23">
        <v>0</v>
      </c>
      <c r="E35" s="23">
        <v>0</v>
      </c>
      <c r="F35" s="23">
        <f t="shared" si="37"/>
        <v>1</v>
      </c>
      <c r="H35" s="23">
        <v>2</v>
      </c>
      <c r="I35" s="23">
        <v>0</v>
      </c>
      <c r="J35" s="23">
        <v>0</v>
      </c>
      <c r="K35" s="23">
        <v>0</v>
      </c>
      <c r="L35" s="23">
        <f t="shared" si="38"/>
        <v>2</v>
      </c>
      <c r="N35" s="23">
        <v>1</v>
      </c>
      <c r="O35" s="23">
        <v>0</v>
      </c>
      <c r="P35" s="23">
        <v>0</v>
      </c>
      <c r="Q35" s="23">
        <v>0</v>
      </c>
      <c r="R35" s="23">
        <f t="shared" si="39"/>
        <v>1</v>
      </c>
      <c r="T35" s="23">
        <v>1</v>
      </c>
      <c r="U35" s="23">
        <v>0</v>
      </c>
      <c r="V35" s="23">
        <v>0</v>
      </c>
      <c r="W35" s="23">
        <v>0</v>
      </c>
      <c r="X35" s="23">
        <f t="shared" si="40"/>
        <v>1</v>
      </c>
      <c r="Z35" s="23">
        <v>2</v>
      </c>
      <c r="AA35" s="23">
        <v>0</v>
      </c>
      <c r="AB35" s="23">
        <v>0</v>
      </c>
      <c r="AC35" s="23">
        <v>0</v>
      </c>
      <c r="AD35" s="23">
        <f t="shared" si="41"/>
        <v>2</v>
      </c>
      <c r="AF35" s="23">
        <v>0</v>
      </c>
      <c r="AG35" s="23">
        <v>0</v>
      </c>
      <c r="AH35" s="23">
        <v>0</v>
      </c>
      <c r="AI35" s="23">
        <v>0</v>
      </c>
      <c r="AJ35" s="23">
        <f t="shared" si="42"/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f t="shared" si="43"/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f t="shared" si="44"/>
        <v>0</v>
      </c>
      <c r="AX35" s="23">
        <f t="shared" si="47"/>
        <v>7</v>
      </c>
      <c r="AY35" s="23">
        <f t="shared" si="48"/>
        <v>0</v>
      </c>
      <c r="AZ35" s="23">
        <f t="shared" si="49"/>
        <v>0</v>
      </c>
      <c r="BA35" s="23">
        <f t="shared" si="50"/>
        <v>0</v>
      </c>
      <c r="BB35" s="23">
        <f t="shared" si="46"/>
        <v>7</v>
      </c>
    </row>
    <row r="36" spans="1:54" x14ac:dyDescent="0.25">
      <c r="A36" s="28" t="s">
        <v>36</v>
      </c>
      <c r="B36" s="23">
        <v>0</v>
      </c>
      <c r="C36" s="23">
        <v>0</v>
      </c>
      <c r="D36" s="23">
        <v>0</v>
      </c>
      <c r="E36" s="23">
        <v>0</v>
      </c>
      <c r="F36" s="23">
        <f t="shared" si="37"/>
        <v>0</v>
      </c>
      <c r="H36" s="23">
        <v>0</v>
      </c>
      <c r="I36" s="23">
        <v>0</v>
      </c>
      <c r="J36" s="23">
        <v>0</v>
      </c>
      <c r="K36" s="23">
        <v>0</v>
      </c>
      <c r="L36" s="23">
        <f t="shared" si="38"/>
        <v>0</v>
      </c>
      <c r="N36" s="23">
        <v>0</v>
      </c>
      <c r="O36" s="23">
        <v>0</v>
      </c>
      <c r="P36" s="23">
        <v>0</v>
      </c>
      <c r="Q36" s="23">
        <v>0</v>
      </c>
      <c r="R36" s="23">
        <f t="shared" si="39"/>
        <v>0</v>
      </c>
      <c r="T36" s="23">
        <v>0</v>
      </c>
      <c r="U36" s="23">
        <v>0</v>
      </c>
      <c r="V36" s="23">
        <v>0</v>
      </c>
      <c r="W36" s="23">
        <v>0</v>
      </c>
      <c r="X36" s="23">
        <f t="shared" si="40"/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f t="shared" si="41"/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f t="shared" si="42"/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f t="shared" si="43"/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f t="shared" si="44"/>
        <v>0</v>
      </c>
      <c r="AX36" s="23">
        <f t="shared" si="47"/>
        <v>0</v>
      </c>
      <c r="AY36" s="23">
        <f t="shared" si="48"/>
        <v>0</v>
      </c>
      <c r="AZ36" s="23">
        <f t="shared" si="49"/>
        <v>0</v>
      </c>
      <c r="BA36" s="23">
        <f t="shared" si="50"/>
        <v>0</v>
      </c>
      <c r="BB36" s="23">
        <f t="shared" si="46"/>
        <v>0</v>
      </c>
    </row>
    <row r="37" spans="1:54" x14ac:dyDescent="0.25">
      <c r="A37" s="27" t="s">
        <v>37</v>
      </c>
      <c r="B37" s="23">
        <v>1</v>
      </c>
      <c r="C37" s="23">
        <v>0</v>
      </c>
      <c r="D37" s="23">
        <v>0</v>
      </c>
      <c r="E37" s="23">
        <v>0</v>
      </c>
      <c r="F37" s="23">
        <f t="shared" si="37"/>
        <v>1</v>
      </c>
      <c r="H37" s="23">
        <v>2</v>
      </c>
      <c r="I37" s="23">
        <v>0</v>
      </c>
      <c r="J37" s="23">
        <v>0</v>
      </c>
      <c r="K37" s="23">
        <v>0</v>
      </c>
      <c r="L37" s="23">
        <f t="shared" si="38"/>
        <v>2</v>
      </c>
      <c r="N37" s="23">
        <v>1</v>
      </c>
      <c r="O37" s="23">
        <v>0</v>
      </c>
      <c r="P37" s="23">
        <v>0</v>
      </c>
      <c r="Q37" s="23">
        <v>0</v>
      </c>
      <c r="R37" s="23">
        <f t="shared" si="39"/>
        <v>1</v>
      </c>
      <c r="T37" s="23">
        <v>1</v>
      </c>
      <c r="U37" s="23">
        <v>0</v>
      </c>
      <c r="V37" s="23">
        <v>0</v>
      </c>
      <c r="W37" s="23">
        <v>0</v>
      </c>
      <c r="X37" s="23">
        <f t="shared" si="40"/>
        <v>1</v>
      </c>
      <c r="Z37" s="23">
        <v>1</v>
      </c>
      <c r="AA37" s="23">
        <v>0</v>
      </c>
      <c r="AB37" s="23">
        <v>0</v>
      </c>
      <c r="AC37" s="23">
        <v>0</v>
      </c>
      <c r="AD37" s="23">
        <f t="shared" si="41"/>
        <v>1</v>
      </c>
      <c r="AF37" s="23">
        <v>0</v>
      </c>
      <c r="AG37" s="23">
        <v>0</v>
      </c>
      <c r="AH37" s="23">
        <v>0</v>
      </c>
      <c r="AI37" s="23">
        <v>0</v>
      </c>
      <c r="AJ37" s="23">
        <f t="shared" si="42"/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f t="shared" si="43"/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f t="shared" si="44"/>
        <v>0</v>
      </c>
      <c r="AX37" s="23">
        <f t="shared" si="47"/>
        <v>6</v>
      </c>
      <c r="AY37" s="23">
        <f t="shared" si="48"/>
        <v>0</v>
      </c>
      <c r="AZ37" s="23">
        <f t="shared" si="49"/>
        <v>0</v>
      </c>
      <c r="BA37" s="23">
        <f t="shared" si="50"/>
        <v>0</v>
      </c>
      <c r="BB37" s="23">
        <f t="shared" si="46"/>
        <v>6</v>
      </c>
    </row>
    <row r="38" spans="1:54" x14ac:dyDescent="0.25">
      <c r="A38" s="27" t="s">
        <v>38</v>
      </c>
      <c r="B38" s="23">
        <v>0.5</v>
      </c>
      <c r="C38" s="23">
        <v>0</v>
      </c>
      <c r="D38" s="23">
        <v>0</v>
      </c>
      <c r="E38" s="23">
        <v>0</v>
      </c>
      <c r="F38" s="23">
        <f t="shared" si="37"/>
        <v>0.5</v>
      </c>
      <c r="H38" s="23">
        <v>3</v>
      </c>
      <c r="I38" s="23">
        <v>0</v>
      </c>
      <c r="J38" s="23">
        <v>0</v>
      </c>
      <c r="K38" s="23">
        <v>0</v>
      </c>
      <c r="L38" s="23">
        <f t="shared" si="38"/>
        <v>3</v>
      </c>
      <c r="N38" s="23">
        <v>2</v>
      </c>
      <c r="O38" s="23">
        <v>0</v>
      </c>
      <c r="P38" s="23">
        <v>0</v>
      </c>
      <c r="Q38" s="23">
        <v>0</v>
      </c>
      <c r="R38" s="23">
        <f t="shared" si="39"/>
        <v>2</v>
      </c>
      <c r="T38" s="23">
        <v>3</v>
      </c>
      <c r="U38" s="23">
        <v>0</v>
      </c>
      <c r="V38" s="23">
        <v>0</v>
      </c>
      <c r="W38" s="23">
        <v>0</v>
      </c>
      <c r="X38" s="23">
        <f t="shared" si="40"/>
        <v>3</v>
      </c>
      <c r="Z38" s="23">
        <v>3.5</v>
      </c>
      <c r="AA38" s="23">
        <v>0</v>
      </c>
      <c r="AB38" s="23">
        <v>0</v>
      </c>
      <c r="AC38" s="23">
        <v>0</v>
      </c>
      <c r="AD38" s="23">
        <f t="shared" si="41"/>
        <v>3.5</v>
      </c>
      <c r="AF38" s="23">
        <v>0</v>
      </c>
      <c r="AG38" s="23">
        <v>0</v>
      </c>
      <c r="AH38" s="23">
        <v>0</v>
      </c>
      <c r="AI38" s="23">
        <v>0</v>
      </c>
      <c r="AJ38" s="23">
        <f t="shared" si="42"/>
        <v>0</v>
      </c>
      <c r="AL38" s="23">
        <v>0</v>
      </c>
      <c r="AM38" s="23">
        <v>0</v>
      </c>
      <c r="AN38" s="23">
        <v>0</v>
      </c>
      <c r="AO38" s="23">
        <v>0</v>
      </c>
      <c r="AP38" s="23">
        <f t="shared" si="43"/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f t="shared" si="44"/>
        <v>0</v>
      </c>
      <c r="AX38" s="23">
        <f t="shared" si="47"/>
        <v>12</v>
      </c>
      <c r="AY38" s="23">
        <f t="shared" si="48"/>
        <v>0</v>
      </c>
      <c r="AZ38" s="23">
        <f t="shared" si="49"/>
        <v>0</v>
      </c>
      <c r="BA38" s="23">
        <f t="shared" si="50"/>
        <v>0</v>
      </c>
      <c r="BB38" s="23">
        <f t="shared" si="46"/>
        <v>12</v>
      </c>
    </row>
    <row r="39" spans="1:54" x14ac:dyDescent="0.25">
      <c r="A39" s="29" t="s">
        <v>39</v>
      </c>
      <c r="B39" s="30">
        <f>SUM(B29:B38)</f>
        <v>41.5</v>
      </c>
      <c r="C39" s="30">
        <f>SUM(C29:C38)</f>
        <v>0</v>
      </c>
      <c r="D39" s="30">
        <f t="shared" ref="D39:F39" si="51">SUM(D29:D38)</f>
        <v>4</v>
      </c>
      <c r="E39" s="30">
        <f t="shared" si="51"/>
        <v>0</v>
      </c>
      <c r="F39" s="30">
        <f t="shared" si="51"/>
        <v>45.5</v>
      </c>
      <c r="H39" s="30">
        <f>SUM(H29:H38)</f>
        <v>97</v>
      </c>
      <c r="I39" s="30">
        <f>SUM(I29:I38)</f>
        <v>0</v>
      </c>
      <c r="J39" s="30">
        <f t="shared" ref="J39:L39" si="52">SUM(J29:J38)</f>
        <v>13</v>
      </c>
      <c r="K39" s="30">
        <f t="shared" si="52"/>
        <v>0</v>
      </c>
      <c r="L39" s="30">
        <f t="shared" si="52"/>
        <v>110</v>
      </c>
      <c r="N39" s="30">
        <f>SUM(N29:N38)</f>
        <v>43</v>
      </c>
      <c r="O39" s="30">
        <f>SUM(O29:O38)</f>
        <v>0</v>
      </c>
      <c r="P39" s="30">
        <f t="shared" ref="P39:R39" si="53">SUM(P29:P38)</f>
        <v>4</v>
      </c>
      <c r="Q39" s="30">
        <f t="shared" si="53"/>
        <v>0</v>
      </c>
      <c r="R39" s="30">
        <f t="shared" si="53"/>
        <v>47</v>
      </c>
      <c r="T39" s="30">
        <f>SUM(T29:T38)</f>
        <v>53</v>
      </c>
      <c r="U39" s="30">
        <f>SUM(U29:U38)</f>
        <v>0</v>
      </c>
      <c r="V39" s="30">
        <f t="shared" ref="V39:X39" si="54">SUM(V29:V38)</f>
        <v>5</v>
      </c>
      <c r="W39" s="30">
        <f t="shared" si="54"/>
        <v>0</v>
      </c>
      <c r="X39" s="30">
        <f t="shared" si="54"/>
        <v>58</v>
      </c>
      <c r="Z39" s="30">
        <f>SUM(Z29:Z38)</f>
        <v>91.5</v>
      </c>
      <c r="AA39" s="30">
        <f>SUM(AA29:AA38)</f>
        <v>0</v>
      </c>
      <c r="AB39" s="30">
        <f t="shared" ref="AB39:AD39" si="55">SUM(AB29:AB38)</f>
        <v>10</v>
      </c>
      <c r="AC39" s="30">
        <f t="shared" si="55"/>
        <v>0</v>
      </c>
      <c r="AD39" s="30">
        <f t="shared" si="55"/>
        <v>101.5</v>
      </c>
      <c r="AF39" s="30">
        <f>SUM(AF29:AF38)</f>
        <v>28</v>
      </c>
      <c r="AG39" s="30">
        <f>SUM(AG29:AG38)</f>
        <v>0</v>
      </c>
      <c r="AH39" s="30">
        <f t="shared" ref="AH39:AJ39" si="56">SUM(AH29:AH38)</f>
        <v>3</v>
      </c>
      <c r="AI39" s="30">
        <f t="shared" si="56"/>
        <v>0</v>
      </c>
      <c r="AJ39" s="30">
        <f t="shared" si="56"/>
        <v>31</v>
      </c>
      <c r="AL39" s="30">
        <f>SUM(AL29:AL38)</f>
        <v>0</v>
      </c>
      <c r="AM39" s="30">
        <f>SUM(AM29:AM38)</f>
        <v>0</v>
      </c>
      <c r="AN39" s="30">
        <f t="shared" ref="AN39:AP39" si="57">SUM(AN29:AN38)</f>
        <v>0</v>
      </c>
      <c r="AO39" s="30">
        <f t="shared" si="57"/>
        <v>0</v>
      </c>
      <c r="AP39" s="30">
        <f t="shared" si="57"/>
        <v>0</v>
      </c>
      <c r="AR39" s="30">
        <f>SUM(AR29:AR38)</f>
        <v>0</v>
      </c>
      <c r="AS39" s="30">
        <f>SUM(AS29:AS38)</f>
        <v>0</v>
      </c>
      <c r="AT39" s="30">
        <f t="shared" ref="AT39:AV39" si="58">SUM(AT29:AT38)</f>
        <v>0</v>
      </c>
      <c r="AU39" s="30">
        <f t="shared" si="58"/>
        <v>0</v>
      </c>
      <c r="AV39" s="30">
        <f t="shared" si="58"/>
        <v>0</v>
      </c>
      <c r="AX39" s="30">
        <f>SUM(AX29:AX38)</f>
        <v>354</v>
      </c>
      <c r="AY39" s="30">
        <f>SUM(AY29:AY38)</f>
        <v>0</v>
      </c>
      <c r="AZ39" s="30">
        <f t="shared" ref="AZ39:BB39" si="59">SUM(AZ29:AZ38)</f>
        <v>39</v>
      </c>
      <c r="BA39" s="30">
        <f t="shared" si="59"/>
        <v>0</v>
      </c>
      <c r="BB39" s="30">
        <f t="shared" si="59"/>
        <v>393</v>
      </c>
    </row>
    <row r="40" spans="1:54" x14ac:dyDescent="0.25">
      <c r="A40" s="31"/>
      <c r="B40" s="23"/>
      <c r="C40" s="23"/>
      <c r="D40" s="23"/>
      <c r="E40" s="23"/>
      <c r="F40" s="23"/>
      <c r="H40" s="23"/>
      <c r="I40" s="23"/>
      <c r="J40" s="23"/>
      <c r="K40" s="23"/>
      <c r="L40" s="23"/>
      <c r="N40" s="23"/>
      <c r="O40" s="23"/>
      <c r="P40" s="23"/>
      <c r="Q40" s="23"/>
      <c r="R40" s="23"/>
      <c r="T40" s="23"/>
      <c r="U40" s="23"/>
      <c r="V40" s="23"/>
      <c r="W40" s="23"/>
      <c r="X40" s="23"/>
      <c r="Z40" s="23"/>
      <c r="AA40" s="23"/>
      <c r="AB40" s="23"/>
      <c r="AC40" s="23"/>
      <c r="AD40" s="23"/>
      <c r="AF40" s="23"/>
      <c r="AG40" s="23"/>
      <c r="AH40" s="23"/>
      <c r="AI40" s="23"/>
      <c r="AJ40" s="23"/>
      <c r="AL40" s="23"/>
      <c r="AM40" s="23"/>
      <c r="AN40" s="23"/>
      <c r="AO40" s="23"/>
      <c r="AP40" s="23"/>
      <c r="AR40" s="23"/>
      <c r="AS40" s="23"/>
      <c r="AT40" s="23"/>
      <c r="AU40" s="23"/>
      <c r="AV40" s="23"/>
      <c r="AX40" s="23"/>
      <c r="AY40" s="23"/>
      <c r="AZ40" s="23"/>
      <c r="BA40" s="23"/>
      <c r="BB40" s="23"/>
    </row>
    <row r="41" spans="1:54" x14ac:dyDescent="0.25">
      <c r="A41" s="17" t="s">
        <v>40</v>
      </c>
      <c r="B41" s="32" t="str">
        <f>B1</f>
        <v>Operating</v>
      </c>
      <c r="C41" s="32" t="str">
        <f t="shared" ref="C41:F41" si="60">C1</f>
        <v>Weights</v>
      </c>
      <c r="D41" s="32" t="str">
        <f t="shared" si="60"/>
        <v>SPED</v>
      </c>
      <c r="E41" s="32" t="str">
        <f t="shared" si="60"/>
        <v>NSLP</v>
      </c>
      <c r="F41" s="32" t="str">
        <f t="shared" si="60"/>
        <v>Horizon</v>
      </c>
      <c r="H41" s="32" t="str">
        <f>H1</f>
        <v>Operating</v>
      </c>
      <c r="I41" s="32" t="str">
        <f t="shared" ref="I41:L41" si="61">I1</f>
        <v>Weights</v>
      </c>
      <c r="J41" s="32" t="str">
        <f t="shared" si="61"/>
        <v>SPED</v>
      </c>
      <c r="K41" s="32" t="str">
        <f t="shared" si="61"/>
        <v>NSLP</v>
      </c>
      <c r="L41" s="32" t="str">
        <f t="shared" si="61"/>
        <v>Cadence</v>
      </c>
      <c r="N41" s="32" t="str">
        <f>N1</f>
        <v>Operating</v>
      </c>
      <c r="O41" s="32" t="str">
        <f t="shared" ref="O41:R41" si="62">O1</f>
        <v>Weights</v>
      </c>
      <c r="P41" s="32" t="str">
        <f t="shared" si="62"/>
        <v>SPED</v>
      </c>
      <c r="Q41" s="32" t="str">
        <f t="shared" si="62"/>
        <v>NSLP</v>
      </c>
      <c r="R41" s="32" t="str">
        <f t="shared" si="62"/>
        <v>St. Rose</v>
      </c>
      <c r="T41" s="32" t="str">
        <f>T1</f>
        <v>Operating</v>
      </c>
      <c r="U41" s="32" t="str">
        <f t="shared" ref="U41:X41" si="63">U1</f>
        <v>Weights</v>
      </c>
      <c r="V41" s="32" t="str">
        <f t="shared" si="63"/>
        <v>SPED</v>
      </c>
      <c r="W41" s="32" t="str">
        <f t="shared" si="63"/>
        <v>NSLP</v>
      </c>
      <c r="X41" s="32" t="str">
        <f t="shared" si="63"/>
        <v>Inspirada</v>
      </c>
      <c r="Z41" s="32" t="str">
        <f>Z1</f>
        <v>Operating</v>
      </c>
      <c r="AA41" s="32" t="str">
        <f t="shared" ref="AA41:AD41" si="64">AA1</f>
        <v>Weights</v>
      </c>
      <c r="AB41" s="32" t="str">
        <f t="shared" si="64"/>
        <v>SPED</v>
      </c>
      <c r="AC41" s="32" t="str">
        <f t="shared" si="64"/>
        <v>NSLP</v>
      </c>
      <c r="AD41" s="32" t="str">
        <f t="shared" si="64"/>
        <v>Sloan Canyon</v>
      </c>
      <c r="AF41" s="32" t="str">
        <f>AF1</f>
        <v>Operating</v>
      </c>
      <c r="AG41" s="32" t="str">
        <f t="shared" ref="AG41:AJ41" si="65">AG1</f>
        <v>Weights</v>
      </c>
      <c r="AH41" s="32" t="str">
        <f t="shared" si="65"/>
        <v>SPED</v>
      </c>
      <c r="AI41" s="32" t="str">
        <f t="shared" si="65"/>
        <v>NSLP</v>
      </c>
      <c r="AJ41" s="32" t="str">
        <f t="shared" si="65"/>
        <v>Springs</v>
      </c>
      <c r="AL41" s="32" t="str">
        <f>AL1</f>
        <v>Operating</v>
      </c>
      <c r="AM41" s="32" t="str">
        <f t="shared" ref="AM41:AP41" si="66">AM1</f>
        <v>Weights</v>
      </c>
      <c r="AN41" s="32" t="str">
        <f t="shared" si="66"/>
        <v>SPED</v>
      </c>
      <c r="AO41" s="32" t="str">
        <f t="shared" si="66"/>
        <v>NSLP</v>
      </c>
      <c r="AP41" s="32" t="str">
        <f t="shared" si="66"/>
        <v>System Wide</v>
      </c>
      <c r="AR41" s="32" t="str">
        <f>AR1</f>
        <v>Operating</v>
      </c>
      <c r="AS41" s="32" t="str">
        <f t="shared" ref="AS41:AV41" si="67">AS1</f>
        <v>Weights</v>
      </c>
      <c r="AT41" s="32" t="str">
        <f t="shared" si="67"/>
        <v>SPED</v>
      </c>
      <c r="AU41" s="32" t="str">
        <f t="shared" si="67"/>
        <v>NSLP</v>
      </c>
      <c r="AV41" s="32" t="str">
        <f t="shared" si="67"/>
        <v>Virtual</v>
      </c>
      <c r="AX41" s="32" t="str">
        <f>AX1</f>
        <v>Operating</v>
      </c>
      <c r="AY41" s="32" t="str">
        <f t="shared" ref="AY41:BB41" si="68">AY1</f>
        <v>Weights</v>
      </c>
      <c r="AZ41" s="32" t="str">
        <f t="shared" si="68"/>
        <v>SPED</v>
      </c>
      <c r="BA41" s="32" t="str">
        <f t="shared" si="68"/>
        <v>NSLP</v>
      </c>
      <c r="BB41" s="32" t="str">
        <f t="shared" si="68"/>
        <v>Pinecrest System</v>
      </c>
    </row>
    <row r="42" spans="1:54" x14ac:dyDescent="0.25">
      <c r="A42" s="21" t="s">
        <v>41</v>
      </c>
      <c r="B42" s="23">
        <v>1</v>
      </c>
      <c r="C42" s="23">
        <v>0</v>
      </c>
      <c r="D42" s="23">
        <v>0</v>
      </c>
      <c r="E42" s="23">
        <v>0</v>
      </c>
      <c r="F42" s="23">
        <f>SUM(B42:E42)</f>
        <v>1</v>
      </c>
      <c r="H42" s="328">
        <v>1</v>
      </c>
      <c r="I42" s="328"/>
      <c r="J42" s="328"/>
      <c r="K42" s="328"/>
      <c r="L42" s="23">
        <f>SUM(H42:K42)</f>
        <v>1</v>
      </c>
      <c r="N42" s="328">
        <v>1</v>
      </c>
      <c r="O42" s="328"/>
      <c r="P42" s="328"/>
      <c r="Q42" s="328"/>
      <c r="R42" s="23">
        <f>SUM(N42:Q42)</f>
        <v>1</v>
      </c>
      <c r="T42" s="328">
        <v>1</v>
      </c>
      <c r="U42" s="328"/>
      <c r="V42" s="328"/>
      <c r="W42" s="328"/>
      <c r="X42" s="23">
        <f>SUM(T42:W42)</f>
        <v>1</v>
      </c>
      <c r="Z42" s="328">
        <v>1</v>
      </c>
      <c r="AA42" s="328"/>
      <c r="AB42" s="328"/>
      <c r="AC42" s="328"/>
      <c r="AD42" s="23">
        <f>SUM(Z42:AC42)</f>
        <v>1</v>
      </c>
      <c r="AF42" s="328">
        <v>1</v>
      </c>
      <c r="AG42" s="328"/>
      <c r="AH42" s="328"/>
      <c r="AI42" s="328"/>
      <c r="AJ42" s="23">
        <f>SUM(AF42:AI42)</f>
        <v>1</v>
      </c>
      <c r="AL42" s="23">
        <v>0</v>
      </c>
      <c r="AM42" s="23">
        <v>0</v>
      </c>
      <c r="AN42" s="23">
        <v>0</v>
      </c>
      <c r="AO42" s="23">
        <v>0</v>
      </c>
      <c r="AP42" s="23">
        <f>SUM(AL42:AO42)</f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f>SUM(AR42:AU42)</f>
        <v>0</v>
      </c>
      <c r="AX42" s="23">
        <f>B42+H42+N42+T42+Z42+AF42+AL42+AR42</f>
        <v>6</v>
      </c>
      <c r="AY42" s="23">
        <f t="shared" ref="AY42:BA57" si="69">C42+I42+O42+U42+AA42+AG42+AM42+AS42</f>
        <v>0</v>
      </c>
      <c r="AZ42" s="23">
        <f t="shared" si="69"/>
        <v>0</v>
      </c>
      <c r="BA42" s="23">
        <f t="shared" si="69"/>
        <v>0</v>
      </c>
      <c r="BB42" s="23">
        <f>SUM(AX42:BA42)</f>
        <v>6</v>
      </c>
    </row>
    <row r="43" spans="1:54" x14ac:dyDescent="0.25">
      <c r="A43" s="21" t="s">
        <v>42</v>
      </c>
      <c r="B43" s="23">
        <v>2</v>
      </c>
      <c r="C43" s="23">
        <v>1</v>
      </c>
      <c r="D43" s="23">
        <v>0</v>
      </c>
      <c r="E43" s="23">
        <v>0</v>
      </c>
      <c r="F43" s="23">
        <f t="shared" ref="F43:F61" si="70">SUM(B43:E43)</f>
        <v>3</v>
      </c>
      <c r="H43" s="328">
        <v>4</v>
      </c>
      <c r="I43" s="328"/>
      <c r="J43" s="328"/>
      <c r="K43" s="328"/>
      <c r="L43" s="23">
        <f t="shared" ref="L43:L61" si="71">SUM(H43:K43)</f>
        <v>4</v>
      </c>
      <c r="N43" s="328">
        <v>2</v>
      </c>
      <c r="O43" s="328"/>
      <c r="P43" s="328"/>
      <c r="Q43" s="328"/>
      <c r="R43" s="23">
        <f t="shared" ref="R43:R61" si="72">SUM(N43:Q43)</f>
        <v>2</v>
      </c>
      <c r="T43" s="328">
        <v>2</v>
      </c>
      <c r="U43" s="328"/>
      <c r="V43" s="328"/>
      <c r="W43" s="328"/>
      <c r="X43" s="23">
        <f t="shared" ref="X43:X61" si="73">SUM(T43:W43)</f>
        <v>2</v>
      </c>
      <c r="Z43" s="328">
        <v>3</v>
      </c>
      <c r="AA43" s="328"/>
      <c r="AB43" s="328">
        <v>1</v>
      </c>
      <c r="AC43" s="328"/>
      <c r="AD43" s="23">
        <f t="shared" ref="AD43:AD61" si="74">SUM(Z43:AC43)</f>
        <v>4</v>
      </c>
      <c r="AF43" s="328">
        <v>1</v>
      </c>
      <c r="AG43" s="328"/>
      <c r="AH43" s="328">
        <v>0</v>
      </c>
      <c r="AI43" s="328"/>
      <c r="AJ43" s="23">
        <f t="shared" ref="AJ43:AJ61" si="75">SUM(AF43:AI43)</f>
        <v>1</v>
      </c>
      <c r="AL43" s="23">
        <v>0</v>
      </c>
      <c r="AM43" s="23">
        <v>0</v>
      </c>
      <c r="AN43" s="23">
        <v>0</v>
      </c>
      <c r="AO43" s="23">
        <v>0</v>
      </c>
      <c r="AP43" s="23">
        <f t="shared" ref="AP43:AP61" si="76">SUM(AL43:AO43)</f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f t="shared" ref="AV43:AV61" si="77">SUM(AR43:AU43)</f>
        <v>0</v>
      </c>
      <c r="AX43" s="23">
        <f t="shared" ref="AX43:AX61" si="78">B43+H43+N43+T43+Z43+AF43+AL43+AR43</f>
        <v>14</v>
      </c>
      <c r="AY43" s="23">
        <f t="shared" si="69"/>
        <v>1</v>
      </c>
      <c r="AZ43" s="23">
        <f t="shared" si="69"/>
        <v>1</v>
      </c>
      <c r="BA43" s="23">
        <f t="shared" si="69"/>
        <v>0</v>
      </c>
      <c r="BB43" s="23">
        <f t="shared" ref="BB43:BB61" si="79">SUM(AX43:BA43)</f>
        <v>16</v>
      </c>
    </row>
    <row r="44" spans="1:54" x14ac:dyDescent="0.25">
      <c r="A44" s="34" t="s">
        <v>43</v>
      </c>
      <c r="B44" s="23">
        <v>0</v>
      </c>
      <c r="C44" s="23">
        <v>0</v>
      </c>
      <c r="D44" s="23">
        <v>0</v>
      </c>
      <c r="E44" s="23">
        <v>0</v>
      </c>
      <c r="F44" s="23">
        <f t="shared" si="70"/>
        <v>0</v>
      </c>
      <c r="H44" s="328">
        <v>0</v>
      </c>
      <c r="I44" s="328"/>
      <c r="J44" s="328"/>
      <c r="K44" s="328"/>
      <c r="L44" s="23">
        <f t="shared" si="71"/>
        <v>0</v>
      </c>
      <c r="N44" s="328">
        <v>0</v>
      </c>
      <c r="O44" s="328"/>
      <c r="P44" s="328"/>
      <c r="Q44" s="328"/>
      <c r="R44" s="23">
        <f t="shared" si="72"/>
        <v>0</v>
      </c>
      <c r="T44" s="328">
        <v>0</v>
      </c>
      <c r="U44" s="328"/>
      <c r="V44" s="328"/>
      <c r="W44" s="328"/>
      <c r="X44" s="23">
        <f t="shared" si="73"/>
        <v>0</v>
      </c>
      <c r="Z44" s="328">
        <v>0</v>
      </c>
      <c r="AA44" s="328"/>
      <c r="AB44" s="328"/>
      <c r="AC44" s="328"/>
      <c r="AD44" s="23">
        <f t="shared" si="74"/>
        <v>0</v>
      </c>
      <c r="AF44" s="328">
        <v>0</v>
      </c>
      <c r="AG44" s="328">
        <v>1</v>
      </c>
      <c r="AH44" s="328"/>
      <c r="AI44" s="328"/>
      <c r="AJ44" s="23">
        <f t="shared" si="75"/>
        <v>1</v>
      </c>
      <c r="AL44" s="23">
        <v>0</v>
      </c>
      <c r="AM44" s="23">
        <v>0</v>
      </c>
      <c r="AN44" s="23">
        <v>0</v>
      </c>
      <c r="AO44" s="23">
        <v>0</v>
      </c>
      <c r="AP44" s="23">
        <f t="shared" si="76"/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f t="shared" si="77"/>
        <v>0</v>
      </c>
      <c r="AX44" s="23">
        <f t="shared" si="78"/>
        <v>0</v>
      </c>
      <c r="AY44" s="23">
        <f t="shared" si="69"/>
        <v>1</v>
      </c>
      <c r="AZ44" s="23">
        <f t="shared" si="69"/>
        <v>0</v>
      </c>
      <c r="BA44" s="23">
        <f t="shared" si="69"/>
        <v>0</v>
      </c>
      <c r="BB44" s="23">
        <f t="shared" si="79"/>
        <v>1</v>
      </c>
    </row>
    <row r="45" spans="1:54" x14ac:dyDescent="0.25">
      <c r="A45" s="33" t="s">
        <v>44</v>
      </c>
      <c r="B45" s="23">
        <v>1</v>
      </c>
      <c r="C45" s="23">
        <v>0</v>
      </c>
      <c r="D45" s="23">
        <v>0</v>
      </c>
      <c r="E45" s="23">
        <v>0</v>
      </c>
      <c r="F45" s="23">
        <f t="shared" si="70"/>
        <v>1</v>
      </c>
      <c r="H45" s="328">
        <v>5</v>
      </c>
      <c r="I45" s="328"/>
      <c r="J45" s="328"/>
      <c r="K45" s="328"/>
      <c r="L45" s="23">
        <f t="shared" si="71"/>
        <v>5</v>
      </c>
      <c r="N45" s="328">
        <v>1</v>
      </c>
      <c r="O45" s="328"/>
      <c r="P45" s="328"/>
      <c r="Q45" s="328"/>
      <c r="R45" s="23">
        <f t="shared" si="72"/>
        <v>1</v>
      </c>
      <c r="T45" s="328">
        <v>1</v>
      </c>
      <c r="U45" s="328"/>
      <c r="V45" s="328"/>
      <c r="W45" s="328"/>
      <c r="X45" s="23">
        <f t="shared" si="73"/>
        <v>1</v>
      </c>
      <c r="Z45" s="328">
        <v>2</v>
      </c>
      <c r="AA45" s="328"/>
      <c r="AB45" s="328"/>
      <c r="AC45" s="328"/>
      <c r="AD45" s="23">
        <f t="shared" si="74"/>
        <v>2</v>
      </c>
      <c r="AF45" s="328">
        <v>0</v>
      </c>
      <c r="AG45" s="328"/>
      <c r="AH45" s="328"/>
      <c r="AI45" s="328"/>
      <c r="AJ45" s="23">
        <f t="shared" si="75"/>
        <v>0</v>
      </c>
      <c r="AL45" s="23">
        <v>0</v>
      </c>
      <c r="AM45" s="23">
        <v>0</v>
      </c>
      <c r="AN45" s="23">
        <v>0</v>
      </c>
      <c r="AO45" s="23">
        <v>0</v>
      </c>
      <c r="AP45" s="23">
        <f t="shared" si="76"/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f t="shared" si="77"/>
        <v>0</v>
      </c>
      <c r="AX45" s="23">
        <f t="shared" si="78"/>
        <v>10</v>
      </c>
      <c r="AY45" s="23">
        <f t="shared" si="69"/>
        <v>0</v>
      </c>
      <c r="AZ45" s="23">
        <f t="shared" si="69"/>
        <v>0</v>
      </c>
      <c r="BA45" s="23">
        <f t="shared" si="69"/>
        <v>0</v>
      </c>
      <c r="BB45" s="23">
        <f t="shared" si="79"/>
        <v>10</v>
      </c>
    </row>
    <row r="46" spans="1:54" x14ac:dyDescent="0.25">
      <c r="A46" s="33" t="s">
        <v>45</v>
      </c>
      <c r="B46" s="23">
        <v>0</v>
      </c>
      <c r="C46" s="23">
        <v>0</v>
      </c>
      <c r="D46" s="23">
        <v>0</v>
      </c>
      <c r="E46" s="23">
        <v>0</v>
      </c>
      <c r="F46" s="23">
        <f t="shared" si="70"/>
        <v>0</v>
      </c>
      <c r="H46" s="328">
        <v>1</v>
      </c>
      <c r="I46" s="328">
        <v>1</v>
      </c>
      <c r="J46" s="328"/>
      <c r="K46" s="328"/>
      <c r="L46" s="23">
        <f t="shared" si="71"/>
        <v>2</v>
      </c>
      <c r="N46" s="328">
        <v>1</v>
      </c>
      <c r="O46" s="328"/>
      <c r="P46" s="328"/>
      <c r="Q46" s="328"/>
      <c r="R46" s="23">
        <f t="shared" si="72"/>
        <v>1</v>
      </c>
      <c r="T46" s="328">
        <v>2</v>
      </c>
      <c r="U46" s="328"/>
      <c r="V46" s="328"/>
      <c r="W46" s="328"/>
      <c r="X46" s="23">
        <f t="shared" si="73"/>
        <v>2</v>
      </c>
      <c r="Z46" s="328">
        <v>2</v>
      </c>
      <c r="AA46" s="328"/>
      <c r="AB46" s="328"/>
      <c r="AC46" s="328"/>
      <c r="AD46" s="23">
        <f t="shared" si="74"/>
        <v>2</v>
      </c>
      <c r="AF46" s="328">
        <v>0</v>
      </c>
      <c r="AG46" s="328"/>
      <c r="AH46" s="328"/>
      <c r="AI46" s="328"/>
      <c r="AJ46" s="23">
        <f t="shared" si="75"/>
        <v>0</v>
      </c>
      <c r="AL46" s="23">
        <v>1</v>
      </c>
      <c r="AM46" s="23">
        <v>0</v>
      </c>
      <c r="AN46" s="23">
        <v>0</v>
      </c>
      <c r="AO46" s="23">
        <v>0</v>
      </c>
      <c r="AP46" s="23">
        <f t="shared" si="76"/>
        <v>1</v>
      </c>
      <c r="AR46" s="23">
        <v>0</v>
      </c>
      <c r="AS46" s="23">
        <v>0</v>
      </c>
      <c r="AT46" s="23">
        <v>0</v>
      </c>
      <c r="AU46" s="23">
        <v>0</v>
      </c>
      <c r="AV46" s="23">
        <f t="shared" si="77"/>
        <v>0</v>
      </c>
      <c r="AX46" s="23">
        <f t="shared" si="78"/>
        <v>7</v>
      </c>
      <c r="AY46" s="23">
        <f t="shared" si="69"/>
        <v>1</v>
      </c>
      <c r="AZ46" s="23">
        <f t="shared" si="69"/>
        <v>0</v>
      </c>
      <c r="BA46" s="23">
        <f t="shared" si="69"/>
        <v>0</v>
      </c>
      <c r="BB46" s="23">
        <f t="shared" si="79"/>
        <v>8</v>
      </c>
    </row>
    <row r="47" spans="1:54" x14ac:dyDescent="0.25">
      <c r="A47" s="21" t="s">
        <v>200</v>
      </c>
      <c r="B47" s="23">
        <v>1</v>
      </c>
      <c r="C47" s="23">
        <v>0</v>
      </c>
      <c r="D47" s="23">
        <v>0</v>
      </c>
      <c r="E47" s="23">
        <v>0</v>
      </c>
      <c r="F47" s="23">
        <f t="shared" si="70"/>
        <v>1</v>
      </c>
      <c r="H47" s="328">
        <v>2</v>
      </c>
      <c r="I47" s="328"/>
      <c r="J47" s="328"/>
      <c r="K47" s="328"/>
      <c r="L47" s="23">
        <f t="shared" si="71"/>
        <v>2</v>
      </c>
      <c r="N47" s="328">
        <v>1</v>
      </c>
      <c r="O47" s="328"/>
      <c r="P47" s="328"/>
      <c r="Q47" s="328"/>
      <c r="R47" s="23">
        <f t="shared" si="72"/>
        <v>1</v>
      </c>
      <c r="T47" s="328">
        <v>1</v>
      </c>
      <c r="U47" s="328"/>
      <c r="V47" s="328"/>
      <c r="W47" s="328"/>
      <c r="X47" s="23">
        <f t="shared" si="73"/>
        <v>1</v>
      </c>
      <c r="Z47" s="328">
        <v>2</v>
      </c>
      <c r="AA47" s="328"/>
      <c r="AB47" s="328"/>
      <c r="AC47" s="328"/>
      <c r="AD47" s="23">
        <f t="shared" si="74"/>
        <v>2</v>
      </c>
      <c r="AF47" s="328">
        <v>1</v>
      </c>
      <c r="AG47" s="328"/>
      <c r="AH47" s="328"/>
      <c r="AI47" s="328"/>
      <c r="AJ47" s="23">
        <f t="shared" si="75"/>
        <v>1</v>
      </c>
      <c r="AL47" s="23">
        <v>1</v>
      </c>
      <c r="AM47" s="23">
        <v>0</v>
      </c>
      <c r="AN47" s="23">
        <v>0</v>
      </c>
      <c r="AO47" s="23">
        <v>0</v>
      </c>
      <c r="AP47" s="23">
        <f t="shared" si="76"/>
        <v>1</v>
      </c>
      <c r="AR47" s="23">
        <v>0</v>
      </c>
      <c r="AS47" s="23">
        <v>0</v>
      </c>
      <c r="AT47" s="23">
        <v>0</v>
      </c>
      <c r="AU47" s="23">
        <v>0</v>
      </c>
      <c r="AV47" s="23">
        <f t="shared" si="77"/>
        <v>0</v>
      </c>
      <c r="AX47" s="23">
        <f t="shared" si="78"/>
        <v>9</v>
      </c>
      <c r="AY47" s="23">
        <f t="shared" si="69"/>
        <v>0</v>
      </c>
      <c r="AZ47" s="23">
        <f t="shared" si="69"/>
        <v>0</v>
      </c>
      <c r="BA47" s="23">
        <f t="shared" si="69"/>
        <v>0</v>
      </c>
      <c r="BB47" s="23">
        <f t="shared" si="79"/>
        <v>9</v>
      </c>
    </row>
    <row r="48" spans="1:54" x14ac:dyDescent="0.25">
      <c r="A48" s="21" t="s">
        <v>47</v>
      </c>
      <c r="B48" s="23">
        <v>1</v>
      </c>
      <c r="C48" s="23">
        <v>0</v>
      </c>
      <c r="D48" s="23">
        <v>0</v>
      </c>
      <c r="E48" s="23">
        <v>0</v>
      </c>
      <c r="F48" s="23">
        <f t="shared" si="70"/>
        <v>1</v>
      </c>
      <c r="H48" s="328">
        <v>2</v>
      </c>
      <c r="I48" s="328"/>
      <c r="J48" s="328"/>
      <c r="K48" s="328"/>
      <c r="L48" s="23">
        <f t="shared" si="71"/>
        <v>2</v>
      </c>
      <c r="N48" s="328">
        <v>1</v>
      </c>
      <c r="O48" s="328"/>
      <c r="P48" s="328"/>
      <c r="Q48" s="328"/>
      <c r="R48" s="23">
        <f t="shared" si="72"/>
        <v>1</v>
      </c>
      <c r="T48" s="328">
        <v>1</v>
      </c>
      <c r="U48" s="328"/>
      <c r="V48" s="328"/>
      <c r="W48" s="328"/>
      <c r="X48" s="23">
        <f t="shared" si="73"/>
        <v>1</v>
      </c>
      <c r="Z48" s="328">
        <v>1.5</v>
      </c>
      <c r="AA48" s="328"/>
      <c r="AB48" s="328"/>
      <c r="AC48" s="328"/>
      <c r="AD48" s="23">
        <f t="shared" si="74"/>
        <v>1.5</v>
      </c>
      <c r="AF48" s="328">
        <v>0</v>
      </c>
      <c r="AG48" s="328"/>
      <c r="AH48" s="328"/>
      <c r="AI48" s="328"/>
      <c r="AJ48" s="23">
        <f t="shared" si="75"/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f t="shared" si="76"/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f t="shared" si="77"/>
        <v>0</v>
      </c>
      <c r="AX48" s="23">
        <f t="shared" si="78"/>
        <v>6.5</v>
      </c>
      <c r="AY48" s="23">
        <f t="shared" si="69"/>
        <v>0</v>
      </c>
      <c r="AZ48" s="23">
        <f t="shared" si="69"/>
        <v>0</v>
      </c>
      <c r="BA48" s="23">
        <f t="shared" si="69"/>
        <v>0</v>
      </c>
      <c r="BB48" s="23">
        <f t="shared" si="79"/>
        <v>6.5</v>
      </c>
    </row>
    <row r="49" spans="1:54" x14ac:dyDescent="0.25">
      <c r="A49" s="21" t="s">
        <v>48</v>
      </c>
      <c r="B49" s="23">
        <v>1</v>
      </c>
      <c r="C49" s="23">
        <v>0</v>
      </c>
      <c r="D49" s="23">
        <v>0</v>
      </c>
      <c r="E49" s="23">
        <v>0</v>
      </c>
      <c r="F49" s="23">
        <f t="shared" si="70"/>
        <v>1</v>
      </c>
      <c r="H49" s="328">
        <v>2</v>
      </c>
      <c r="I49" s="328"/>
      <c r="J49" s="328"/>
      <c r="K49" s="328"/>
      <c r="L49" s="23">
        <f t="shared" si="71"/>
        <v>2</v>
      </c>
      <c r="N49" s="328">
        <v>1</v>
      </c>
      <c r="O49" s="328"/>
      <c r="P49" s="328"/>
      <c r="Q49" s="328"/>
      <c r="R49" s="23">
        <f t="shared" si="72"/>
        <v>1</v>
      </c>
      <c r="T49" s="328">
        <v>1</v>
      </c>
      <c r="U49" s="328"/>
      <c r="V49" s="328"/>
      <c r="W49" s="328"/>
      <c r="X49" s="23">
        <f t="shared" si="73"/>
        <v>1</v>
      </c>
      <c r="Z49" s="328">
        <v>2</v>
      </c>
      <c r="AA49" s="328"/>
      <c r="AB49" s="328"/>
      <c r="AC49" s="328"/>
      <c r="AD49" s="23">
        <f t="shared" si="74"/>
        <v>2</v>
      </c>
      <c r="AF49" s="328">
        <v>0</v>
      </c>
      <c r="AG49" s="328"/>
      <c r="AH49" s="328"/>
      <c r="AI49" s="328"/>
      <c r="AJ49" s="23">
        <f t="shared" si="75"/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f t="shared" si="76"/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f t="shared" si="77"/>
        <v>0</v>
      </c>
      <c r="AX49" s="23">
        <f t="shared" si="78"/>
        <v>7</v>
      </c>
      <c r="AY49" s="23">
        <f t="shared" si="69"/>
        <v>0</v>
      </c>
      <c r="AZ49" s="23">
        <f t="shared" si="69"/>
        <v>0</v>
      </c>
      <c r="BA49" s="23">
        <f t="shared" si="69"/>
        <v>0</v>
      </c>
      <c r="BB49" s="23">
        <f t="shared" si="79"/>
        <v>7</v>
      </c>
    </row>
    <row r="50" spans="1:54" x14ac:dyDescent="0.25">
      <c r="A50" s="21" t="s">
        <v>49</v>
      </c>
      <c r="B50" s="23">
        <v>1</v>
      </c>
      <c r="C50" s="23">
        <v>0</v>
      </c>
      <c r="D50" s="23">
        <v>0</v>
      </c>
      <c r="E50" s="23">
        <v>0</v>
      </c>
      <c r="F50" s="23">
        <f t="shared" si="70"/>
        <v>1</v>
      </c>
      <c r="H50" s="328">
        <v>2</v>
      </c>
      <c r="I50" s="328"/>
      <c r="J50" s="328"/>
      <c r="K50" s="328"/>
      <c r="L50" s="23">
        <f t="shared" si="71"/>
        <v>2</v>
      </c>
      <c r="N50" s="328">
        <v>1</v>
      </c>
      <c r="O50" s="328"/>
      <c r="P50" s="328"/>
      <c r="Q50" s="328"/>
      <c r="R50" s="23">
        <f t="shared" si="72"/>
        <v>1</v>
      </c>
      <c r="T50" s="328">
        <v>1</v>
      </c>
      <c r="U50" s="328"/>
      <c r="V50" s="328"/>
      <c r="W50" s="328"/>
      <c r="X50" s="23">
        <f t="shared" si="73"/>
        <v>1</v>
      </c>
      <c r="Z50" s="328">
        <v>2</v>
      </c>
      <c r="AA50" s="328"/>
      <c r="AB50" s="328"/>
      <c r="AC50" s="328"/>
      <c r="AD50" s="23">
        <f t="shared" si="74"/>
        <v>2</v>
      </c>
      <c r="AF50" s="328">
        <v>1</v>
      </c>
      <c r="AG50" s="328"/>
      <c r="AH50" s="328"/>
      <c r="AI50" s="328"/>
      <c r="AJ50" s="23">
        <f t="shared" si="75"/>
        <v>1</v>
      </c>
      <c r="AL50" s="23">
        <v>0</v>
      </c>
      <c r="AM50" s="23">
        <v>0</v>
      </c>
      <c r="AN50" s="23">
        <v>0</v>
      </c>
      <c r="AO50" s="23">
        <v>0</v>
      </c>
      <c r="AP50" s="23">
        <f t="shared" si="76"/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f t="shared" si="77"/>
        <v>0</v>
      </c>
      <c r="AX50" s="23">
        <f t="shared" si="78"/>
        <v>8</v>
      </c>
      <c r="AY50" s="23">
        <f t="shared" si="69"/>
        <v>0</v>
      </c>
      <c r="AZ50" s="23">
        <f t="shared" si="69"/>
        <v>0</v>
      </c>
      <c r="BA50" s="23">
        <f t="shared" si="69"/>
        <v>0</v>
      </c>
      <c r="BB50" s="23">
        <f t="shared" si="79"/>
        <v>8</v>
      </c>
    </row>
    <row r="51" spans="1:54" x14ac:dyDescent="0.25">
      <c r="A51" s="21" t="s">
        <v>50</v>
      </c>
      <c r="B51" s="23">
        <v>0</v>
      </c>
      <c r="C51" s="23">
        <v>1.5</v>
      </c>
      <c r="D51" s="23">
        <v>4</v>
      </c>
      <c r="E51" s="23">
        <v>0</v>
      </c>
      <c r="F51" s="23">
        <f t="shared" si="70"/>
        <v>5.5</v>
      </c>
      <c r="H51" s="328">
        <v>0</v>
      </c>
      <c r="I51" s="328">
        <v>4</v>
      </c>
      <c r="J51" s="328">
        <v>13</v>
      </c>
      <c r="K51" s="328">
        <v>0</v>
      </c>
      <c r="L51" s="23">
        <f t="shared" si="71"/>
        <v>17</v>
      </c>
      <c r="N51" s="328">
        <v>0</v>
      </c>
      <c r="O51" s="328">
        <v>4.5</v>
      </c>
      <c r="P51" s="328">
        <v>4</v>
      </c>
      <c r="Q51" s="328">
        <v>0</v>
      </c>
      <c r="R51" s="23">
        <f t="shared" si="72"/>
        <v>8.5</v>
      </c>
      <c r="T51" s="328">
        <v>1.5</v>
      </c>
      <c r="U51" s="328">
        <v>4</v>
      </c>
      <c r="V51" s="328">
        <v>5</v>
      </c>
      <c r="W51" s="328">
        <v>0</v>
      </c>
      <c r="X51" s="23">
        <f t="shared" si="73"/>
        <v>10.5</v>
      </c>
      <c r="Z51" s="328">
        <v>0</v>
      </c>
      <c r="AA51" s="328">
        <v>2</v>
      </c>
      <c r="AB51" s="328">
        <v>10</v>
      </c>
      <c r="AC51" s="328">
        <v>0</v>
      </c>
      <c r="AD51" s="23">
        <f t="shared" si="74"/>
        <v>12</v>
      </c>
      <c r="AF51" s="328">
        <v>0</v>
      </c>
      <c r="AG51" s="328">
        <v>0</v>
      </c>
      <c r="AH51" s="359">
        <v>1</v>
      </c>
      <c r="AI51" s="328">
        <v>0</v>
      </c>
      <c r="AJ51" s="23">
        <f t="shared" si="75"/>
        <v>1</v>
      </c>
      <c r="AL51" s="23">
        <v>1</v>
      </c>
      <c r="AM51" s="23">
        <v>0</v>
      </c>
      <c r="AN51" s="23">
        <v>0</v>
      </c>
      <c r="AO51" s="23">
        <v>0</v>
      </c>
      <c r="AP51" s="23">
        <f t="shared" si="76"/>
        <v>1</v>
      </c>
      <c r="AR51" s="23">
        <v>0</v>
      </c>
      <c r="AS51" s="23">
        <v>0</v>
      </c>
      <c r="AT51" s="23">
        <v>1</v>
      </c>
      <c r="AU51" s="23">
        <v>0</v>
      </c>
      <c r="AV51" s="23">
        <f t="shared" si="77"/>
        <v>1</v>
      </c>
      <c r="AX51" s="23">
        <f t="shared" si="78"/>
        <v>2.5</v>
      </c>
      <c r="AY51" s="23">
        <f t="shared" si="69"/>
        <v>16</v>
      </c>
      <c r="AZ51" s="23">
        <f t="shared" si="69"/>
        <v>38</v>
      </c>
      <c r="BA51" s="23">
        <f t="shared" si="69"/>
        <v>0</v>
      </c>
      <c r="BB51" s="23">
        <f t="shared" si="79"/>
        <v>56.5</v>
      </c>
    </row>
    <row r="52" spans="1:54" x14ac:dyDescent="0.25">
      <c r="A52" s="21" t="s">
        <v>51</v>
      </c>
      <c r="B52" s="23">
        <v>1</v>
      </c>
      <c r="C52" s="23">
        <v>0</v>
      </c>
      <c r="D52" s="23">
        <v>0</v>
      </c>
      <c r="E52" s="23">
        <v>0</v>
      </c>
      <c r="F52" s="23">
        <f t="shared" si="70"/>
        <v>1</v>
      </c>
      <c r="H52" s="328">
        <v>5</v>
      </c>
      <c r="I52" s="328"/>
      <c r="J52" s="328"/>
      <c r="K52" s="328"/>
      <c r="L52" s="23">
        <f t="shared" si="71"/>
        <v>5</v>
      </c>
      <c r="N52" s="328">
        <v>2</v>
      </c>
      <c r="O52" s="328"/>
      <c r="P52" s="328"/>
      <c r="Q52" s="328"/>
      <c r="R52" s="23">
        <f t="shared" si="72"/>
        <v>2</v>
      </c>
      <c r="T52" s="328">
        <v>2</v>
      </c>
      <c r="U52" s="328"/>
      <c r="V52" s="328"/>
      <c r="W52" s="328"/>
      <c r="X52" s="23">
        <f t="shared" si="73"/>
        <v>2</v>
      </c>
      <c r="Z52" s="328">
        <v>4</v>
      </c>
      <c r="AA52" s="328"/>
      <c r="AB52" s="328"/>
      <c r="AC52" s="328"/>
      <c r="AD52" s="23">
        <f t="shared" si="74"/>
        <v>4</v>
      </c>
      <c r="AF52" s="328">
        <v>1</v>
      </c>
      <c r="AG52" s="328"/>
      <c r="AH52" s="328"/>
      <c r="AI52" s="328"/>
      <c r="AJ52" s="23">
        <f t="shared" si="75"/>
        <v>1</v>
      </c>
      <c r="AL52" s="23">
        <v>0</v>
      </c>
      <c r="AM52" s="23">
        <v>0</v>
      </c>
      <c r="AN52" s="23">
        <v>0</v>
      </c>
      <c r="AO52" s="23">
        <v>0</v>
      </c>
      <c r="AP52" s="23">
        <f t="shared" si="76"/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f t="shared" si="77"/>
        <v>0</v>
      </c>
      <c r="AX52" s="23">
        <f t="shared" si="78"/>
        <v>15</v>
      </c>
      <c r="AY52" s="23">
        <f t="shared" si="69"/>
        <v>0</v>
      </c>
      <c r="AZ52" s="23">
        <f t="shared" si="69"/>
        <v>0</v>
      </c>
      <c r="BA52" s="23">
        <f t="shared" si="69"/>
        <v>0</v>
      </c>
      <c r="BB52" s="23">
        <f t="shared" si="79"/>
        <v>15</v>
      </c>
    </row>
    <row r="53" spans="1:54" x14ac:dyDescent="0.25">
      <c r="A53" s="21" t="s">
        <v>52</v>
      </c>
      <c r="B53" s="23">
        <v>0</v>
      </c>
      <c r="C53" s="23">
        <v>0</v>
      </c>
      <c r="D53" s="23">
        <v>0</v>
      </c>
      <c r="E53" s="23">
        <v>1</v>
      </c>
      <c r="F53" s="23">
        <f t="shared" si="70"/>
        <v>1</v>
      </c>
      <c r="H53" s="328">
        <v>0</v>
      </c>
      <c r="I53" s="328"/>
      <c r="J53" s="328"/>
      <c r="K53" s="328">
        <v>3</v>
      </c>
      <c r="L53" s="23">
        <f t="shared" si="71"/>
        <v>3</v>
      </c>
      <c r="N53" s="328"/>
      <c r="O53" s="328"/>
      <c r="P53" s="328"/>
      <c r="Q53" s="328">
        <v>1</v>
      </c>
      <c r="R53" s="23">
        <f t="shared" si="72"/>
        <v>1</v>
      </c>
      <c r="T53" s="328"/>
      <c r="U53" s="328"/>
      <c r="V53" s="328"/>
      <c r="W53" s="328">
        <v>1</v>
      </c>
      <c r="X53" s="23">
        <f t="shared" si="73"/>
        <v>1</v>
      </c>
      <c r="Z53" s="328"/>
      <c r="AA53" s="328"/>
      <c r="AB53" s="328"/>
      <c r="AC53" s="328">
        <v>2</v>
      </c>
      <c r="AD53" s="23">
        <f t="shared" si="74"/>
        <v>2</v>
      </c>
      <c r="AF53" s="328"/>
      <c r="AG53" s="328"/>
      <c r="AH53" s="328"/>
      <c r="AI53" s="328">
        <v>1</v>
      </c>
      <c r="AJ53" s="23">
        <f t="shared" si="75"/>
        <v>1</v>
      </c>
      <c r="AL53" s="23">
        <v>0</v>
      </c>
      <c r="AM53" s="23">
        <v>0</v>
      </c>
      <c r="AN53" s="23">
        <v>0</v>
      </c>
      <c r="AO53" s="23">
        <v>0</v>
      </c>
      <c r="AP53" s="23">
        <f t="shared" si="76"/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f t="shared" si="77"/>
        <v>0</v>
      </c>
      <c r="AX53" s="23">
        <f t="shared" si="78"/>
        <v>0</v>
      </c>
      <c r="AY53" s="23">
        <f t="shared" si="69"/>
        <v>0</v>
      </c>
      <c r="AZ53" s="23">
        <f t="shared" si="69"/>
        <v>0</v>
      </c>
      <c r="BA53" s="23">
        <f t="shared" si="69"/>
        <v>9</v>
      </c>
      <c r="BB53" s="23">
        <f t="shared" si="79"/>
        <v>9</v>
      </c>
    </row>
    <row r="54" spans="1:54" x14ac:dyDescent="0.25">
      <c r="A54" s="21" t="s">
        <v>244</v>
      </c>
      <c r="B54" s="23">
        <v>0</v>
      </c>
      <c r="C54" s="23">
        <v>0</v>
      </c>
      <c r="D54" s="23">
        <v>0</v>
      </c>
      <c r="E54" s="23">
        <v>0</v>
      </c>
      <c r="F54" s="23">
        <f t="shared" si="70"/>
        <v>0</v>
      </c>
      <c r="H54" s="328">
        <v>0</v>
      </c>
      <c r="I54" s="328">
        <v>0</v>
      </c>
      <c r="J54" s="328"/>
      <c r="K54" s="328"/>
      <c r="L54" s="23">
        <f t="shared" si="71"/>
        <v>0</v>
      </c>
      <c r="N54" s="328">
        <v>0</v>
      </c>
      <c r="O54" s="328">
        <v>0</v>
      </c>
      <c r="P54" s="328"/>
      <c r="Q54" s="328"/>
      <c r="R54" s="23">
        <f t="shared" si="72"/>
        <v>0</v>
      </c>
      <c r="T54" s="328">
        <v>0</v>
      </c>
      <c r="U54" s="328">
        <v>0</v>
      </c>
      <c r="V54" s="328"/>
      <c r="W54" s="328"/>
      <c r="X54" s="23">
        <f t="shared" si="73"/>
        <v>0</v>
      </c>
      <c r="Z54" s="328">
        <v>0</v>
      </c>
      <c r="AA54" s="328">
        <v>0</v>
      </c>
      <c r="AB54" s="328"/>
      <c r="AC54" s="328"/>
      <c r="AD54" s="23">
        <f t="shared" si="74"/>
        <v>0</v>
      </c>
      <c r="AF54" s="328">
        <v>0</v>
      </c>
      <c r="AG54" s="328">
        <v>0</v>
      </c>
      <c r="AH54" s="328"/>
      <c r="AI54" s="328"/>
      <c r="AJ54" s="23">
        <f t="shared" si="75"/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f t="shared" si="76"/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f t="shared" si="77"/>
        <v>0</v>
      </c>
      <c r="AX54" s="23">
        <f t="shared" si="78"/>
        <v>0</v>
      </c>
      <c r="AY54" s="23">
        <f t="shared" si="69"/>
        <v>0</v>
      </c>
      <c r="AZ54" s="23">
        <f t="shared" si="69"/>
        <v>0</v>
      </c>
      <c r="BA54" s="23">
        <f t="shared" si="69"/>
        <v>0</v>
      </c>
      <c r="BB54" s="23">
        <f t="shared" si="79"/>
        <v>0</v>
      </c>
    </row>
    <row r="55" spans="1:54" x14ac:dyDescent="0.25">
      <c r="A55" s="34" t="s">
        <v>54</v>
      </c>
      <c r="B55" s="23">
        <v>0</v>
      </c>
      <c r="C55" s="23">
        <v>0</v>
      </c>
      <c r="D55" s="23">
        <v>1</v>
      </c>
      <c r="E55" s="23">
        <v>0</v>
      </c>
      <c r="F55" s="23">
        <f t="shared" si="70"/>
        <v>1</v>
      </c>
      <c r="H55" s="328">
        <v>0</v>
      </c>
      <c r="I55" s="328"/>
      <c r="J55" s="328">
        <v>1</v>
      </c>
      <c r="K55" s="328"/>
      <c r="L55" s="23">
        <f t="shared" si="71"/>
        <v>1</v>
      </c>
      <c r="N55" s="328">
        <v>0</v>
      </c>
      <c r="O55" s="328"/>
      <c r="P55" s="328">
        <v>0.33</v>
      </c>
      <c r="Q55" s="328"/>
      <c r="R55" s="23">
        <f t="shared" si="72"/>
        <v>0.33</v>
      </c>
      <c r="T55" s="328">
        <v>0</v>
      </c>
      <c r="U55" s="328"/>
      <c r="V55" s="328">
        <v>1</v>
      </c>
      <c r="W55" s="328"/>
      <c r="X55" s="23">
        <f t="shared" si="73"/>
        <v>1</v>
      </c>
      <c r="Z55" s="328">
        <v>0</v>
      </c>
      <c r="AA55" s="328"/>
      <c r="AB55" s="328">
        <v>0</v>
      </c>
      <c r="AC55" s="328"/>
      <c r="AD55" s="23">
        <f t="shared" si="74"/>
        <v>0</v>
      </c>
      <c r="AF55" s="328">
        <v>0</v>
      </c>
      <c r="AG55" s="328"/>
      <c r="AH55" s="328">
        <v>0</v>
      </c>
      <c r="AI55" s="328"/>
      <c r="AJ55" s="23">
        <f t="shared" si="75"/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f t="shared" si="76"/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f t="shared" si="77"/>
        <v>0</v>
      </c>
      <c r="AX55" s="23">
        <f t="shared" si="78"/>
        <v>0</v>
      </c>
      <c r="AY55" s="23">
        <f t="shared" si="69"/>
        <v>0</v>
      </c>
      <c r="AZ55" s="23">
        <f t="shared" si="69"/>
        <v>3.33</v>
      </c>
      <c r="BA55" s="23">
        <f t="shared" si="69"/>
        <v>0</v>
      </c>
      <c r="BB55" s="23">
        <f t="shared" si="79"/>
        <v>3.33</v>
      </c>
    </row>
    <row r="56" spans="1:54" x14ac:dyDescent="0.25">
      <c r="A56" s="34" t="s">
        <v>55</v>
      </c>
      <c r="B56" s="23">
        <v>0</v>
      </c>
      <c r="C56" s="23">
        <v>0</v>
      </c>
      <c r="D56" s="23">
        <v>0</v>
      </c>
      <c r="E56" s="23">
        <v>0</v>
      </c>
      <c r="F56" s="23">
        <f t="shared" si="70"/>
        <v>0</v>
      </c>
      <c r="H56" s="328">
        <v>0</v>
      </c>
      <c r="I56" s="328">
        <v>0</v>
      </c>
      <c r="J56" s="328">
        <v>1</v>
      </c>
      <c r="K56" s="328"/>
      <c r="L56" s="23">
        <f t="shared" si="71"/>
        <v>1</v>
      </c>
      <c r="N56" s="328">
        <v>0</v>
      </c>
      <c r="O56" s="328">
        <v>0</v>
      </c>
      <c r="P56" s="328"/>
      <c r="Q56" s="328"/>
      <c r="R56" s="23">
        <f t="shared" si="72"/>
        <v>0</v>
      </c>
      <c r="T56" s="328">
        <v>0</v>
      </c>
      <c r="U56" s="328">
        <v>0</v>
      </c>
      <c r="V56" s="328">
        <v>1</v>
      </c>
      <c r="W56" s="328"/>
      <c r="X56" s="23">
        <f t="shared" si="73"/>
        <v>1</v>
      </c>
      <c r="Z56" s="328">
        <v>0</v>
      </c>
      <c r="AA56" s="328">
        <v>0</v>
      </c>
      <c r="AB56" s="328">
        <v>0</v>
      </c>
      <c r="AC56" s="328"/>
      <c r="AD56" s="23">
        <f t="shared" si="74"/>
        <v>0</v>
      </c>
      <c r="AF56" s="328">
        <v>0</v>
      </c>
      <c r="AG56" s="328">
        <v>0</v>
      </c>
      <c r="AH56" s="328">
        <v>0</v>
      </c>
      <c r="AI56" s="328"/>
      <c r="AJ56" s="23">
        <f t="shared" si="75"/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f t="shared" si="76"/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f t="shared" si="77"/>
        <v>0</v>
      </c>
      <c r="AX56" s="23">
        <f t="shared" si="78"/>
        <v>0</v>
      </c>
      <c r="AY56" s="23">
        <f t="shared" si="69"/>
        <v>0</v>
      </c>
      <c r="AZ56" s="23">
        <f t="shared" si="69"/>
        <v>2</v>
      </c>
      <c r="BA56" s="23">
        <f t="shared" si="69"/>
        <v>0</v>
      </c>
      <c r="BB56" s="23">
        <f t="shared" si="79"/>
        <v>2</v>
      </c>
    </row>
    <row r="57" spans="1:54" x14ac:dyDescent="0.25">
      <c r="A57" s="34" t="s">
        <v>56</v>
      </c>
      <c r="B57" s="23">
        <v>0</v>
      </c>
      <c r="C57" s="23">
        <v>0</v>
      </c>
      <c r="D57" s="23">
        <v>0</v>
      </c>
      <c r="E57" s="23">
        <v>0</v>
      </c>
      <c r="F57" s="23">
        <f t="shared" si="70"/>
        <v>0</v>
      </c>
      <c r="H57" s="328">
        <v>0</v>
      </c>
      <c r="I57" s="328">
        <v>0</v>
      </c>
      <c r="J57" s="328">
        <v>0</v>
      </c>
      <c r="K57" s="328"/>
      <c r="L57" s="23">
        <f t="shared" si="71"/>
        <v>0</v>
      </c>
      <c r="N57" s="328">
        <v>0</v>
      </c>
      <c r="O57" s="328">
        <v>0</v>
      </c>
      <c r="P57" s="328"/>
      <c r="Q57" s="328"/>
      <c r="R57" s="23">
        <f t="shared" si="72"/>
        <v>0</v>
      </c>
      <c r="T57" s="328">
        <v>0</v>
      </c>
      <c r="U57" s="328">
        <v>0</v>
      </c>
      <c r="V57" s="328">
        <v>1</v>
      </c>
      <c r="W57" s="328"/>
      <c r="X57" s="23">
        <f t="shared" si="73"/>
        <v>1</v>
      </c>
      <c r="Z57" s="328">
        <v>0</v>
      </c>
      <c r="AA57" s="328">
        <v>0</v>
      </c>
      <c r="AB57" s="328">
        <v>0.5</v>
      </c>
      <c r="AC57" s="328"/>
      <c r="AD57" s="23">
        <f t="shared" si="74"/>
        <v>0.5</v>
      </c>
      <c r="AF57" s="328">
        <v>0</v>
      </c>
      <c r="AG57" s="328">
        <v>0</v>
      </c>
      <c r="AH57" s="328">
        <v>0</v>
      </c>
      <c r="AI57" s="328"/>
      <c r="AJ57" s="23">
        <f t="shared" si="75"/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f t="shared" si="76"/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f t="shared" si="77"/>
        <v>0</v>
      </c>
      <c r="AX57" s="23">
        <f t="shared" si="78"/>
        <v>0</v>
      </c>
      <c r="AY57" s="23">
        <f t="shared" si="69"/>
        <v>0</v>
      </c>
      <c r="AZ57" s="23">
        <f t="shared" si="69"/>
        <v>1.5</v>
      </c>
      <c r="BA57" s="23">
        <f t="shared" si="69"/>
        <v>0</v>
      </c>
      <c r="BB57" s="23">
        <f t="shared" si="79"/>
        <v>1.5</v>
      </c>
    </row>
    <row r="58" spans="1:54" x14ac:dyDescent="0.25">
      <c r="A58" s="34" t="s">
        <v>57</v>
      </c>
      <c r="B58" s="23">
        <v>0</v>
      </c>
      <c r="C58" s="23">
        <v>0</v>
      </c>
      <c r="D58" s="23">
        <v>0</v>
      </c>
      <c r="E58" s="23">
        <v>0</v>
      </c>
      <c r="F58" s="23">
        <f t="shared" si="70"/>
        <v>0</v>
      </c>
      <c r="H58" s="328">
        <v>0</v>
      </c>
      <c r="I58" s="328">
        <v>0</v>
      </c>
      <c r="J58" s="328"/>
      <c r="K58" s="328"/>
      <c r="L58" s="23">
        <f t="shared" si="71"/>
        <v>0</v>
      </c>
      <c r="N58" s="328">
        <v>0</v>
      </c>
      <c r="O58" s="328">
        <v>0</v>
      </c>
      <c r="P58" s="328"/>
      <c r="Q58" s="328"/>
      <c r="R58" s="23">
        <f t="shared" si="72"/>
        <v>0</v>
      </c>
      <c r="T58" s="328">
        <v>0</v>
      </c>
      <c r="U58" s="328">
        <v>0</v>
      </c>
      <c r="V58" s="328">
        <v>0.34</v>
      </c>
      <c r="W58" s="328"/>
      <c r="X58" s="23">
        <f t="shared" si="73"/>
        <v>0.34</v>
      </c>
      <c r="Z58" s="328">
        <v>0</v>
      </c>
      <c r="AA58" s="328">
        <v>0</v>
      </c>
      <c r="AB58" s="328">
        <v>0.33</v>
      </c>
      <c r="AC58" s="328"/>
      <c r="AD58" s="23">
        <f t="shared" si="74"/>
        <v>0.33</v>
      </c>
      <c r="AF58" s="328">
        <v>0</v>
      </c>
      <c r="AG58" s="328">
        <v>0</v>
      </c>
      <c r="AH58" s="328">
        <v>0</v>
      </c>
      <c r="AI58" s="328"/>
      <c r="AJ58" s="23">
        <f t="shared" si="75"/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f t="shared" si="76"/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f t="shared" si="77"/>
        <v>0</v>
      </c>
      <c r="AX58" s="23">
        <f t="shared" si="78"/>
        <v>0</v>
      </c>
      <c r="AY58" s="23">
        <f t="shared" ref="AY58:AY61" si="80">C58+I58+O58+U58+AA58+AG58+AM58+AS58</f>
        <v>0</v>
      </c>
      <c r="AZ58" s="23">
        <f t="shared" ref="AZ58:AZ61" si="81">D58+J58+P58+V58+AB58+AH58+AN58+AT58</f>
        <v>0.67</v>
      </c>
      <c r="BA58" s="23">
        <f t="shared" ref="BA58:BA61" si="82">E58+K58+Q58+W58+AC58+AI58+AO58+AU58</f>
        <v>0</v>
      </c>
      <c r="BB58" s="23">
        <f t="shared" si="79"/>
        <v>0.67</v>
      </c>
    </row>
    <row r="59" spans="1:54" x14ac:dyDescent="0.25">
      <c r="A59" s="34" t="s">
        <v>58</v>
      </c>
      <c r="B59" s="23">
        <v>0</v>
      </c>
      <c r="C59" s="23">
        <v>0</v>
      </c>
      <c r="D59" s="23">
        <v>0</v>
      </c>
      <c r="E59" s="23">
        <v>0</v>
      </c>
      <c r="F59" s="23">
        <f t="shared" si="70"/>
        <v>0</v>
      </c>
      <c r="H59" s="328">
        <v>0</v>
      </c>
      <c r="I59" s="328">
        <v>0</v>
      </c>
      <c r="J59" s="328">
        <v>1</v>
      </c>
      <c r="K59" s="328"/>
      <c r="L59" s="23">
        <f t="shared" si="71"/>
        <v>1</v>
      </c>
      <c r="N59" s="328">
        <v>0</v>
      </c>
      <c r="O59" s="328">
        <v>0</v>
      </c>
      <c r="P59" s="328"/>
      <c r="Q59" s="328"/>
      <c r="R59" s="23">
        <f t="shared" si="72"/>
        <v>0</v>
      </c>
      <c r="T59" s="328">
        <v>0</v>
      </c>
      <c r="U59" s="328">
        <v>0</v>
      </c>
      <c r="V59" s="328"/>
      <c r="W59" s="328"/>
      <c r="X59" s="23">
        <f t="shared" si="73"/>
        <v>0</v>
      </c>
      <c r="Z59" s="328">
        <v>0</v>
      </c>
      <c r="AA59" s="328">
        <v>0</v>
      </c>
      <c r="AB59" s="328">
        <v>1</v>
      </c>
      <c r="AC59" s="328"/>
      <c r="AD59" s="23">
        <f t="shared" si="74"/>
        <v>1</v>
      </c>
      <c r="AF59" s="328">
        <v>0</v>
      </c>
      <c r="AG59" s="328">
        <v>0</v>
      </c>
      <c r="AH59" s="328">
        <v>0</v>
      </c>
      <c r="AI59" s="328"/>
      <c r="AJ59" s="23">
        <f t="shared" si="75"/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f t="shared" si="76"/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f t="shared" si="77"/>
        <v>0</v>
      </c>
      <c r="AX59" s="23">
        <f t="shared" si="78"/>
        <v>0</v>
      </c>
      <c r="AY59" s="23">
        <f t="shared" si="80"/>
        <v>0</v>
      </c>
      <c r="AZ59" s="23">
        <f t="shared" si="81"/>
        <v>2</v>
      </c>
      <c r="BA59" s="23">
        <f t="shared" si="82"/>
        <v>0</v>
      </c>
      <c r="BB59" s="23">
        <f t="shared" si="79"/>
        <v>2</v>
      </c>
    </row>
    <row r="60" spans="1:54" x14ac:dyDescent="0.25">
      <c r="A60" s="34" t="s">
        <v>59</v>
      </c>
      <c r="B60" s="23">
        <v>0</v>
      </c>
      <c r="C60" s="23">
        <v>0.5</v>
      </c>
      <c r="D60" s="23">
        <v>0</v>
      </c>
      <c r="E60" s="23">
        <v>0</v>
      </c>
      <c r="F60" s="23">
        <f t="shared" si="70"/>
        <v>0.5</v>
      </c>
      <c r="H60" s="328">
        <v>0</v>
      </c>
      <c r="I60" s="328">
        <v>1</v>
      </c>
      <c r="J60" s="328"/>
      <c r="K60" s="328"/>
      <c r="L60" s="23">
        <f t="shared" si="71"/>
        <v>1</v>
      </c>
      <c r="N60" s="328">
        <v>0</v>
      </c>
      <c r="O60" s="328">
        <v>0.5</v>
      </c>
      <c r="P60" s="328"/>
      <c r="Q60" s="328"/>
      <c r="R60" s="23">
        <f t="shared" si="72"/>
        <v>0.5</v>
      </c>
      <c r="T60" s="328">
        <v>0</v>
      </c>
      <c r="U60" s="328">
        <v>1.5</v>
      </c>
      <c r="V60" s="328"/>
      <c r="W60" s="328"/>
      <c r="X60" s="23">
        <f t="shared" si="73"/>
        <v>1.5</v>
      </c>
      <c r="Z60" s="328">
        <v>0</v>
      </c>
      <c r="AA60" s="328">
        <v>1.5</v>
      </c>
      <c r="AB60" s="328"/>
      <c r="AC60" s="328"/>
      <c r="AD60" s="23">
        <f t="shared" si="74"/>
        <v>1.5</v>
      </c>
      <c r="AF60" s="328">
        <v>0</v>
      </c>
      <c r="AG60" s="328">
        <v>0</v>
      </c>
      <c r="AH60" s="328"/>
      <c r="AI60" s="328"/>
      <c r="AJ60" s="23">
        <f t="shared" si="75"/>
        <v>0</v>
      </c>
      <c r="AL60" s="23">
        <v>0</v>
      </c>
      <c r="AM60" s="23">
        <v>0.5</v>
      </c>
      <c r="AN60" s="23">
        <v>0</v>
      </c>
      <c r="AO60" s="23">
        <v>0</v>
      </c>
      <c r="AP60" s="23">
        <f t="shared" si="76"/>
        <v>0.5</v>
      </c>
      <c r="AR60" s="23">
        <v>0</v>
      </c>
      <c r="AS60" s="23">
        <v>0</v>
      </c>
      <c r="AT60" s="23">
        <v>0</v>
      </c>
      <c r="AU60" s="23">
        <v>0</v>
      </c>
      <c r="AV60" s="23">
        <f t="shared" si="77"/>
        <v>0</v>
      </c>
      <c r="AX60" s="23">
        <f t="shared" si="78"/>
        <v>0</v>
      </c>
      <c r="AY60" s="23">
        <f t="shared" si="80"/>
        <v>5.5</v>
      </c>
      <c r="AZ60" s="23">
        <f t="shared" si="81"/>
        <v>0</v>
      </c>
      <c r="BA60" s="23">
        <f t="shared" si="82"/>
        <v>0</v>
      </c>
      <c r="BB60" s="23">
        <f t="shared" si="79"/>
        <v>5.5</v>
      </c>
    </row>
    <row r="61" spans="1:54" x14ac:dyDescent="0.25">
      <c r="A61" s="35" t="s">
        <v>245</v>
      </c>
      <c r="B61" s="23">
        <v>0</v>
      </c>
      <c r="C61" s="23">
        <v>0</v>
      </c>
      <c r="D61" s="23">
        <v>0</v>
      </c>
      <c r="E61" s="23">
        <v>0</v>
      </c>
      <c r="F61" s="23">
        <f t="shared" si="70"/>
        <v>0</v>
      </c>
      <c r="H61" s="23">
        <v>0</v>
      </c>
      <c r="I61" s="23">
        <v>0</v>
      </c>
      <c r="J61" s="23">
        <v>0</v>
      </c>
      <c r="K61" s="23">
        <v>0</v>
      </c>
      <c r="L61" s="23">
        <f t="shared" si="71"/>
        <v>0</v>
      </c>
      <c r="N61" s="23">
        <v>0</v>
      </c>
      <c r="O61" s="23">
        <v>0</v>
      </c>
      <c r="P61" s="23">
        <v>0</v>
      </c>
      <c r="Q61" s="23">
        <v>0</v>
      </c>
      <c r="R61" s="23">
        <f t="shared" si="72"/>
        <v>0</v>
      </c>
      <c r="T61" s="328">
        <v>0</v>
      </c>
      <c r="U61" s="328">
        <v>0</v>
      </c>
      <c r="V61" s="328"/>
      <c r="W61" s="328"/>
      <c r="X61" s="23">
        <f t="shared" si="73"/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f t="shared" si="74"/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f t="shared" si="75"/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f t="shared" si="76"/>
        <v>0</v>
      </c>
      <c r="AR61" s="23">
        <v>1</v>
      </c>
      <c r="AS61" s="23">
        <v>0</v>
      </c>
      <c r="AT61" s="23">
        <v>0</v>
      </c>
      <c r="AU61" s="23">
        <v>0</v>
      </c>
      <c r="AV61" s="23">
        <f t="shared" si="77"/>
        <v>1</v>
      </c>
      <c r="AX61" s="23">
        <f t="shared" si="78"/>
        <v>1</v>
      </c>
      <c r="AY61" s="23">
        <f t="shared" si="80"/>
        <v>0</v>
      </c>
      <c r="AZ61" s="23">
        <f t="shared" si="81"/>
        <v>0</v>
      </c>
      <c r="BA61" s="23">
        <f t="shared" si="82"/>
        <v>0</v>
      </c>
      <c r="BB61" s="23">
        <f t="shared" si="79"/>
        <v>1</v>
      </c>
    </row>
    <row r="62" spans="1:54" x14ac:dyDescent="0.25">
      <c r="A62" s="29" t="s">
        <v>60</v>
      </c>
      <c r="B62" s="30">
        <f>SUM(B42:B61)</f>
        <v>9</v>
      </c>
      <c r="C62" s="30">
        <f t="shared" ref="C62:F62" si="83">SUM(C42:C61)</f>
        <v>3</v>
      </c>
      <c r="D62" s="30">
        <f t="shared" si="83"/>
        <v>5</v>
      </c>
      <c r="E62" s="30">
        <f t="shared" si="83"/>
        <v>1</v>
      </c>
      <c r="F62" s="30">
        <f t="shared" si="83"/>
        <v>18</v>
      </c>
      <c r="H62" s="30">
        <f>SUM(H42:H61)</f>
        <v>24</v>
      </c>
      <c r="I62" s="30">
        <f t="shared" ref="I62:L62" si="84">SUM(I42:I61)</f>
        <v>6</v>
      </c>
      <c r="J62" s="30">
        <f t="shared" si="84"/>
        <v>16</v>
      </c>
      <c r="K62" s="30">
        <f t="shared" si="84"/>
        <v>3</v>
      </c>
      <c r="L62" s="30">
        <f t="shared" si="84"/>
        <v>49</v>
      </c>
      <c r="N62" s="30">
        <f>SUM(N42:N61)</f>
        <v>11</v>
      </c>
      <c r="O62" s="30">
        <f t="shared" ref="O62:R62" si="85">SUM(O42:O61)</f>
        <v>5</v>
      </c>
      <c r="P62" s="30">
        <f t="shared" si="85"/>
        <v>4.33</v>
      </c>
      <c r="Q62" s="30">
        <f t="shared" si="85"/>
        <v>1</v>
      </c>
      <c r="R62" s="30">
        <f t="shared" si="85"/>
        <v>21.33</v>
      </c>
      <c r="T62" s="30">
        <f>SUM(T42:T61)</f>
        <v>13.5</v>
      </c>
      <c r="U62" s="30">
        <f t="shared" ref="U62:X62" si="86">SUM(U42:U61)</f>
        <v>5.5</v>
      </c>
      <c r="V62" s="30">
        <f t="shared" si="86"/>
        <v>8.34</v>
      </c>
      <c r="W62" s="30">
        <f t="shared" si="86"/>
        <v>1</v>
      </c>
      <c r="X62" s="30">
        <f t="shared" si="86"/>
        <v>28.34</v>
      </c>
      <c r="Z62" s="30">
        <f>SUM(Z42:Z61)</f>
        <v>19.5</v>
      </c>
      <c r="AA62" s="30">
        <f t="shared" ref="AA62:AD62" si="87">SUM(AA42:AA61)</f>
        <v>3.5</v>
      </c>
      <c r="AB62" s="30">
        <f t="shared" si="87"/>
        <v>12.83</v>
      </c>
      <c r="AC62" s="30">
        <f t="shared" si="87"/>
        <v>2</v>
      </c>
      <c r="AD62" s="30">
        <f t="shared" si="87"/>
        <v>37.83</v>
      </c>
      <c r="AF62" s="30">
        <f>SUM(AF42:AF61)</f>
        <v>5</v>
      </c>
      <c r="AG62" s="30">
        <f t="shared" ref="AG62:AJ62" si="88">SUM(AG42:AG61)</f>
        <v>1</v>
      </c>
      <c r="AH62" s="30">
        <f t="shared" si="88"/>
        <v>1</v>
      </c>
      <c r="AI62" s="30">
        <f t="shared" si="88"/>
        <v>1</v>
      </c>
      <c r="AJ62" s="30">
        <f t="shared" si="88"/>
        <v>8</v>
      </c>
      <c r="AL62" s="30">
        <f>SUM(AL42:AL61)</f>
        <v>3</v>
      </c>
      <c r="AM62" s="30">
        <f t="shared" ref="AM62:AP62" si="89">SUM(AM42:AM61)</f>
        <v>0.5</v>
      </c>
      <c r="AN62" s="30">
        <f t="shared" si="89"/>
        <v>0</v>
      </c>
      <c r="AO62" s="30">
        <f t="shared" si="89"/>
        <v>0</v>
      </c>
      <c r="AP62" s="30">
        <f t="shared" si="89"/>
        <v>3.5</v>
      </c>
      <c r="AR62" s="30">
        <f>SUM(AR42:AR61)</f>
        <v>1</v>
      </c>
      <c r="AS62" s="30">
        <f t="shared" ref="AS62:AV62" si="90">SUM(AS42:AS61)</f>
        <v>0</v>
      </c>
      <c r="AT62" s="30">
        <f t="shared" si="90"/>
        <v>1</v>
      </c>
      <c r="AU62" s="30">
        <f t="shared" si="90"/>
        <v>0</v>
      </c>
      <c r="AV62" s="30">
        <f t="shared" si="90"/>
        <v>2</v>
      </c>
      <c r="AX62" s="30">
        <f>SUM(AX42:AX61)</f>
        <v>86</v>
      </c>
      <c r="AY62" s="30">
        <f t="shared" ref="AY62:BB62" si="91">SUM(AY42:AY61)</f>
        <v>24.5</v>
      </c>
      <c r="AZ62" s="30">
        <f t="shared" si="91"/>
        <v>48.5</v>
      </c>
      <c r="BA62" s="30">
        <f t="shared" si="91"/>
        <v>9</v>
      </c>
      <c r="BB62" s="30">
        <f t="shared" si="91"/>
        <v>168</v>
      </c>
    </row>
    <row r="63" spans="1:54" ht="15.75" thickBot="1" x14ac:dyDescent="0.3">
      <c r="A63" s="36"/>
      <c r="B63" s="38"/>
      <c r="C63" s="38"/>
      <c r="D63" s="38"/>
      <c r="E63" s="38"/>
      <c r="F63" s="38"/>
      <c r="H63" s="38"/>
      <c r="I63" s="38"/>
      <c r="J63" s="38"/>
      <c r="K63" s="38"/>
      <c r="L63" s="38"/>
      <c r="N63" s="38"/>
      <c r="O63" s="38"/>
      <c r="P63" s="38"/>
      <c r="Q63" s="38"/>
      <c r="R63" s="38"/>
      <c r="T63" s="38"/>
      <c r="U63" s="38"/>
      <c r="V63" s="38"/>
      <c r="W63" s="38"/>
      <c r="X63" s="38"/>
      <c r="Z63" s="38"/>
      <c r="AA63" s="38"/>
      <c r="AB63" s="38"/>
      <c r="AC63" s="38"/>
      <c r="AD63" s="38"/>
      <c r="AF63" s="38"/>
      <c r="AG63" s="38"/>
      <c r="AH63" s="38"/>
      <c r="AI63" s="38"/>
      <c r="AJ63" s="38"/>
      <c r="AL63" s="38"/>
      <c r="AM63" s="38"/>
      <c r="AN63" s="38"/>
      <c r="AO63" s="38"/>
      <c r="AP63" s="38"/>
      <c r="AR63" s="38"/>
      <c r="AS63" s="38"/>
      <c r="AT63" s="38"/>
      <c r="AU63" s="38"/>
      <c r="AV63" s="38"/>
      <c r="AX63" s="38"/>
      <c r="AY63" s="38"/>
      <c r="AZ63" s="38"/>
      <c r="BA63" s="38"/>
      <c r="BB63" s="38"/>
    </row>
    <row r="64" spans="1:54" x14ac:dyDescent="0.25">
      <c r="A64" s="40" t="s">
        <v>61</v>
      </c>
      <c r="B64" s="39">
        <f>B39</f>
        <v>41.5</v>
      </c>
      <c r="C64" s="39">
        <f>C39</f>
        <v>0</v>
      </c>
      <c r="D64" s="39">
        <f>D39</f>
        <v>4</v>
      </c>
      <c r="E64" s="39">
        <f t="shared" ref="E64" si="92">E39</f>
        <v>0</v>
      </c>
      <c r="F64" s="39">
        <f>F39</f>
        <v>45.5</v>
      </c>
      <c r="H64" s="39">
        <f>H39</f>
        <v>97</v>
      </c>
      <c r="I64" s="39">
        <f>I39</f>
        <v>0</v>
      </c>
      <c r="J64" s="39">
        <f>J39</f>
        <v>13</v>
      </c>
      <c r="K64" s="39">
        <f t="shared" ref="K64" si="93">K39</f>
        <v>0</v>
      </c>
      <c r="L64" s="39">
        <f>L39</f>
        <v>110</v>
      </c>
      <c r="N64" s="39">
        <f>N39</f>
        <v>43</v>
      </c>
      <c r="O64" s="39">
        <f>O39</f>
        <v>0</v>
      </c>
      <c r="P64" s="39">
        <f>P39</f>
        <v>4</v>
      </c>
      <c r="Q64" s="39">
        <f t="shared" ref="Q64" si="94">Q39</f>
        <v>0</v>
      </c>
      <c r="R64" s="39">
        <f>R39</f>
        <v>47</v>
      </c>
      <c r="T64" s="39">
        <f>T39</f>
        <v>53</v>
      </c>
      <c r="U64" s="39">
        <f>U39</f>
        <v>0</v>
      </c>
      <c r="V64" s="39">
        <f>V39</f>
        <v>5</v>
      </c>
      <c r="W64" s="39">
        <f t="shared" ref="W64" si="95">W39</f>
        <v>0</v>
      </c>
      <c r="X64" s="39">
        <f>X39</f>
        <v>58</v>
      </c>
      <c r="Z64" s="39">
        <f>Z39</f>
        <v>91.5</v>
      </c>
      <c r="AA64" s="39">
        <f>AA39</f>
        <v>0</v>
      </c>
      <c r="AB64" s="39">
        <f>AB39</f>
        <v>10</v>
      </c>
      <c r="AC64" s="39">
        <f t="shared" ref="AC64" si="96">AC39</f>
        <v>0</v>
      </c>
      <c r="AD64" s="39">
        <f>AD39</f>
        <v>101.5</v>
      </c>
      <c r="AF64" s="39">
        <f>AF39</f>
        <v>28</v>
      </c>
      <c r="AG64" s="39">
        <f>AG39</f>
        <v>0</v>
      </c>
      <c r="AH64" s="39">
        <f>AH39</f>
        <v>3</v>
      </c>
      <c r="AI64" s="39">
        <f t="shared" ref="AI64" si="97">AI39</f>
        <v>0</v>
      </c>
      <c r="AJ64" s="39">
        <f>AJ39</f>
        <v>31</v>
      </c>
      <c r="AL64" s="39">
        <f>AL39</f>
        <v>0</v>
      </c>
      <c r="AM64" s="39">
        <f>AM39</f>
        <v>0</v>
      </c>
      <c r="AN64" s="39">
        <f>AN39</f>
        <v>0</v>
      </c>
      <c r="AO64" s="39">
        <f t="shared" ref="AO64" si="98">AO39</f>
        <v>0</v>
      </c>
      <c r="AP64" s="39">
        <f>AP39</f>
        <v>0</v>
      </c>
      <c r="AR64" s="39">
        <f>AR39</f>
        <v>0</v>
      </c>
      <c r="AS64" s="39">
        <f>AS39</f>
        <v>0</v>
      </c>
      <c r="AT64" s="39">
        <f>AT39</f>
        <v>0</v>
      </c>
      <c r="AU64" s="39">
        <f t="shared" ref="AU64" si="99">AU39</f>
        <v>0</v>
      </c>
      <c r="AV64" s="39">
        <f>AV39</f>
        <v>0</v>
      </c>
      <c r="AX64" s="39">
        <f>AX39</f>
        <v>354</v>
      </c>
      <c r="AY64" s="39">
        <f>AY39</f>
        <v>0</v>
      </c>
      <c r="AZ64" s="39">
        <f>AZ39</f>
        <v>39</v>
      </c>
      <c r="BA64" s="39">
        <f t="shared" ref="BA64" si="100">BA39</f>
        <v>0</v>
      </c>
      <c r="BB64" s="39">
        <f>BB39</f>
        <v>393</v>
      </c>
    </row>
    <row r="65" spans="1:54" ht="15.75" thickBot="1" x14ac:dyDescent="0.3">
      <c r="A65" s="42" t="s">
        <v>62</v>
      </c>
      <c r="B65" s="41">
        <f>B62</f>
        <v>9</v>
      </c>
      <c r="C65" s="41">
        <f>C62</f>
        <v>3</v>
      </c>
      <c r="D65" s="41">
        <f>D62</f>
        <v>5</v>
      </c>
      <c r="E65" s="41">
        <f t="shared" ref="E65:F65" si="101">E62</f>
        <v>1</v>
      </c>
      <c r="F65" s="41">
        <f t="shared" si="101"/>
        <v>18</v>
      </c>
      <c r="H65" s="41">
        <f>H62</f>
        <v>24</v>
      </c>
      <c r="I65" s="41">
        <f>I62</f>
        <v>6</v>
      </c>
      <c r="J65" s="41">
        <f>J62</f>
        <v>16</v>
      </c>
      <c r="K65" s="41">
        <f t="shared" ref="K65:L65" si="102">K62</f>
        <v>3</v>
      </c>
      <c r="L65" s="41">
        <f t="shared" si="102"/>
        <v>49</v>
      </c>
      <c r="N65" s="41">
        <f>N62</f>
        <v>11</v>
      </c>
      <c r="O65" s="41">
        <f>O62</f>
        <v>5</v>
      </c>
      <c r="P65" s="41">
        <f>P62</f>
        <v>4.33</v>
      </c>
      <c r="Q65" s="41">
        <f t="shared" ref="Q65:R65" si="103">Q62</f>
        <v>1</v>
      </c>
      <c r="R65" s="41">
        <f t="shared" si="103"/>
        <v>21.33</v>
      </c>
      <c r="T65" s="41">
        <f>T62</f>
        <v>13.5</v>
      </c>
      <c r="U65" s="41">
        <f>U62</f>
        <v>5.5</v>
      </c>
      <c r="V65" s="41">
        <f>V62</f>
        <v>8.34</v>
      </c>
      <c r="W65" s="41">
        <f t="shared" ref="W65:X65" si="104">W62</f>
        <v>1</v>
      </c>
      <c r="X65" s="41">
        <f t="shared" si="104"/>
        <v>28.34</v>
      </c>
      <c r="Z65" s="41">
        <f>Z62</f>
        <v>19.5</v>
      </c>
      <c r="AA65" s="41">
        <f>AA62</f>
        <v>3.5</v>
      </c>
      <c r="AB65" s="41">
        <f>AB62</f>
        <v>12.83</v>
      </c>
      <c r="AC65" s="41">
        <f t="shared" ref="AC65:AD65" si="105">AC62</f>
        <v>2</v>
      </c>
      <c r="AD65" s="41">
        <f t="shared" si="105"/>
        <v>37.83</v>
      </c>
      <c r="AF65" s="41">
        <f>AF62</f>
        <v>5</v>
      </c>
      <c r="AG65" s="41">
        <f>AG62</f>
        <v>1</v>
      </c>
      <c r="AH65" s="41">
        <f>AH62</f>
        <v>1</v>
      </c>
      <c r="AI65" s="41">
        <f t="shared" ref="AI65:AJ65" si="106">AI62</f>
        <v>1</v>
      </c>
      <c r="AJ65" s="41">
        <f t="shared" si="106"/>
        <v>8</v>
      </c>
      <c r="AL65" s="41">
        <f>AL62</f>
        <v>3</v>
      </c>
      <c r="AM65" s="41">
        <f>AM62</f>
        <v>0.5</v>
      </c>
      <c r="AN65" s="41">
        <f>AN62</f>
        <v>0</v>
      </c>
      <c r="AO65" s="41">
        <f t="shared" ref="AO65:AP65" si="107">AO62</f>
        <v>0</v>
      </c>
      <c r="AP65" s="41">
        <f t="shared" si="107"/>
        <v>3.5</v>
      </c>
      <c r="AR65" s="41">
        <f>AR62</f>
        <v>1</v>
      </c>
      <c r="AS65" s="41">
        <f>AS62</f>
        <v>0</v>
      </c>
      <c r="AT65" s="41">
        <f>AT62</f>
        <v>1</v>
      </c>
      <c r="AU65" s="41">
        <f t="shared" ref="AU65:AV65" si="108">AU62</f>
        <v>0</v>
      </c>
      <c r="AV65" s="41">
        <f t="shared" si="108"/>
        <v>2</v>
      </c>
      <c r="AX65" s="41">
        <f>AX62</f>
        <v>86</v>
      </c>
      <c r="AY65" s="41">
        <f>AY62</f>
        <v>24.5</v>
      </c>
      <c r="AZ65" s="41">
        <f>AZ62</f>
        <v>48.5</v>
      </c>
      <c r="BA65" s="41">
        <f t="shared" ref="BA65:BB65" si="109">BA62</f>
        <v>9</v>
      </c>
      <c r="BB65" s="41">
        <f t="shared" si="109"/>
        <v>168</v>
      </c>
    </row>
    <row r="66" spans="1:54" ht="15.75" thickBot="1" x14ac:dyDescent="0.3">
      <c r="A66" s="44" t="s">
        <v>63</v>
      </c>
      <c r="B66" s="43">
        <f>SUM(B64:B65)</f>
        <v>50.5</v>
      </c>
      <c r="C66" s="43">
        <f>SUM(C64:C65)</f>
        <v>3</v>
      </c>
      <c r="D66" s="43">
        <f>SUM(D64:D65)</f>
        <v>9</v>
      </c>
      <c r="E66" s="43">
        <f t="shared" ref="E66:F66" si="110">SUM(E64:E65)</f>
        <v>1</v>
      </c>
      <c r="F66" s="43">
        <f t="shared" si="110"/>
        <v>63.5</v>
      </c>
      <c r="H66" s="43">
        <f>SUM(H64:H65)</f>
        <v>121</v>
      </c>
      <c r="I66" s="43">
        <f>SUM(I64:I65)</f>
        <v>6</v>
      </c>
      <c r="J66" s="43">
        <f>SUM(J64:J65)</f>
        <v>29</v>
      </c>
      <c r="K66" s="43">
        <f t="shared" ref="K66:L66" si="111">SUM(K64:K65)</f>
        <v>3</v>
      </c>
      <c r="L66" s="43">
        <f t="shared" si="111"/>
        <v>159</v>
      </c>
      <c r="N66" s="43">
        <f>SUM(N64:N65)</f>
        <v>54</v>
      </c>
      <c r="O66" s="43">
        <f>SUM(O64:O65)</f>
        <v>5</v>
      </c>
      <c r="P66" s="43">
        <f>SUM(P64:P65)</f>
        <v>8.33</v>
      </c>
      <c r="Q66" s="43">
        <f t="shared" ref="Q66:R66" si="112">SUM(Q64:Q65)</f>
        <v>1</v>
      </c>
      <c r="R66" s="43">
        <f t="shared" si="112"/>
        <v>68.33</v>
      </c>
      <c r="T66" s="43">
        <f>SUM(T64:T65)</f>
        <v>66.5</v>
      </c>
      <c r="U66" s="43">
        <f>SUM(U64:U65)</f>
        <v>5.5</v>
      </c>
      <c r="V66" s="43">
        <f>SUM(V64:V65)</f>
        <v>13.34</v>
      </c>
      <c r="W66" s="43">
        <f t="shared" ref="W66:X66" si="113">SUM(W64:W65)</f>
        <v>1</v>
      </c>
      <c r="X66" s="43">
        <f t="shared" si="113"/>
        <v>86.34</v>
      </c>
      <c r="Z66" s="43">
        <f>SUM(Z64:Z65)</f>
        <v>111</v>
      </c>
      <c r="AA66" s="43">
        <f>SUM(AA64:AA65)</f>
        <v>3.5</v>
      </c>
      <c r="AB66" s="43">
        <f>SUM(AB64:AB65)</f>
        <v>22.83</v>
      </c>
      <c r="AC66" s="43">
        <f t="shared" ref="AC66:AD66" si="114">SUM(AC64:AC65)</f>
        <v>2</v>
      </c>
      <c r="AD66" s="43">
        <f t="shared" si="114"/>
        <v>139.32999999999998</v>
      </c>
      <c r="AF66" s="43">
        <f>SUM(AF64:AF65)</f>
        <v>33</v>
      </c>
      <c r="AG66" s="43">
        <f>SUM(AG64:AG65)</f>
        <v>1</v>
      </c>
      <c r="AH66" s="43">
        <f>SUM(AH64:AH65)</f>
        <v>4</v>
      </c>
      <c r="AI66" s="43">
        <f t="shared" ref="AI66:AJ66" si="115">SUM(AI64:AI65)</f>
        <v>1</v>
      </c>
      <c r="AJ66" s="43">
        <f t="shared" si="115"/>
        <v>39</v>
      </c>
      <c r="AL66" s="43">
        <f>SUM(AL64:AL65)</f>
        <v>3</v>
      </c>
      <c r="AM66" s="43">
        <f>SUM(AM64:AM65)</f>
        <v>0.5</v>
      </c>
      <c r="AN66" s="43">
        <f>SUM(AN64:AN65)</f>
        <v>0</v>
      </c>
      <c r="AO66" s="43">
        <f t="shared" ref="AO66:AP66" si="116">SUM(AO64:AO65)</f>
        <v>0</v>
      </c>
      <c r="AP66" s="43">
        <f t="shared" si="116"/>
        <v>3.5</v>
      </c>
      <c r="AR66" s="43">
        <f>SUM(AR64:AR65)</f>
        <v>1</v>
      </c>
      <c r="AS66" s="43">
        <f>SUM(AS64:AS65)</f>
        <v>0</v>
      </c>
      <c r="AT66" s="43">
        <f>SUM(AT64:AT65)</f>
        <v>1</v>
      </c>
      <c r="AU66" s="43">
        <f t="shared" ref="AU66:AV66" si="117">SUM(AU64:AU65)</f>
        <v>0</v>
      </c>
      <c r="AV66" s="43">
        <f t="shared" si="117"/>
        <v>2</v>
      </c>
      <c r="AX66" s="43">
        <f>SUM(AX64:AX65)</f>
        <v>440</v>
      </c>
      <c r="AY66" s="43">
        <f>SUM(AY64:AY65)</f>
        <v>24.5</v>
      </c>
      <c r="AZ66" s="43">
        <f>SUM(AZ64:AZ65)</f>
        <v>87.5</v>
      </c>
      <c r="BA66" s="43">
        <f t="shared" ref="BA66:BB66" si="118">SUM(BA64:BA65)</f>
        <v>9</v>
      </c>
      <c r="BB66" s="43">
        <f t="shared" si="118"/>
        <v>561</v>
      </c>
    </row>
    <row r="67" spans="1:54" ht="15.75" thickBot="1" x14ac:dyDescent="0.3">
      <c r="A67" s="34"/>
      <c r="B67" s="45"/>
      <c r="C67" s="45"/>
      <c r="D67" s="45"/>
      <c r="E67" s="45"/>
      <c r="F67" s="45"/>
      <c r="H67" s="45"/>
      <c r="I67" s="45"/>
      <c r="J67" s="45"/>
      <c r="K67" s="45"/>
      <c r="L67" s="45"/>
      <c r="N67" s="45"/>
      <c r="O67" s="45"/>
      <c r="P67" s="45"/>
      <c r="Q67" s="45"/>
      <c r="R67" s="45"/>
      <c r="T67" s="45"/>
      <c r="U67" s="45"/>
      <c r="V67" s="45"/>
      <c r="W67" s="45"/>
      <c r="X67" s="45"/>
      <c r="Z67" s="45"/>
      <c r="AA67" s="45"/>
      <c r="AB67" s="45"/>
      <c r="AC67" s="45"/>
      <c r="AD67" s="45"/>
      <c r="AF67" s="45"/>
      <c r="AG67" s="45"/>
      <c r="AH67" s="45"/>
      <c r="AI67" s="45"/>
      <c r="AJ67" s="45"/>
      <c r="AL67" s="45"/>
      <c r="AM67" s="45"/>
      <c r="AN67" s="45"/>
      <c r="AO67" s="45"/>
      <c r="AP67" s="45"/>
      <c r="AR67" s="45"/>
      <c r="AS67" s="45"/>
      <c r="AT67" s="45"/>
      <c r="AU67" s="45"/>
      <c r="AV67" s="45"/>
      <c r="AX67" s="45"/>
      <c r="AY67" s="45"/>
      <c r="AZ67" s="45"/>
      <c r="BA67" s="45"/>
      <c r="BB67" s="45"/>
    </row>
    <row r="68" spans="1:54" x14ac:dyDescent="0.25">
      <c r="A68" s="47" t="s">
        <v>64</v>
      </c>
      <c r="B68" s="46"/>
      <c r="C68" s="46"/>
      <c r="D68" s="46"/>
      <c r="E68" s="46"/>
      <c r="F68" s="46">
        <f>F139/(SUM(F207:F217))</f>
        <v>0.63090080898043677</v>
      </c>
      <c r="H68" s="46"/>
      <c r="I68" s="46"/>
      <c r="J68" s="46"/>
      <c r="K68" s="46"/>
      <c r="L68" s="46">
        <f>L139/(SUM(L207:L217))</f>
        <v>0.61241856126095762</v>
      </c>
      <c r="N68" s="46"/>
      <c r="O68" s="46"/>
      <c r="P68" s="46"/>
      <c r="Q68" s="46"/>
      <c r="R68" s="46">
        <f>R139/(SUM(R207:R217))</f>
        <v>0.64844948735420826</v>
      </c>
      <c r="T68" s="46"/>
      <c r="U68" s="46"/>
      <c r="V68" s="46"/>
      <c r="W68" s="46"/>
      <c r="X68" s="46">
        <f>X139/(SUM(X207:X217))</f>
        <v>0.66514884567411947</v>
      </c>
      <c r="Z68" s="46"/>
      <c r="AA68" s="46"/>
      <c r="AB68" s="46"/>
      <c r="AC68" s="46"/>
      <c r="AD68" s="46">
        <f>AD139/(SUM(AD207:AD217))</f>
        <v>0.59140929987840596</v>
      </c>
      <c r="AF68" s="46"/>
      <c r="AG68" s="46"/>
      <c r="AH68" s="46"/>
      <c r="AI68" s="46"/>
      <c r="AJ68" s="46">
        <f>AJ139/(SUM(AJ207:AJ217))</f>
        <v>0.56453991351677724</v>
      </c>
      <c r="AL68" s="46"/>
      <c r="AM68" s="46"/>
      <c r="AN68" s="46"/>
      <c r="AO68" s="46"/>
      <c r="AP68" s="46">
        <f>AP139/(SUM(AP207:AP217))</f>
        <v>0.98559070220742473</v>
      </c>
      <c r="AR68" s="46"/>
      <c r="AS68" s="46"/>
      <c r="AT68" s="46"/>
      <c r="AU68" s="46"/>
      <c r="AV68" s="46">
        <f>AV139/(SUM(AV207:AV217))</f>
        <v>0.31004052143884586</v>
      </c>
      <c r="AX68" s="46"/>
      <c r="AY68" s="46"/>
      <c r="AZ68" s="46"/>
      <c r="BA68" s="46"/>
      <c r="BB68" s="46">
        <f>BB139/(SUM(BB207:BB217))</f>
        <v>0.61311104619087475</v>
      </c>
    </row>
    <row r="69" spans="1:54" x14ac:dyDescent="0.25">
      <c r="A69" s="49" t="s">
        <v>65</v>
      </c>
      <c r="B69" s="48"/>
      <c r="C69" s="48"/>
      <c r="D69" s="48"/>
      <c r="E69" s="48"/>
      <c r="F69" s="48">
        <f t="shared" ref="F69" si="119">(F108+F109+F110+F113)/F129</f>
        <v>0.75175012415704778</v>
      </c>
      <c r="H69" s="48"/>
      <c r="I69" s="48"/>
      <c r="J69" s="48"/>
      <c r="K69" s="48"/>
      <c r="L69" s="48">
        <f t="shared" ref="L69" si="120">(L108+L109+L110+L113)/L129</f>
        <v>0.75872412964607461</v>
      </c>
      <c r="N69" s="48"/>
      <c r="O69" s="48"/>
      <c r="P69" s="48"/>
      <c r="Q69" s="48"/>
      <c r="R69" s="48">
        <f t="shared" ref="R69" si="121">(R108+R109+R110+R113)/R129</f>
        <v>0.76018231798495473</v>
      </c>
      <c r="T69" s="48"/>
      <c r="U69" s="48"/>
      <c r="V69" s="48"/>
      <c r="W69" s="48"/>
      <c r="X69" s="48">
        <f t="shared" ref="X69" si="122">(X108+X109+X110+X113)/X129</f>
        <v>0.77078032689168652</v>
      </c>
      <c r="Z69" s="48"/>
      <c r="AA69" s="48"/>
      <c r="AB69" s="48"/>
      <c r="AC69" s="48"/>
      <c r="AD69" s="48">
        <f t="shared" ref="AD69" si="123">(AD108+AD109+AD110+AD113)/AD129</f>
        <v>0.79214172424307161</v>
      </c>
      <c r="AF69" s="48"/>
      <c r="AG69" s="48"/>
      <c r="AH69" s="48"/>
      <c r="AI69" s="48"/>
      <c r="AJ69" s="48">
        <f t="shared" ref="AJ69" si="124">(AJ108+AJ109+AJ110+AJ113)/AJ129</f>
        <v>0.79798243234784783</v>
      </c>
      <c r="AL69" s="48"/>
      <c r="AM69" s="48"/>
      <c r="AN69" s="48"/>
      <c r="AO69" s="48"/>
      <c r="AP69" s="48">
        <f t="shared" ref="AP69" si="125">(AP108+AP109+AP110+AP113)/AP129</f>
        <v>0</v>
      </c>
      <c r="AR69" s="48"/>
      <c r="AS69" s="48"/>
      <c r="AT69" s="48"/>
      <c r="AU69" s="48"/>
      <c r="AV69" s="48">
        <f t="shared" ref="AV69" si="126">(AV108+AV109+AV110+AV113)/AV129</f>
        <v>0.53144575294412433</v>
      </c>
      <c r="AX69" s="48"/>
      <c r="AY69" s="48"/>
      <c r="AZ69" s="48"/>
      <c r="BA69" s="48"/>
      <c r="BB69" s="48">
        <f t="shared" ref="BB69" si="127">(BB108+BB109+BB110+BB113)/BB129</f>
        <v>0.76388654769186848</v>
      </c>
    </row>
    <row r="70" spans="1:54" x14ac:dyDescent="0.25">
      <c r="A70" s="51" t="s">
        <v>66</v>
      </c>
      <c r="B70" s="48"/>
      <c r="C70" s="48"/>
      <c r="D70" s="48"/>
      <c r="E70" s="48"/>
      <c r="F70" s="48">
        <f t="shared" ref="F70" si="128">(F103+F104+F106+F107+F111+F112+F114+F115+F118+F119+F120+F121+F122+F105+F123+F124+F125+F126+F127)/F129</f>
        <v>0.24824987584295219</v>
      </c>
      <c r="H70" s="48"/>
      <c r="I70" s="48"/>
      <c r="J70" s="48"/>
      <c r="K70" s="48"/>
      <c r="L70" s="48">
        <f t="shared" ref="L70" si="129">(L103+L104+L106+L107+L111+L112+L114+L115+L118+L119+L120+L121+L122+L105+L123+L124+L125+L126+L127)/L129</f>
        <v>0.24127587035392517</v>
      </c>
      <c r="N70" s="48"/>
      <c r="O70" s="48"/>
      <c r="P70" s="48"/>
      <c r="Q70" s="48"/>
      <c r="R70" s="48">
        <f t="shared" ref="R70" si="130">(R103+R104+R106+R107+R111+R112+R114+R115+R118+R119+R120+R121+R122+R105+R123+R124+R125+R126+R127)/R129</f>
        <v>0.23981768201504527</v>
      </c>
      <c r="T70" s="48"/>
      <c r="U70" s="48"/>
      <c r="V70" s="48"/>
      <c r="W70" s="48"/>
      <c r="X70" s="48">
        <f t="shared" ref="X70" si="131">(X103+X104+X106+X107+X111+X112+X114+X115+X118+X119+X120+X121+X122+X105+X123+X124+X125+X126+X127)/X129</f>
        <v>0.22921967310831351</v>
      </c>
      <c r="Z70" s="48"/>
      <c r="AA70" s="48"/>
      <c r="AB70" s="48"/>
      <c r="AC70" s="48"/>
      <c r="AD70" s="48">
        <f t="shared" ref="AD70" si="132">(AD103+AD104+AD106+AD107+AD111+AD112+AD114+AD115+AD118+AD119+AD120+AD121+AD122+AD105+AD123+AD124+AD125+AD126+AD127)/AD129</f>
        <v>0.20785827575692825</v>
      </c>
      <c r="AF70" s="48"/>
      <c r="AG70" s="48"/>
      <c r="AH70" s="48"/>
      <c r="AI70" s="48"/>
      <c r="AJ70" s="48">
        <f t="shared" ref="AJ70" si="133">(AJ103+AJ104+AJ106+AJ107+AJ111+AJ112+AJ114+AJ115+AJ118+AJ119+AJ120+AJ121+AJ122+AJ105+AJ123+AJ124+AJ125+AJ126+AJ127)/AJ129</f>
        <v>0.20201756765215215</v>
      </c>
      <c r="AL70" s="48"/>
      <c r="AM70" s="48"/>
      <c r="AN70" s="48"/>
      <c r="AO70" s="48"/>
      <c r="AP70" s="48">
        <f t="shared" ref="AP70" si="134">(AP103+AP104+AP106+AP107+AP111+AP112+AP114+AP115+AP118+AP119+AP120+AP121+AP122+AP105+AP123+AP124+AP125+AP126+AP127)/AP129</f>
        <v>1</v>
      </c>
      <c r="AR70" s="48"/>
      <c r="AS70" s="48"/>
      <c r="AT70" s="48"/>
      <c r="AU70" s="48"/>
      <c r="AV70" s="48">
        <f t="shared" ref="AV70" si="135">(AV103+AV104+AV106+AV107+AV111+AV112+AV114+AV115+AV118+AV119+AV120+AV121+AV122+AV105+AV123+AV124+AV125+AV126+AV127)/AV129</f>
        <v>0.46855424705587573</v>
      </c>
      <c r="AX70" s="48"/>
      <c r="AY70" s="48"/>
      <c r="AZ70" s="48"/>
      <c r="BA70" s="48"/>
      <c r="BB70" s="48">
        <f t="shared" ref="BB70" si="136">(BB103+BB104+BB106+BB107+BB111+BB112+BB114+BB115+BB118+BB119+BB120+BB121+BB122+BB105+BB123+BB124+BB125+BB126+BB127)/BB129</f>
        <v>0.23611345230813144</v>
      </c>
    </row>
    <row r="71" spans="1:54" ht="15.75" thickBot="1" x14ac:dyDescent="0.3">
      <c r="A71" s="53" t="s">
        <v>67</v>
      </c>
      <c r="B71" s="52"/>
      <c r="C71" s="52"/>
      <c r="D71" s="52"/>
      <c r="E71" s="52"/>
      <c r="F71" s="52">
        <f>SUM(F209:F217)/F86</f>
        <v>0.1243336141326906</v>
      </c>
      <c r="H71" s="52"/>
      <c r="I71" s="52"/>
      <c r="J71" s="52"/>
      <c r="K71" s="52"/>
      <c r="L71" s="52">
        <f>SUM(L209:L217)/L86</f>
        <v>0.12688347617962717</v>
      </c>
      <c r="N71" s="52"/>
      <c r="O71" s="52"/>
      <c r="P71" s="52"/>
      <c r="Q71" s="52"/>
      <c r="R71" s="52">
        <f>SUM(R209:R217)/R86</f>
        <v>0.11936730362822666</v>
      </c>
      <c r="T71" s="52"/>
      <c r="U71" s="52"/>
      <c r="V71" s="52"/>
      <c r="W71" s="52"/>
      <c r="X71" s="52">
        <f>SUM(X209:X217)/X86</f>
        <v>0.12080220963679957</v>
      </c>
      <c r="Z71" s="52"/>
      <c r="AA71" s="52"/>
      <c r="AB71" s="52"/>
      <c r="AC71" s="52"/>
      <c r="AD71" s="52">
        <f>SUM(AD209:AD217)/AD86</f>
        <v>0.17557270037302491</v>
      </c>
      <c r="AF71" s="52"/>
      <c r="AG71" s="52"/>
      <c r="AH71" s="52"/>
      <c r="AI71" s="52"/>
      <c r="AJ71" s="52">
        <f>SUM(AJ209:AJ217)/AJ86</f>
        <v>0.19634265449502294</v>
      </c>
      <c r="AL71" s="52"/>
      <c r="AM71" s="52"/>
      <c r="AN71" s="52"/>
      <c r="AO71" s="52"/>
      <c r="AP71" s="52">
        <f>SUM(AP209:AP217)/AP86</f>
        <v>0</v>
      </c>
      <c r="AR71" s="52"/>
      <c r="AS71" s="52"/>
      <c r="AT71" s="52"/>
      <c r="AU71" s="52"/>
      <c r="AV71" s="52">
        <f>SUM(AV209:AV217)/AV86</f>
        <v>0</v>
      </c>
      <c r="AX71" s="52"/>
      <c r="AY71" s="52"/>
      <c r="AZ71" s="52"/>
      <c r="BA71" s="52"/>
      <c r="BB71" s="52">
        <f>SUM(BB209:BB217)/BB86</f>
        <v>0.14011782069444381</v>
      </c>
    </row>
    <row r="72" spans="1:54" x14ac:dyDescent="0.25">
      <c r="A72" s="54"/>
      <c r="B72" s="55"/>
      <c r="C72" s="55"/>
      <c r="D72" s="55"/>
      <c r="E72" s="55"/>
      <c r="F72" s="55"/>
      <c r="H72" s="55"/>
      <c r="I72" s="55"/>
      <c r="J72" s="55"/>
      <c r="K72" s="55"/>
      <c r="L72" s="55"/>
      <c r="N72" s="55"/>
      <c r="O72" s="55"/>
      <c r="P72" s="55"/>
      <c r="Q72" s="55"/>
      <c r="R72" s="55"/>
      <c r="T72" s="55"/>
      <c r="U72" s="55"/>
      <c r="V72" s="55"/>
      <c r="W72" s="55"/>
      <c r="X72" s="55"/>
      <c r="Z72" s="55"/>
      <c r="AA72" s="55"/>
      <c r="AB72" s="55"/>
      <c r="AC72" s="55"/>
      <c r="AD72" s="55"/>
      <c r="AF72" s="55"/>
      <c r="AG72" s="55"/>
      <c r="AH72" s="55"/>
      <c r="AI72" s="55"/>
      <c r="AJ72" s="55"/>
      <c r="AL72" s="55"/>
      <c r="AM72" s="55"/>
      <c r="AN72" s="55"/>
      <c r="AO72" s="55"/>
      <c r="AP72" s="55"/>
      <c r="AR72" s="55"/>
      <c r="AS72" s="55"/>
      <c r="AT72" s="55"/>
      <c r="AU72" s="55"/>
      <c r="AV72" s="55"/>
      <c r="AX72" s="55"/>
      <c r="AY72" s="55"/>
      <c r="AZ72" s="55"/>
      <c r="BA72" s="55"/>
      <c r="BB72" s="55"/>
    </row>
    <row r="73" spans="1:54" x14ac:dyDescent="0.25">
      <c r="A73" s="57" t="s">
        <v>246</v>
      </c>
      <c r="B73" s="58" t="str">
        <f>B1</f>
        <v>Operating</v>
      </c>
      <c r="C73" s="58" t="str">
        <f>C1</f>
        <v>Weights</v>
      </c>
      <c r="D73" s="58" t="s">
        <v>3</v>
      </c>
      <c r="E73" s="58" t="str">
        <f t="shared" ref="E73" si="137">E1</f>
        <v>NSLP</v>
      </c>
      <c r="F73" s="58" t="str">
        <f>F1</f>
        <v>Horizon</v>
      </c>
      <c r="H73" s="58" t="str">
        <f>H1</f>
        <v>Operating</v>
      </c>
      <c r="I73" s="58" t="str">
        <f>I1</f>
        <v>Weights</v>
      </c>
      <c r="J73" s="58" t="s">
        <v>3</v>
      </c>
      <c r="K73" s="58" t="str">
        <f t="shared" ref="K73" si="138">K1</f>
        <v>NSLP</v>
      </c>
      <c r="L73" s="58" t="str">
        <f>L1</f>
        <v>Cadence</v>
      </c>
      <c r="N73" s="58" t="str">
        <f>N1</f>
        <v>Operating</v>
      </c>
      <c r="O73" s="58" t="str">
        <f>O1</f>
        <v>Weights</v>
      </c>
      <c r="P73" s="58" t="s">
        <v>3</v>
      </c>
      <c r="Q73" s="58" t="str">
        <f t="shared" ref="Q73" si="139">Q1</f>
        <v>NSLP</v>
      </c>
      <c r="R73" s="58" t="str">
        <f>R1</f>
        <v>St. Rose</v>
      </c>
      <c r="T73" s="58" t="str">
        <f>T1</f>
        <v>Operating</v>
      </c>
      <c r="U73" s="58" t="str">
        <f>U1</f>
        <v>Weights</v>
      </c>
      <c r="V73" s="58" t="s">
        <v>3</v>
      </c>
      <c r="W73" s="58" t="str">
        <f t="shared" ref="W73" si="140">W1</f>
        <v>NSLP</v>
      </c>
      <c r="X73" s="58" t="str">
        <f>X1</f>
        <v>Inspirada</v>
      </c>
      <c r="Z73" s="58" t="str">
        <f>Z1</f>
        <v>Operating</v>
      </c>
      <c r="AA73" s="58" t="str">
        <f>AA1</f>
        <v>Weights</v>
      </c>
      <c r="AB73" s="58" t="s">
        <v>3</v>
      </c>
      <c r="AC73" s="58" t="str">
        <f t="shared" ref="AC73" si="141">AC1</f>
        <v>NSLP</v>
      </c>
      <c r="AD73" s="58" t="str">
        <f>AD1</f>
        <v>Sloan Canyon</v>
      </c>
      <c r="AF73" s="58" t="str">
        <f>AF1</f>
        <v>Operating</v>
      </c>
      <c r="AG73" s="58" t="str">
        <f>AG1</f>
        <v>Weights</v>
      </c>
      <c r="AH73" s="58" t="s">
        <v>3</v>
      </c>
      <c r="AI73" s="58" t="str">
        <f t="shared" ref="AI73" si="142">AI1</f>
        <v>NSLP</v>
      </c>
      <c r="AJ73" s="58" t="str">
        <f>AJ1</f>
        <v>Springs</v>
      </c>
      <c r="AL73" s="58" t="str">
        <f>AL1</f>
        <v>Operating</v>
      </c>
      <c r="AM73" s="58" t="str">
        <f>AM1</f>
        <v>Weights</v>
      </c>
      <c r="AN73" s="58" t="s">
        <v>3</v>
      </c>
      <c r="AO73" s="58" t="str">
        <f t="shared" ref="AO73" si="143">AO1</f>
        <v>NSLP</v>
      </c>
      <c r="AP73" s="58" t="str">
        <f>AP1</f>
        <v>System Wide</v>
      </c>
      <c r="AR73" s="58" t="str">
        <f>AR1</f>
        <v>Operating</v>
      </c>
      <c r="AS73" s="58" t="str">
        <f>AS1</f>
        <v>Weights</v>
      </c>
      <c r="AT73" s="58" t="s">
        <v>3</v>
      </c>
      <c r="AU73" s="58" t="str">
        <f t="shared" ref="AU73" si="144">AU1</f>
        <v>NSLP</v>
      </c>
      <c r="AV73" s="58" t="str">
        <f>AV1</f>
        <v>Virtual</v>
      </c>
      <c r="AX73" s="58" t="str">
        <f>AX1</f>
        <v>Operating</v>
      </c>
      <c r="AY73" s="58" t="str">
        <f>AY1</f>
        <v>Weights</v>
      </c>
      <c r="AZ73" s="58" t="s">
        <v>3</v>
      </c>
      <c r="BA73" s="58" t="str">
        <f t="shared" ref="BA73" si="145">BA1</f>
        <v>NSLP</v>
      </c>
      <c r="BB73" s="58" t="str">
        <f>BB1</f>
        <v>Pinecrest System</v>
      </c>
    </row>
    <row r="74" spans="1:54" x14ac:dyDescent="0.25">
      <c r="A74" s="60" t="s">
        <v>69</v>
      </c>
      <c r="B74" s="7">
        <f>(B2*B5)</f>
        <v>6914989.2239999995</v>
      </c>
      <c r="C74" s="7">
        <v>0</v>
      </c>
      <c r="D74" s="7">
        <v>0</v>
      </c>
      <c r="E74" s="7">
        <v>0</v>
      </c>
      <c r="F74" s="7">
        <f t="shared" ref="F74:F85" si="146">SUM(B74:E74)</f>
        <v>6914989.2239999995</v>
      </c>
      <c r="H74" s="7">
        <f>(H2*H5)</f>
        <v>17575597.610999998</v>
      </c>
      <c r="I74" s="7">
        <v>0</v>
      </c>
      <c r="J74" s="7">
        <v>0</v>
      </c>
      <c r="K74" s="7">
        <v>0</v>
      </c>
      <c r="L74" s="7">
        <f t="shared" ref="L74:L85" si="147">SUM(H74:K74)</f>
        <v>17575597.610999998</v>
      </c>
      <c r="N74" s="7">
        <f>(N2*N5)</f>
        <v>7506013.9439999992</v>
      </c>
      <c r="O74" s="7">
        <v>0</v>
      </c>
      <c r="P74" s="7">
        <v>0</v>
      </c>
      <c r="Q74" s="7">
        <v>0</v>
      </c>
      <c r="R74" s="7">
        <f t="shared" ref="R74:R85" si="148">SUM(N74:Q74)</f>
        <v>7506013.9439999992</v>
      </c>
      <c r="T74" s="7">
        <f>(T2*T5)</f>
        <v>8976187.9349999987</v>
      </c>
      <c r="U74" s="7">
        <v>0</v>
      </c>
      <c r="V74" s="7">
        <v>0</v>
      </c>
      <c r="W74" s="7">
        <v>0</v>
      </c>
      <c r="X74" s="7">
        <f t="shared" ref="X74:X85" si="149">SUM(T74:W74)</f>
        <v>8976187.9349999987</v>
      </c>
      <c r="Z74" s="7">
        <f>(Z2*Z5)</f>
        <v>16652121.485999998</v>
      </c>
      <c r="AA74" s="7">
        <v>0</v>
      </c>
      <c r="AB74" s="7">
        <v>0</v>
      </c>
      <c r="AC74" s="7">
        <v>0</v>
      </c>
      <c r="AD74" s="7">
        <f t="shared" ref="AD74:AD85" si="150">SUM(Z74:AC74)</f>
        <v>16652121.485999998</v>
      </c>
      <c r="AF74" s="7">
        <f>(AF2*AF5)</f>
        <v>4765136.8049999997</v>
      </c>
      <c r="AG74" s="7">
        <v>0</v>
      </c>
      <c r="AH74" s="7">
        <v>0</v>
      </c>
      <c r="AI74" s="7">
        <v>0</v>
      </c>
      <c r="AJ74" s="7">
        <f t="shared" ref="AJ74:AJ85" si="151">SUM(AF74:AI74)</f>
        <v>4765136.8049999997</v>
      </c>
      <c r="AL74" s="7">
        <f>(AL2*AL5)*0.97</f>
        <v>0</v>
      </c>
      <c r="AM74" s="7">
        <v>0</v>
      </c>
      <c r="AN74" s="7">
        <v>0</v>
      </c>
      <c r="AO74" s="7">
        <v>0</v>
      </c>
      <c r="AP74" s="7">
        <f t="shared" ref="AP74:AP85" si="152">SUM(AL74:AO74)</f>
        <v>0</v>
      </c>
      <c r="AR74" s="7">
        <f>(AR2*AR5)</f>
        <v>1226550</v>
      </c>
      <c r="AS74" s="7">
        <v>0</v>
      </c>
      <c r="AT74" s="7">
        <v>0</v>
      </c>
      <c r="AU74" s="7">
        <v>0</v>
      </c>
      <c r="AV74" s="7">
        <f t="shared" ref="AV74:AV85" si="153">SUM(AR74:AU74)</f>
        <v>1226550</v>
      </c>
      <c r="AX74" s="7">
        <f>B74+H74+N74+T74+Z74+AF74+AL74+AR74</f>
        <v>63616597.004999988</v>
      </c>
      <c r="AY74" s="7">
        <f t="shared" ref="AY74:BA74" si="154">C74+I74+O74+U74+AA74+AG74+AM74+AS74</f>
        <v>0</v>
      </c>
      <c r="AZ74" s="7">
        <f t="shared" si="154"/>
        <v>0</v>
      </c>
      <c r="BA74" s="7">
        <f t="shared" si="154"/>
        <v>0</v>
      </c>
      <c r="BB74" s="7">
        <f t="shared" ref="BB74:BB98" si="155">SUM(AX74:BA74)</f>
        <v>63616597.004999988</v>
      </c>
    </row>
    <row r="75" spans="1:54" x14ac:dyDescent="0.25">
      <c r="A75" s="62" t="s">
        <v>70</v>
      </c>
      <c r="B75" s="7">
        <f>(B3*B5)*0.95</f>
        <v>0</v>
      </c>
      <c r="C75" s="7">
        <v>0</v>
      </c>
      <c r="D75" s="7">
        <v>0</v>
      </c>
      <c r="E75" s="7">
        <v>0</v>
      </c>
      <c r="F75" s="7">
        <f t="shared" si="146"/>
        <v>0</v>
      </c>
      <c r="H75" s="7">
        <f>(H3*H5)*0.95</f>
        <v>0</v>
      </c>
      <c r="I75" s="7">
        <v>0</v>
      </c>
      <c r="J75" s="7">
        <v>0</v>
      </c>
      <c r="K75" s="7">
        <v>0</v>
      </c>
      <c r="L75" s="7">
        <f t="shared" si="147"/>
        <v>0</v>
      </c>
      <c r="N75" s="7">
        <f>(N3*N5)*0.95</f>
        <v>0</v>
      </c>
      <c r="O75" s="7">
        <v>0</v>
      </c>
      <c r="P75" s="7">
        <v>0</v>
      </c>
      <c r="Q75" s="7">
        <v>0</v>
      </c>
      <c r="R75" s="7">
        <f t="shared" si="148"/>
        <v>0</v>
      </c>
      <c r="T75" s="7">
        <f>(T3*T5)*0.95</f>
        <v>0</v>
      </c>
      <c r="U75" s="7">
        <v>0</v>
      </c>
      <c r="V75" s="7">
        <v>0</v>
      </c>
      <c r="W75" s="7">
        <v>0</v>
      </c>
      <c r="X75" s="7">
        <f t="shared" si="149"/>
        <v>0</v>
      </c>
      <c r="Z75" s="7">
        <f>(Z3*Z5)*0.95</f>
        <v>0</v>
      </c>
      <c r="AA75" s="7">
        <v>0</v>
      </c>
      <c r="AB75" s="7">
        <v>0</v>
      </c>
      <c r="AC75" s="7">
        <v>0</v>
      </c>
      <c r="AD75" s="7">
        <f t="shared" si="150"/>
        <v>0</v>
      </c>
      <c r="AF75" s="7">
        <f>(AF3*AF5)*0.95</f>
        <v>0</v>
      </c>
      <c r="AG75" s="7">
        <v>0</v>
      </c>
      <c r="AH75" s="7">
        <v>0</v>
      </c>
      <c r="AI75" s="7">
        <v>0</v>
      </c>
      <c r="AJ75" s="7">
        <f t="shared" si="151"/>
        <v>0</v>
      </c>
      <c r="AL75" s="7">
        <f>(AL3*AL5)*0.95</f>
        <v>0</v>
      </c>
      <c r="AM75" s="7">
        <v>0</v>
      </c>
      <c r="AN75" s="7">
        <v>0</v>
      </c>
      <c r="AO75" s="7">
        <v>0</v>
      </c>
      <c r="AP75" s="7">
        <f t="shared" si="152"/>
        <v>0</v>
      </c>
      <c r="AR75" s="7">
        <f>(AR3*AR5)*0.95</f>
        <v>0</v>
      </c>
      <c r="AS75" s="7">
        <v>0</v>
      </c>
      <c r="AT75" s="7">
        <v>0</v>
      </c>
      <c r="AU75" s="7">
        <v>0</v>
      </c>
      <c r="AV75" s="7">
        <f t="shared" si="153"/>
        <v>0</v>
      </c>
      <c r="AX75" s="7">
        <f t="shared" ref="AX75:AX85" si="156">B75+H75+N75+T75+Z75+AF75+AL75+AR75</f>
        <v>0</v>
      </c>
      <c r="AY75" s="7">
        <f t="shared" ref="AY75:AY85" si="157">C75+I75+O75+U75+AA75+AG75+AM75+AS75</f>
        <v>0</v>
      </c>
      <c r="AZ75" s="7">
        <f t="shared" ref="AZ75:AZ85" si="158">D75+J75+P75+V75+AB75+AH75+AN75+AT75</f>
        <v>0</v>
      </c>
      <c r="BA75" s="7">
        <f t="shared" ref="BA75:BA85" si="159">E75+K75+Q75+W75+AC75+AI75+AO75+AU75</f>
        <v>0</v>
      </c>
      <c r="BB75" s="7">
        <f t="shared" si="155"/>
        <v>0</v>
      </c>
    </row>
    <row r="76" spans="1:54" x14ac:dyDescent="0.25">
      <c r="A76" s="62" t="s">
        <v>71</v>
      </c>
      <c r="B76" s="7">
        <f>($C$19*B25)*3.15*180</f>
        <v>0</v>
      </c>
      <c r="C76" s="7">
        <f t="shared" ref="C76" si="160">($C$19*C25)*3.15*180</f>
        <v>0</v>
      </c>
      <c r="D76" s="7"/>
      <c r="E76" s="7">
        <f>((B19*E25)*3.5)*180</f>
        <v>224078.40000000002</v>
      </c>
      <c r="F76" s="7">
        <f t="shared" si="146"/>
        <v>224078.40000000002</v>
      </c>
      <c r="H76" s="7">
        <f>($C$19*H25)*3.15*180</f>
        <v>0</v>
      </c>
      <c r="I76" s="7">
        <f t="shared" ref="I76" si="161">($C$19*I25)*3.15*180</f>
        <v>0</v>
      </c>
      <c r="J76" s="7"/>
      <c r="K76" s="7">
        <f>((H19*K25)*3.5)*180</f>
        <v>599508</v>
      </c>
      <c r="L76" s="7">
        <f t="shared" si="147"/>
        <v>599508</v>
      </c>
      <c r="N76" s="7">
        <f>($C$19*N25)*3.15*180</f>
        <v>0</v>
      </c>
      <c r="O76" s="7">
        <f t="shared" ref="O76" si="162">($C$19*O25)*3.15*180</f>
        <v>0</v>
      </c>
      <c r="P76" s="7"/>
      <c r="Q76" s="7">
        <f>((N19*Q25)*3.5)*180</f>
        <v>192024</v>
      </c>
      <c r="R76" s="7">
        <f t="shared" si="148"/>
        <v>192024</v>
      </c>
      <c r="T76" s="7">
        <f>($C$19*T25)*3.15*180</f>
        <v>0</v>
      </c>
      <c r="U76" s="7">
        <f t="shared" ref="U76" si="163">($C$19*U25)*3.15*180</f>
        <v>0</v>
      </c>
      <c r="V76" s="7"/>
      <c r="W76" s="7">
        <f>((T19*W25)*3.5)*180</f>
        <v>114817.5</v>
      </c>
      <c r="X76" s="7">
        <f t="shared" si="149"/>
        <v>114817.5</v>
      </c>
      <c r="Z76" s="7">
        <f>($C$19*Z25)*3.15*180</f>
        <v>0</v>
      </c>
      <c r="AA76" s="7">
        <f t="shared" ref="AA76" si="164">($C$19*AA25)*3.15*180</f>
        <v>0</v>
      </c>
      <c r="AB76" s="7"/>
      <c r="AC76" s="7">
        <f>((Z19*AC25)*3.5)*180</f>
        <v>340804.80000000005</v>
      </c>
      <c r="AD76" s="7">
        <f t="shared" si="150"/>
        <v>340804.80000000005</v>
      </c>
      <c r="AF76" s="7">
        <f>($C$19*AF25)*3.15*180</f>
        <v>0</v>
      </c>
      <c r="AG76" s="7">
        <f t="shared" ref="AG76" si="165">($C$19*AG25)*3.15*180</f>
        <v>0</v>
      </c>
      <c r="AH76" s="7"/>
      <c r="AI76" s="357">
        <f>((AF19*AI25)*3.75)*180</f>
        <v>278640</v>
      </c>
      <c r="AJ76" s="7">
        <f t="shared" si="151"/>
        <v>278640</v>
      </c>
      <c r="AL76" s="7">
        <f>($C$19*AL25)*3.15*180</f>
        <v>0</v>
      </c>
      <c r="AM76" s="7">
        <f t="shared" ref="AM76" si="166">($C$19*AM25)*3.15*180</f>
        <v>0</v>
      </c>
      <c r="AN76" s="7"/>
      <c r="AO76" s="7">
        <f>((AL19*AO25)*3.5)*180</f>
        <v>0</v>
      </c>
      <c r="AP76" s="7">
        <f t="shared" si="152"/>
        <v>0</v>
      </c>
      <c r="AR76" s="7">
        <f>($C$19*AR25)*3.15*180</f>
        <v>0</v>
      </c>
      <c r="AS76" s="7">
        <f t="shared" ref="AS76" si="167">($C$19*AS25)*3.15*180</f>
        <v>0</v>
      </c>
      <c r="AT76" s="7"/>
      <c r="AU76" s="7">
        <f>(AR19*AU25)*3.2*180</f>
        <v>39168.000000000007</v>
      </c>
      <c r="AV76" s="7">
        <f t="shared" si="153"/>
        <v>39168.000000000007</v>
      </c>
      <c r="AX76" s="7">
        <f t="shared" si="156"/>
        <v>0</v>
      </c>
      <c r="AY76" s="7">
        <f t="shared" si="157"/>
        <v>0</v>
      </c>
      <c r="AZ76" s="7">
        <f t="shared" si="158"/>
        <v>0</v>
      </c>
      <c r="BA76" s="7">
        <f t="shared" si="159"/>
        <v>1789040.7</v>
      </c>
      <c r="BB76" s="7">
        <f t="shared" si="155"/>
        <v>1789040.7</v>
      </c>
    </row>
    <row r="77" spans="1:54" x14ac:dyDescent="0.25">
      <c r="A77" s="62" t="s">
        <v>72</v>
      </c>
      <c r="B77" s="7">
        <f>950*B22</f>
        <v>0</v>
      </c>
      <c r="C77" s="7">
        <f t="shared" ref="C77" si="168">950*C22</f>
        <v>0</v>
      </c>
      <c r="D77" s="7">
        <f>950*D22</f>
        <v>95942.602892102339</v>
      </c>
      <c r="E77" s="7">
        <v>0</v>
      </c>
      <c r="F77" s="7">
        <f t="shared" si="146"/>
        <v>95942.602892102339</v>
      </c>
      <c r="H77" s="7">
        <f>950*H22</f>
        <v>0</v>
      </c>
      <c r="I77" s="7">
        <f t="shared" ref="I77" si="169">950*I22</f>
        <v>0</v>
      </c>
      <c r="J77" s="7">
        <f>950*J22</f>
        <v>287038.43582887703</v>
      </c>
      <c r="K77" s="7">
        <v>0</v>
      </c>
      <c r="L77" s="7">
        <f t="shared" si="147"/>
        <v>287038.43582887703</v>
      </c>
      <c r="N77" s="7">
        <f>950*N22</f>
        <v>0</v>
      </c>
      <c r="O77" s="7">
        <f t="shared" ref="O77" si="170">950*O22</f>
        <v>0</v>
      </c>
      <c r="P77" s="7">
        <f>950*P22</f>
        <v>70300</v>
      </c>
      <c r="Q77" s="7">
        <v>0</v>
      </c>
      <c r="R77" s="7">
        <f t="shared" si="148"/>
        <v>70300</v>
      </c>
      <c r="T77" s="7">
        <f>950*T22</f>
        <v>0</v>
      </c>
      <c r="U77" s="7">
        <f t="shared" ref="U77" si="171">950*U22</f>
        <v>0</v>
      </c>
      <c r="V77" s="7">
        <f>950*V22</f>
        <v>103969.14095079232</v>
      </c>
      <c r="W77" s="7">
        <v>0</v>
      </c>
      <c r="X77" s="7">
        <f t="shared" si="149"/>
        <v>103969.14095079232</v>
      </c>
      <c r="Z77" s="7">
        <f>950*Z22</f>
        <v>0</v>
      </c>
      <c r="AA77" s="7">
        <f t="shared" ref="AA77" si="172">950*AA22</f>
        <v>0</v>
      </c>
      <c r="AB77" s="7">
        <f>950*AB22</f>
        <v>175197.27272727271</v>
      </c>
      <c r="AC77" s="7">
        <v>0</v>
      </c>
      <c r="AD77" s="7">
        <f t="shared" si="150"/>
        <v>175197.27272727271</v>
      </c>
      <c r="AF77" s="7">
        <f>950*AF22</f>
        <v>0</v>
      </c>
      <c r="AG77" s="7">
        <f t="shared" ref="AG77" si="173">950*AG22</f>
        <v>0</v>
      </c>
      <c r="AH77" s="357">
        <f>950*40</f>
        <v>38000</v>
      </c>
      <c r="AI77" s="7">
        <v>0</v>
      </c>
      <c r="AJ77" s="7">
        <f t="shared" si="151"/>
        <v>38000</v>
      </c>
      <c r="AL77" s="7">
        <f>950*AL22</f>
        <v>0</v>
      </c>
      <c r="AM77" s="7">
        <f t="shared" ref="AM77" si="174">950*AM22</f>
        <v>0</v>
      </c>
      <c r="AN77" s="7">
        <f>950*AN22</f>
        <v>0</v>
      </c>
      <c r="AO77" s="7">
        <v>0</v>
      </c>
      <c r="AP77" s="7">
        <f t="shared" si="152"/>
        <v>0</v>
      </c>
      <c r="AR77" s="7">
        <f>950*AR22</f>
        <v>0</v>
      </c>
      <c r="AS77" s="7">
        <f t="shared" ref="AS77" si="175">950*AS22</f>
        <v>0</v>
      </c>
      <c r="AT77" s="7">
        <f>950*AT22</f>
        <v>9500</v>
      </c>
      <c r="AU77" s="7">
        <v>0</v>
      </c>
      <c r="AV77" s="7">
        <f t="shared" si="153"/>
        <v>9500</v>
      </c>
      <c r="AX77" s="7">
        <f t="shared" si="156"/>
        <v>0</v>
      </c>
      <c r="AY77" s="7">
        <f t="shared" si="157"/>
        <v>0</v>
      </c>
      <c r="AZ77" s="7">
        <f t="shared" si="158"/>
        <v>779947.45239904441</v>
      </c>
      <c r="BA77" s="7">
        <f t="shared" si="159"/>
        <v>0</v>
      </c>
      <c r="BB77" s="7">
        <f t="shared" si="155"/>
        <v>779947.45239904441</v>
      </c>
    </row>
    <row r="78" spans="1:54" x14ac:dyDescent="0.25">
      <c r="A78" s="141" t="s">
        <v>73</v>
      </c>
      <c r="B78" s="37">
        <f>3200*B22</f>
        <v>0</v>
      </c>
      <c r="C78" s="37">
        <f t="shared" ref="C78" si="176">3200*C22</f>
        <v>0</v>
      </c>
      <c r="D78" s="37">
        <f>2500*D22</f>
        <v>252480.53392658508</v>
      </c>
      <c r="E78" s="7">
        <v>0</v>
      </c>
      <c r="F78" s="7">
        <f t="shared" si="146"/>
        <v>252480.53392658508</v>
      </c>
      <c r="H78" s="37">
        <f>3200*H22</f>
        <v>0</v>
      </c>
      <c r="I78" s="37">
        <f t="shared" ref="I78" si="177">3200*I22</f>
        <v>0</v>
      </c>
      <c r="J78" s="37">
        <f>2500*J22</f>
        <v>755364.30481283437</v>
      </c>
      <c r="K78" s="7">
        <v>0</v>
      </c>
      <c r="L78" s="7">
        <f t="shared" si="147"/>
        <v>755364.30481283437</v>
      </c>
      <c r="N78" s="37">
        <f>3200*N22</f>
        <v>0</v>
      </c>
      <c r="O78" s="37">
        <f t="shared" ref="O78" si="178">3200*O22</f>
        <v>0</v>
      </c>
      <c r="P78" s="37">
        <f>2500*P22</f>
        <v>185000</v>
      </c>
      <c r="Q78" s="7">
        <v>0</v>
      </c>
      <c r="R78" s="7">
        <f t="shared" si="148"/>
        <v>185000</v>
      </c>
      <c r="T78" s="37">
        <f>3200*T22</f>
        <v>0</v>
      </c>
      <c r="U78" s="37">
        <f t="shared" ref="U78" si="179">3200*U22</f>
        <v>0</v>
      </c>
      <c r="V78" s="37">
        <f>2500*V22</f>
        <v>273603.00250208506</v>
      </c>
      <c r="W78" s="7">
        <v>0</v>
      </c>
      <c r="X78" s="7">
        <f t="shared" si="149"/>
        <v>273603.00250208506</v>
      </c>
      <c r="Z78" s="37">
        <f>3200*Z22</f>
        <v>0</v>
      </c>
      <c r="AA78" s="37">
        <f t="shared" ref="AA78" si="180">3200*AA22</f>
        <v>0</v>
      </c>
      <c r="AB78" s="37">
        <f>2500*AB22</f>
        <v>461045.45454545453</v>
      </c>
      <c r="AC78" s="7">
        <v>0</v>
      </c>
      <c r="AD78" s="7">
        <f t="shared" si="150"/>
        <v>461045.45454545453</v>
      </c>
      <c r="AF78" s="37">
        <f>3200*AF22</f>
        <v>0</v>
      </c>
      <c r="AG78" s="37">
        <f t="shared" ref="AG78" si="181">3200*AG22</f>
        <v>0</v>
      </c>
      <c r="AH78" s="37">
        <v>0</v>
      </c>
      <c r="AI78" s="7">
        <v>0</v>
      </c>
      <c r="AJ78" s="7">
        <f t="shared" si="151"/>
        <v>0</v>
      </c>
      <c r="AL78" s="37">
        <f>3200*AL22</f>
        <v>0</v>
      </c>
      <c r="AM78" s="37">
        <f t="shared" ref="AM78" si="182">3200*AM22</f>
        <v>0</v>
      </c>
      <c r="AN78" s="37">
        <f>2600*AN22</f>
        <v>0</v>
      </c>
      <c r="AO78" s="7">
        <v>0</v>
      </c>
      <c r="AP78" s="7">
        <f t="shared" si="152"/>
        <v>0</v>
      </c>
      <c r="AR78" s="37">
        <f>3200*AR22</f>
        <v>0</v>
      </c>
      <c r="AS78" s="37">
        <f t="shared" ref="AS78" si="183">3200*AS22</f>
        <v>0</v>
      </c>
      <c r="AT78" s="37">
        <f>2500*AT22</f>
        <v>25000</v>
      </c>
      <c r="AU78" s="7">
        <v>0</v>
      </c>
      <c r="AV78" s="7">
        <f t="shared" si="153"/>
        <v>25000</v>
      </c>
      <c r="AX78" s="7">
        <f t="shared" si="156"/>
        <v>0</v>
      </c>
      <c r="AY78" s="7">
        <f t="shared" si="157"/>
        <v>0</v>
      </c>
      <c r="AZ78" s="7">
        <f t="shared" si="158"/>
        <v>1952493.2957869591</v>
      </c>
      <c r="BA78" s="7">
        <f t="shared" si="159"/>
        <v>0</v>
      </c>
      <c r="BB78" s="7">
        <f t="shared" si="155"/>
        <v>1952493.2957869591</v>
      </c>
    </row>
    <row r="79" spans="1:54" x14ac:dyDescent="0.25">
      <c r="A79" s="62" t="s">
        <v>74</v>
      </c>
      <c r="B79" s="37">
        <f>1400*B23</f>
        <v>0</v>
      </c>
      <c r="C79" s="37">
        <f>1635*C23</f>
        <v>25534.371523915463</v>
      </c>
      <c r="D79" s="37">
        <v>0</v>
      </c>
      <c r="E79" s="7">
        <v>0</v>
      </c>
      <c r="F79" s="7">
        <f t="shared" si="146"/>
        <v>25534.371523915463</v>
      </c>
      <c r="H79" s="37">
        <f>1400*H23</f>
        <v>0</v>
      </c>
      <c r="I79" s="37">
        <f>1635*I23</f>
        <v>57200.955882352937</v>
      </c>
      <c r="J79" s="37">
        <v>0</v>
      </c>
      <c r="K79" s="7">
        <v>0</v>
      </c>
      <c r="L79" s="7">
        <f t="shared" si="147"/>
        <v>57200.955882352937</v>
      </c>
      <c r="N79" s="37">
        <f>1400*N23</f>
        <v>0</v>
      </c>
      <c r="O79" s="37">
        <f>1635*O23</f>
        <v>29430</v>
      </c>
      <c r="P79" s="37">
        <v>0</v>
      </c>
      <c r="Q79" s="7">
        <v>0</v>
      </c>
      <c r="R79" s="7">
        <f t="shared" si="148"/>
        <v>29430</v>
      </c>
      <c r="T79" s="37">
        <f>1400*T23</f>
        <v>0</v>
      </c>
      <c r="U79" s="37">
        <f>1635*U23</f>
        <v>13254.545454545456</v>
      </c>
      <c r="V79" s="37">
        <v>0</v>
      </c>
      <c r="W79" s="7">
        <v>0</v>
      </c>
      <c r="X79" s="7">
        <f t="shared" si="149"/>
        <v>13254.545454545456</v>
      </c>
      <c r="Z79" s="37">
        <f>1400*Z23</f>
        <v>0</v>
      </c>
      <c r="AA79" s="37">
        <f>1635*AA23</f>
        <v>40555.822966507178</v>
      </c>
      <c r="AB79" s="37">
        <v>0</v>
      </c>
      <c r="AC79" s="7">
        <v>0</v>
      </c>
      <c r="AD79" s="7">
        <f t="shared" si="150"/>
        <v>40555.822966507178</v>
      </c>
      <c r="AF79" s="37">
        <f>1400*AF23</f>
        <v>0</v>
      </c>
      <c r="AG79" s="37">
        <v>0</v>
      </c>
      <c r="AH79" s="37">
        <v>0</v>
      </c>
      <c r="AI79" s="7">
        <v>0</v>
      </c>
      <c r="AJ79" s="7">
        <f t="shared" si="151"/>
        <v>0</v>
      </c>
      <c r="AL79" s="37">
        <f>1400*AL23</f>
        <v>0</v>
      </c>
      <c r="AM79" s="37">
        <f>1669*AM23</f>
        <v>0</v>
      </c>
      <c r="AN79" s="37">
        <v>0</v>
      </c>
      <c r="AO79" s="7">
        <v>0</v>
      </c>
      <c r="AP79" s="7">
        <f t="shared" si="152"/>
        <v>0</v>
      </c>
      <c r="AR79" s="37">
        <f>1400*AR23</f>
        <v>0</v>
      </c>
      <c r="AS79" s="37">
        <f>1635*AS23</f>
        <v>0</v>
      </c>
      <c r="AT79" s="37">
        <v>0</v>
      </c>
      <c r="AU79" s="7">
        <v>0</v>
      </c>
      <c r="AV79" s="7">
        <f t="shared" si="153"/>
        <v>0</v>
      </c>
      <c r="AX79" s="7">
        <f t="shared" si="156"/>
        <v>0</v>
      </c>
      <c r="AY79" s="7">
        <f t="shared" si="157"/>
        <v>165975.69582732103</v>
      </c>
      <c r="AZ79" s="7">
        <f t="shared" si="158"/>
        <v>0</v>
      </c>
      <c r="BA79" s="7">
        <f t="shared" si="159"/>
        <v>0</v>
      </c>
      <c r="BB79" s="7">
        <f t="shared" si="155"/>
        <v>165975.69582732103</v>
      </c>
    </row>
    <row r="80" spans="1:54" x14ac:dyDescent="0.25">
      <c r="A80" s="62" t="s">
        <v>75</v>
      </c>
      <c r="B80" s="7">
        <f>830*B24</f>
        <v>0</v>
      </c>
      <c r="C80" s="7">
        <f>848*C24</f>
        <v>38847.644048943272</v>
      </c>
      <c r="D80" s="37">
        <v>0</v>
      </c>
      <c r="E80" s="7">
        <v>0</v>
      </c>
      <c r="F80" s="7">
        <f t="shared" si="146"/>
        <v>38847.644048943272</v>
      </c>
      <c r="H80" s="7">
        <f>830*H24</f>
        <v>0</v>
      </c>
      <c r="I80" s="7">
        <f>848*I24</f>
        <v>46748.834224598933</v>
      </c>
      <c r="J80" s="37">
        <v>0</v>
      </c>
      <c r="K80" s="7">
        <v>0</v>
      </c>
      <c r="L80" s="7">
        <f t="shared" si="147"/>
        <v>46748.834224598933</v>
      </c>
      <c r="N80" s="7">
        <f>830*N24</f>
        <v>0</v>
      </c>
      <c r="O80" s="7">
        <f>848*O24</f>
        <v>39008</v>
      </c>
      <c r="P80" s="37">
        <v>0</v>
      </c>
      <c r="Q80" s="7">
        <v>0</v>
      </c>
      <c r="R80" s="7">
        <f t="shared" si="148"/>
        <v>39008</v>
      </c>
      <c r="T80" s="7">
        <f>830*T24</f>
        <v>0</v>
      </c>
      <c r="U80" s="7">
        <f>848*U24</f>
        <v>66167.339449541279</v>
      </c>
      <c r="V80" s="37">
        <v>0</v>
      </c>
      <c r="W80" s="7">
        <v>0</v>
      </c>
      <c r="X80" s="7">
        <f t="shared" si="149"/>
        <v>66167.339449541279</v>
      </c>
      <c r="Z80" s="7">
        <f>830*Z24</f>
        <v>0</v>
      </c>
      <c r="AA80" s="7">
        <f>848*AA24</f>
        <v>58530.664114832529</v>
      </c>
      <c r="AB80" s="37">
        <v>0</v>
      </c>
      <c r="AC80" s="7">
        <v>0</v>
      </c>
      <c r="AD80" s="7">
        <f t="shared" si="150"/>
        <v>58530.664114832529</v>
      </c>
      <c r="AF80" s="7">
        <f>830*AF24</f>
        <v>0</v>
      </c>
      <c r="AG80" s="7">
        <f>848*AG24</f>
        <v>0</v>
      </c>
      <c r="AH80" s="37">
        <v>0</v>
      </c>
      <c r="AI80" s="7">
        <v>0</v>
      </c>
      <c r="AJ80" s="7">
        <f t="shared" si="151"/>
        <v>0</v>
      </c>
      <c r="AL80" s="7">
        <f>830*AL24</f>
        <v>0</v>
      </c>
      <c r="AM80" s="7">
        <f>862*AM24</f>
        <v>0</v>
      </c>
      <c r="AN80" s="37">
        <v>0</v>
      </c>
      <c r="AO80" s="7">
        <v>0</v>
      </c>
      <c r="AP80" s="7">
        <f t="shared" si="152"/>
        <v>0</v>
      </c>
      <c r="AR80" s="7">
        <f>830*AR24</f>
        <v>0</v>
      </c>
      <c r="AS80" s="7">
        <f>848*AS24</f>
        <v>0</v>
      </c>
      <c r="AT80" s="37">
        <v>0</v>
      </c>
      <c r="AU80" s="7">
        <v>0</v>
      </c>
      <c r="AV80" s="7">
        <f t="shared" si="153"/>
        <v>0</v>
      </c>
      <c r="AX80" s="7">
        <f t="shared" si="156"/>
        <v>0</v>
      </c>
      <c r="AY80" s="7">
        <f t="shared" si="157"/>
        <v>249302.48183791601</v>
      </c>
      <c r="AZ80" s="7">
        <f t="shared" si="158"/>
        <v>0</v>
      </c>
      <c r="BA80" s="7">
        <f t="shared" si="159"/>
        <v>0</v>
      </c>
      <c r="BB80" s="7">
        <f t="shared" si="155"/>
        <v>249302.48183791601</v>
      </c>
    </row>
    <row r="81" spans="1:54" x14ac:dyDescent="0.25">
      <c r="A81" s="62" t="s">
        <v>76</v>
      </c>
      <c r="B81" s="7">
        <f>240*B26</f>
        <v>0</v>
      </c>
      <c r="C81" s="7">
        <f>C26*241</f>
        <v>58213.161290322576</v>
      </c>
      <c r="D81" s="37">
        <v>0</v>
      </c>
      <c r="E81" s="7">
        <v>0</v>
      </c>
      <c r="F81" s="7">
        <f t="shared" si="146"/>
        <v>58213.161290322576</v>
      </c>
      <c r="H81" s="7">
        <f>240*H26</f>
        <v>0</v>
      </c>
      <c r="I81" s="7">
        <f>I26*241</f>
        <v>132092.80882352943</v>
      </c>
      <c r="J81" s="37">
        <v>0</v>
      </c>
      <c r="K81" s="7">
        <v>0</v>
      </c>
      <c r="L81" s="7">
        <f t="shared" si="147"/>
        <v>132092.80882352943</v>
      </c>
      <c r="N81" s="7">
        <f>240*N26</f>
        <v>0</v>
      </c>
      <c r="O81" s="7">
        <f>O26*241</f>
        <v>58081</v>
      </c>
      <c r="P81" s="37">
        <v>0</v>
      </c>
      <c r="Q81" s="7">
        <v>0</v>
      </c>
      <c r="R81" s="7">
        <f t="shared" si="148"/>
        <v>58081</v>
      </c>
      <c r="T81" s="7">
        <f>240*T26</f>
        <v>0</v>
      </c>
      <c r="U81" s="7">
        <f>U26*241</f>
        <v>31992.297748123437</v>
      </c>
      <c r="V81" s="37">
        <v>0</v>
      </c>
      <c r="W81" s="7">
        <v>0</v>
      </c>
      <c r="X81" s="7">
        <f t="shared" si="149"/>
        <v>31992.297748123437</v>
      </c>
      <c r="Z81" s="7">
        <f>240*Z26</f>
        <v>0</v>
      </c>
      <c r="AA81" s="7">
        <f>AA26*241</f>
        <v>63678.196172248798</v>
      </c>
      <c r="AB81" s="37">
        <v>0</v>
      </c>
      <c r="AC81" s="7">
        <v>0</v>
      </c>
      <c r="AD81" s="7">
        <f t="shared" si="150"/>
        <v>63678.196172248798</v>
      </c>
      <c r="AF81" s="7">
        <f>240*AF26</f>
        <v>0</v>
      </c>
      <c r="AG81" s="7">
        <v>0</v>
      </c>
      <c r="AH81" s="37">
        <v>0</v>
      </c>
      <c r="AI81" s="7">
        <v>0</v>
      </c>
      <c r="AJ81" s="7">
        <f t="shared" si="151"/>
        <v>0</v>
      </c>
      <c r="AL81" s="7">
        <f>240*AL26</f>
        <v>0</v>
      </c>
      <c r="AM81" s="7">
        <f>AM26*247</f>
        <v>0</v>
      </c>
      <c r="AN81" s="37">
        <v>0</v>
      </c>
      <c r="AO81" s="7">
        <v>0</v>
      </c>
      <c r="AP81" s="7">
        <f t="shared" si="152"/>
        <v>0</v>
      </c>
      <c r="AR81" s="7">
        <f>240*AR26</f>
        <v>0</v>
      </c>
      <c r="AS81" s="7">
        <f>AS26*241</f>
        <v>9640</v>
      </c>
      <c r="AT81" s="37">
        <v>0</v>
      </c>
      <c r="AU81" s="7">
        <v>0</v>
      </c>
      <c r="AV81" s="7">
        <f t="shared" si="153"/>
        <v>9640</v>
      </c>
      <c r="AX81" s="7">
        <f t="shared" si="156"/>
        <v>0</v>
      </c>
      <c r="AY81" s="7">
        <f t="shared" si="157"/>
        <v>353697.46403422422</v>
      </c>
      <c r="AZ81" s="7">
        <f t="shared" si="158"/>
        <v>0</v>
      </c>
      <c r="BA81" s="7">
        <f t="shared" si="159"/>
        <v>0</v>
      </c>
      <c r="BB81" s="7">
        <f t="shared" si="155"/>
        <v>353697.46403422422</v>
      </c>
    </row>
    <row r="82" spans="1:54" x14ac:dyDescent="0.25">
      <c r="A82" s="62" t="s">
        <v>247</v>
      </c>
      <c r="B82" s="7"/>
      <c r="C82" s="7">
        <v>0</v>
      </c>
      <c r="D82" s="37">
        <v>0</v>
      </c>
      <c r="E82" s="7">
        <v>0</v>
      </c>
      <c r="F82" s="7">
        <f t="shared" si="146"/>
        <v>0</v>
      </c>
      <c r="H82" s="7">
        <f>AV155</f>
        <v>170000</v>
      </c>
      <c r="I82" s="7">
        <v>0</v>
      </c>
      <c r="J82" s="37">
        <v>0</v>
      </c>
      <c r="K82" s="7">
        <v>0</v>
      </c>
      <c r="L82" s="7">
        <f t="shared" si="147"/>
        <v>170000</v>
      </c>
      <c r="N82" s="7">
        <v>0</v>
      </c>
      <c r="O82" s="7">
        <v>0</v>
      </c>
      <c r="P82" s="37">
        <v>0</v>
      </c>
      <c r="Q82" s="7">
        <v>0</v>
      </c>
      <c r="R82" s="7">
        <f t="shared" si="148"/>
        <v>0</v>
      </c>
      <c r="T82" s="7">
        <v>0</v>
      </c>
      <c r="U82" s="7">
        <v>0</v>
      </c>
      <c r="V82" s="37">
        <v>0</v>
      </c>
      <c r="W82" s="7">
        <v>0</v>
      </c>
      <c r="X82" s="7">
        <f t="shared" si="149"/>
        <v>0</v>
      </c>
      <c r="Z82" s="7">
        <v>0</v>
      </c>
      <c r="AA82" s="7">
        <v>0</v>
      </c>
      <c r="AB82" s="37">
        <v>0</v>
      </c>
      <c r="AC82" s="7">
        <v>0</v>
      </c>
      <c r="AD82" s="7">
        <f t="shared" si="150"/>
        <v>0</v>
      </c>
      <c r="AF82" s="7">
        <v>0</v>
      </c>
      <c r="AG82" s="7">
        <v>0</v>
      </c>
      <c r="AH82" s="37">
        <v>0</v>
      </c>
      <c r="AI82" s="7">
        <v>0</v>
      </c>
      <c r="AJ82" s="7">
        <f t="shared" si="151"/>
        <v>0</v>
      </c>
      <c r="AL82" s="7">
        <v>0</v>
      </c>
      <c r="AM82" s="7">
        <v>0</v>
      </c>
      <c r="AN82" s="37">
        <v>0</v>
      </c>
      <c r="AO82" s="7">
        <v>0</v>
      </c>
      <c r="AP82" s="7">
        <f t="shared" si="152"/>
        <v>0</v>
      </c>
      <c r="AR82" s="7"/>
      <c r="AS82" s="7">
        <v>0</v>
      </c>
      <c r="AT82" s="37">
        <v>0</v>
      </c>
      <c r="AU82" s="7">
        <v>0</v>
      </c>
      <c r="AV82" s="7">
        <f t="shared" si="153"/>
        <v>0</v>
      </c>
      <c r="AX82" s="7">
        <f t="shared" si="156"/>
        <v>170000</v>
      </c>
      <c r="AY82" s="7">
        <f t="shared" si="157"/>
        <v>0</v>
      </c>
      <c r="AZ82" s="7">
        <f t="shared" si="158"/>
        <v>0</v>
      </c>
      <c r="BA82" s="7">
        <f t="shared" si="159"/>
        <v>0</v>
      </c>
      <c r="BB82" s="7">
        <f t="shared" si="155"/>
        <v>170000</v>
      </c>
    </row>
    <row r="83" spans="1:54" x14ac:dyDescent="0.25">
      <c r="A83" s="154" t="s">
        <v>78</v>
      </c>
      <c r="B83" s="7">
        <v>0</v>
      </c>
      <c r="C83" s="7">
        <v>0</v>
      </c>
      <c r="D83" s="37">
        <v>0</v>
      </c>
      <c r="E83" s="7">
        <v>0</v>
      </c>
      <c r="F83" s="7">
        <f t="shared" si="146"/>
        <v>0</v>
      </c>
      <c r="H83" s="7">
        <v>0</v>
      </c>
      <c r="I83" s="7">
        <v>0</v>
      </c>
      <c r="J83" s="37">
        <v>0</v>
      </c>
      <c r="K83" s="7">
        <v>0</v>
      </c>
      <c r="L83" s="7">
        <f t="shared" si="147"/>
        <v>0</v>
      </c>
      <c r="N83" s="7">
        <v>0</v>
      </c>
      <c r="O83" s="7">
        <v>0</v>
      </c>
      <c r="P83" s="37">
        <v>0</v>
      </c>
      <c r="Q83" s="7">
        <v>0</v>
      </c>
      <c r="R83" s="7">
        <f t="shared" si="148"/>
        <v>0</v>
      </c>
      <c r="T83" s="7">
        <v>0</v>
      </c>
      <c r="U83" s="7">
        <v>0</v>
      </c>
      <c r="V83" s="37">
        <v>0</v>
      </c>
      <c r="W83" s="7">
        <v>0</v>
      </c>
      <c r="X83" s="7">
        <f t="shared" si="149"/>
        <v>0</v>
      </c>
      <c r="Z83" s="7">
        <v>0</v>
      </c>
      <c r="AA83" s="7">
        <v>0</v>
      </c>
      <c r="AB83" s="37">
        <v>0</v>
      </c>
      <c r="AC83" s="7">
        <v>0</v>
      </c>
      <c r="AD83" s="7">
        <f t="shared" si="150"/>
        <v>0</v>
      </c>
      <c r="AF83" s="7">
        <v>0</v>
      </c>
      <c r="AG83" s="7">
        <v>0</v>
      </c>
      <c r="AH83" s="37">
        <v>0</v>
      </c>
      <c r="AI83" s="7">
        <v>0</v>
      </c>
      <c r="AJ83" s="7">
        <f t="shared" si="151"/>
        <v>0</v>
      </c>
      <c r="AL83" s="7">
        <v>0</v>
      </c>
      <c r="AM83" s="7">
        <v>0</v>
      </c>
      <c r="AN83" s="37">
        <v>0</v>
      </c>
      <c r="AO83" s="7">
        <v>0</v>
      </c>
      <c r="AP83" s="7">
        <f t="shared" si="152"/>
        <v>0</v>
      </c>
      <c r="AR83" s="7">
        <v>0</v>
      </c>
      <c r="AS83" s="7">
        <v>0</v>
      </c>
      <c r="AT83" s="37">
        <v>0</v>
      </c>
      <c r="AU83" s="7">
        <v>0</v>
      </c>
      <c r="AV83" s="7">
        <f t="shared" si="153"/>
        <v>0</v>
      </c>
      <c r="AX83" s="7">
        <f t="shared" si="156"/>
        <v>0</v>
      </c>
      <c r="AY83" s="7">
        <f t="shared" si="157"/>
        <v>0</v>
      </c>
      <c r="AZ83" s="7">
        <f t="shared" si="158"/>
        <v>0</v>
      </c>
      <c r="BA83" s="7">
        <f t="shared" si="159"/>
        <v>0</v>
      </c>
      <c r="BB83" s="7">
        <f t="shared" si="155"/>
        <v>0</v>
      </c>
    </row>
    <row r="84" spans="1:54" x14ac:dyDescent="0.25">
      <c r="A84" s="62" t="s">
        <v>77</v>
      </c>
      <c r="B84" s="7"/>
      <c r="C84" s="7">
        <v>0</v>
      </c>
      <c r="D84" s="37">
        <v>0</v>
      </c>
      <c r="E84" s="7">
        <v>0</v>
      </c>
      <c r="F84" s="7">
        <f t="shared" si="146"/>
        <v>0</v>
      </c>
      <c r="H84" s="7"/>
      <c r="I84" s="7">
        <v>0</v>
      </c>
      <c r="J84" s="37">
        <v>0</v>
      </c>
      <c r="K84" s="7">
        <v>0</v>
      </c>
      <c r="L84" s="7">
        <f t="shared" si="147"/>
        <v>0</v>
      </c>
      <c r="N84" s="7"/>
      <c r="O84" s="7">
        <v>0</v>
      </c>
      <c r="P84" s="37">
        <v>0</v>
      </c>
      <c r="Q84" s="7">
        <v>0</v>
      </c>
      <c r="R84" s="7">
        <f t="shared" si="148"/>
        <v>0</v>
      </c>
      <c r="T84" s="7"/>
      <c r="U84" s="7">
        <v>0</v>
      </c>
      <c r="V84" s="37">
        <v>0</v>
      </c>
      <c r="W84" s="7">
        <v>0</v>
      </c>
      <c r="X84" s="7">
        <f t="shared" si="149"/>
        <v>0</v>
      </c>
      <c r="Z84" s="7"/>
      <c r="AA84" s="7">
        <v>0</v>
      </c>
      <c r="AB84" s="37">
        <v>0</v>
      </c>
      <c r="AC84" s="7">
        <v>0</v>
      </c>
      <c r="AD84" s="7">
        <f t="shared" si="150"/>
        <v>0</v>
      </c>
      <c r="AF84" s="7"/>
      <c r="AG84" s="7">
        <v>0</v>
      </c>
      <c r="AH84" s="37">
        <v>0</v>
      </c>
      <c r="AI84" s="7">
        <v>0</v>
      </c>
      <c r="AJ84" s="7">
        <f t="shared" si="151"/>
        <v>0</v>
      </c>
      <c r="AL84" s="7"/>
      <c r="AM84" s="7">
        <v>0</v>
      </c>
      <c r="AN84" s="37">
        <v>0</v>
      </c>
      <c r="AO84" s="7">
        <v>0</v>
      </c>
      <c r="AP84" s="7">
        <f t="shared" si="152"/>
        <v>0</v>
      </c>
      <c r="AR84" s="7"/>
      <c r="AS84" s="7">
        <v>0</v>
      </c>
      <c r="AT84" s="37">
        <v>0</v>
      </c>
      <c r="AU84" s="7">
        <v>0</v>
      </c>
      <c r="AV84" s="7">
        <f t="shared" si="153"/>
        <v>0</v>
      </c>
      <c r="AX84" s="7">
        <f t="shared" si="156"/>
        <v>0</v>
      </c>
      <c r="AY84" s="7">
        <f t="shared" si="157"/>
        <v>0</v>
      </c>
      <c r="AZ84" s="7">
        <f t="shared" si="158"/>
        <v>0</v>
      </c>
      <c r="BA84" s="7">
        <f t="shared" si="159"/>
        <v>0</v>
      </c>
      <c r="BB84" s="7">
        <f t="shared" si="155"/>
        <v>0</v>
      </c>
    </row>
    <row r="85" spans="1:54" ht="15.75" thickBot="1" x14ac:dyDescent="0.3">
      <c r="A85" s="65" t="s">
        <v>79</v>
      </c>
      <c r="B85" s="37">
        <f>B158</f>
        <v>14120</v>
      </c>
      <c r="C85" s="37">
        <f>C158</f>
        <v>720</v>
      </c>
      <c r="D85" s="37">
        <f>D158</f>
        <v>2160</v>
      </c>
      <c r="E85" s="37">
        <f>E158</f>
        <v>240</v>
      </c>
      <c r="F85" s="7">
        <f t="shared" si="146"/>
        <v>17240</v>
      </c>
      <c r="H85" s="37">
        <f>H158</f>
        <v>31040</v>
      </c>
      <c r="I85" s="37">
        <f>I158</f>
        <v>1440</v>
      </c>
      <c r="J85" s="37">
        <f>J158</f>
        <v>6960</v>
      </c>
      <c r="K85" s="37">
        <f>K158</f>
        <v>720</v>
      </c>
      <c r="L85" s="7">
        <f t="shared" si="147"/>
        <v>40160</v>
      </c>
      <c r="N85" s="37">
        <f>N158</f>
        <v>14960</v>
      </c>
      <c r="O85" s="37">
        <f>O158</f>
        <v>1200</v>
      </c>
      <c r="P85" s="37">
        <f>P158</f>
        <v>1999.2</v>
      </c>
      <c r="Q85" s="37">
        <f>Q158</f>
        <v>240</v>
      </c>
      <c r="R85" s="7">
        <f t="shared" si="148"/>
        <v>18399.2</v>
      </c>
      <c r="T85" s="37">
        <f>T158</f>
        <v>17960</v>
      </c>
      <c r="U85" s="37">
        <f>U158</f>
        <v>1320</v>
      </c>
      <c r="V85" s="37">
        <f>V158</f>
        <v>3201.6</v>
      </c>
      <c r="W85" s="7">
        <v>0</v>
      </c>
      <c r="X85" s="7">
        <f t="shared" si="149"/>
        <v>22481.599999999999</v>
      </c>
      <c r="Z85" s="37">
        <f>Z158</f>
        <v>28640</v>
      </c>
      <c r="AA85" s="37">
        <f>AA158</f>
        <v>840</v>
      </c>
      <c r="AB85" s="37">
        <f>AB158</f>
        <v>5479.2</v>
      </c>
      <c r="AC85" s="37">
        <f>AC158</f>
        <v>480</v>
      </c>
      <c r="AD85" s="7">
        <f t="shared" si="150"/>
        <v>35439.199999999997</v>
      </c>
      <c r="AF85" s="37">
        <f>AF158</f>
        <v>9920</v>
      </c>
      <c r="AG85" s="37">
        <f>AG158</f>
        <v>240</v>
      </c>
      <c r="AH85" s="37">
        <f>AH158</f>
        <v>960</v>
      </c>
      <c r="AI85" s="37">
        <f>AI158</f>
        <v>240</v>
      </c>
      <c r="AJ85" s="7">
        <f t="shared" si="151"/>
        <v>11360</v>
      </c>
      <c r="AL85" s="37">
        <f>AL158</f>
        <v>2720</v>
      </c>
      <c r="AM85" s="37">
        <f>AM158</f>
        <v>120</v>
      </c>
      <c r="AN85" s="37">
        <f t="shared" ref="AN85:AO85" si="184">AN158</f>
        <v>0</v>
      </c>
      <c r="AO85" s="37">
        <f t="shared" si="184"/>
        <v>0</v>
      </c>
      <c r="AP85" s="7">
        <f t="shared" si="152"/>
        <v>2840</v>
      </c>
      <c r="AR85" s="37">
        <f>AR158</f>
        <v>2240</v>
      </c>
      <c r="AS85" s="37">
        <f t="shared" ref="AS85:AU85" si="185">AS158</f>
        <v>0</v>
      </c>
      <c r="AT85" s="37">
        <f t="shared" si="185"/>
        <v>240</v>
      </c>
      <c r="AU85" s="37">
        <f t="shared" si="185"/>
        <v>0</v>
      </c>
      <c r="AV85" s="7">
        <f t="shared" si="153"/>
        <v>2480</v>
      </c>
      <c r="AX85" s="7">
        <f t="shared" si="156"/>
        <v>121600</v>
      </c>
      <c r="AY85" s="7">
        <f t="shared" si="157"/>
        <v>5880</v>
      </c>
      <c r="AZ85" s="7">
        <f t="shared" si="158"/>
        <v>21000</v>
      </c>
      <c r="BA85" s="7">
        <f t="shared" si="159"/>
        <v>1920</v>
      </c>
      <c r="BB85" s="7">
        <f t="shared" si="155"/>
        <v>150400</v>
      </c>
    </row>
    <row r="86" spans="1:54" ht="15.75" thickBot="1" x14ac:dyDescent="0.3">
      <c r="A86" s="67" t="s">
        <v>80</v>
      </c>
      <c r="B86" s="68">
        <f>SUM(B74:B85)</f>
        <v>6929109.2239999995</v>
      </c>
      <c r="C86" s="68">
        <f>SUM(C74:C85)</f>
        <v>123315.17686318132</v>
      </c>
      <c r="D86" s="68">
        <f>SUM(D74:D85)</f>
        <v>350583.13681868743</v>
      </c>
      <c r="E86" s="68">
        <f t="shared" ref="E86:F86" si="186">SUM(E74:E85)</f>
        <v>224318.40000000002</v>
      </c>
      <c r="F86" s="68">
        <f t="shared" si="186"/>
        <v>7627325.9376818687</v>
      </c>
      <c r="H86" s="68">
        <f>SUM(H74:H85)</f>
        <v>17776637.610999998</v>
      </c>
      <c r="I86" s="68">
        <f>SUM(I74:I85)</f>
        <v>237482.5989304813</v>
      </c>
      <c r="J86" s="68">
        <f>SUM(J74:J85)</f>
        <v>1049362.7406417113</v>
      </c>
      <c r="K86" s="68">
        <f t="shared" ref="K86:L86" si="187">SUM(K74:K85)</f>
        <v>600228</v>
      </c>
      <c r="L86" s="68">
        <f t="shared" si="187"/>
        <v>19663710.950572189</v>
      </c>
      <c r="N86" s="68">
        <f>SUM(N74:N85)</f>
        <v>7520973.9439999992</v>
      </c>
      <c r="O86" s="68">
        <f>SUM(O74:O85)</f>
        <v>127719</v>
      </c>
      <c r="P86" s="68">
        <f>SUM(P74:P85)</f>
        <v>257299.20000000001</v>
      </c>
      <c r="Q86" s="68">
        <f t="shared" ref="Q86:R86" si="188">SUM(Q74:Q85)</f>
        <v>192264</v>
      </c>
      <c r="R86" s="68">
        <f t="shared" si="188"/>
        <v>8098256.1439999994</v>
      </c>
      <c r="T86" s="68">
        <f>SUM(T74:T85)</f>
        <v>8994147.9349999987</v>
      </c>
      <c r="U86" s="68">
        <f>SUM(U74:U85)</f>
        <v>112734.18265221018</v>
      </c>
      <c r="V86" s="68">
        <f>SUM(V74:V85)</f>
        <v>380773.74345287739</v>
      </c>
      <c r="W86" s="68">
        <f t="shared" ref="W86:X86" si="189">SUM(W74:W85)</f>
        <v>114817.5</v>
      </c>
      <c r="X86" s="68">
        <f t="shared" si="189"/>
        <v>9602473.3611050863</v>
      </c>
      <c r="Z86" s="68">
        <f>SUM(Z74:Z85)</f>
        <v>16680761.485999998</v>
      </c>
      <c r="AA86" s="68">
        <f>SUM(AA74:AA85)</f>
        <v>163604.6832535885</v>
      </c>
      <c r="AB86" s="68">
        <f>SUM(AB74:AB85)</f>
        <v>641721.92727272725</v>
      </c>
      <c r="AC86" s="68">
        <f t="shared" ref="AC86:AD86" si="190">SUM(AC74:AC85)</f>
        <v>341284.80000000005</v>
      </c>
      <c r="AD86" s="68">
        <f t="shared" si="190"/>
        <v>17827372.896526314</v>
      </c>
      <c r="AF86" s="68">
        <f>SUM(AF74:AF85)</f>
        <v>4775056.8049999997</v>
      </c>
      <c r="AG86" s="68">
        <f>SUM(AG74:AG85)</f>
        <v>240</v>
      </c>
      <c r="AH86" s="68">
        <f>SUM(AH74:AH85)</f>
        <v>38960</v>
      </c>
      <c r="AI86" s="68">
        <f t="shared" ref="AI86:AJ86" si="191">SUM(AI74:AI85)</f>
        <v>278880</v>
      </c>
      <c r="AJ86" s="68">
        <f t="shared" si="191"/>
        <v>5093136.8049999997</v>
      </c>
      <c r="AL86" s="68">
        <f>SUM(AL74:AL85)</f>
        <v>2720</v>
      </c>
      <c r="AM86" s="68">
        <f>SUM(AM74:AM85)</f>
        <v>120</v>
      </c>
      <c r="AN86" s="68">
        <f>SUM(AN74:AN85)</f>
        <v>0</v>
      </c>
      <c r="AO86" s="68">
        <f t="shared" ref="AO86:AP86" si="192">SUM(AO74:AO85)</f>
        <v>0</v>
      </c>
      <c r="AP86" s="68">
        <f t="shared" si="192"/>
        <v>2840</v>
      </c>
      <c r="AR86" s="68">
        <f>SUM(AR74:AR85)</f>
        <v>1228790</v>
      </c>
      <c r="AS86" s="68">
        <f>SUM(AS74:AS85)</f>
        <v>9640</v>
      </c>
      <c r="AT86" s="68">
        <f>SUM(AT74:AT85)</f>
        <v>34740</v>
      </c>
      <c r="AU86" s="68">
        <f t="shared" ref="AU86:AV86" si="193">SUM(AU74:AU85)</f>
        <v>39168.000000000007</v>
      </c>
      <c r="AV86" s="68">
        <f t="shared" si="193"/>
        <v>1312338</v>
      </c>
      <c r="AX86" s="68">
        <f>SUM(AX74:AX85)</f>
        <v>63908197.004999988</v>
      </c>
      <c r="AY86" s="68">
        <f>SUM(AY74:AY85)</f>
        <v>774855.64169946127</v>
      </c>
      <c r="AZ86" s="68">
        <f>SUM(AZ74:AZ85)</f>
        <v>2753440.7481860034</v>
      </c>
      <c r="BA86" s="68">
        <f t="shared" ref="BA86:BB86" si="194">SUM(BA74:BA85)</f>
        <v>1790960.7</v>
      </c>
      <c r="BB86" s="68">
        <f t="shared" si="194"/>
        <v>69227454.094885454</v>
      </c>
    </row>
    <row r="87" spans="1:54" x14ac:dyDescent="0.25">
      <c r="A87" s="60" t="s">
        <v>69</v>
      </c>
      <c r="B87" s="61">
        <f>B2*B5</f>
        <v>6914989.2239999995</v>
      </c>
      <c r="C87" s="61">
        <f>C2*C5</f>
        <v>0</v>
      </c>
      <c r="D87" s="61">
        <f>D2*D5</f>
        <v>0</v>
      </c>
      <c r="E87" s="61">
        <f t="shared" ref="E87:F87" si="195">E2*E5</f>
        <v>0</v>
      </c>
      <c r="F87" s="61">
        <f t="shared" si="195"/>
        <v>6914989.2239999995</v>
      </c>
      <c r="H87" s="61">
        <f>H2*H5</f>
        <v>17575597.610999998</v>
      </c>
      <c r="I87" s="61">
        <f>I2*I5</f>
        <v>0</v>
      </c>
      <c r="J87" s="61">
        <f>J2*J5</f>
        <v>0</v>
      </c>
      <c r="K87" s="61">
        <f t="shared" ref="K87:L87" si="196">K2*K5</f>
        <v>0</v>
      </c>
      <c r="L87" s="61">
        <f t="shared" si="196"/>
        <v>17575597.610999998</v>
      </c>
      <c r="N87" s="61">
        <f>N2*N5</f>
        <v>7506013.9439999992</v>
      </c>
      <c r="O87" s="61">
        <f>O2*O5</f>
        <v>0</v>
      </c>
      <c r="P87" s="61">
        <f>P2*P5</f>
        <v>0</v>
      </c>
      <c r="Q87" s="61">
        <f t="shared" ref="Q87:R87" si="197">Q2*Q5</f>
        <v>0</v>
      </c>
      <c r="R87" s="61">
        <f t="shared" si="197"/>
        <v>7506013.9439999992</v>
      </c>
      <c r="T87" s="61">
        <f>T2*T5</f>
        <v>8976187.9349999987</v>
      </c>
      <c r="U87" s="61">
        <f>U2*U5</f>
        <v>0</v>
      </c>
      <c r="V87" s="61">
        <f>V2*V5</f>
        <v>0</v>
      </c>
      <c r="W87" s="61">
        <f t="shared" ref="W87:X87" si="198">W2*W5</f>
        <v>0</v>
      </c>
      <c r="X87" s="61">
        <f t="shared" si="198"/>
        <v>8976187.9349999987</v>
      </c>
      <c r="Z87" s="61">
        <f>Z2*Z5</f>
        <v>16652121.485999998</v>
      </c>
      <c r="AA87" s="61">
        <f>AA2*AA5</f>
        <v>0</v>
      </c>
      <c r="AB87" s="61">
        <f>AB2*AB5</f>
        <v>0</v>
      </c>
      <c r="AC87" s="61">
        <f t="shared" ref="AC87:AD87" si="199">AC2*AC5</f>
        <v>0</v>
      </c>
      <c r="AD87" s="61">
        <f t="shared" si="199"/>
        <v>16652121.485999998</v>
      </c>
      <c r="AF87" s="61">
        <f>AF2*AF5</f>
        <v>4765136.8049999997</v>
      </c>
      <c r="AG87" s="61">
        <f>AG2*AG5</f>
        <v>0</v>
      </c>
      <c r="AH87" s="61">
        <f>AH2*AH5</f>
        <v>0</v>
      </c>
      <c r="AI87" s="61">
        <f t="shared" ref="AI87:AJ87" si="200">AI2*AI5</f>
        <v>0</v>
      </c>
      <c r="AJ87" s="61">
        <f t="shared" si="200"/>
        <v>4765136.8049999997</v>
      </c>
      <c r="AL87" s="61">
        <f>AL2*AL5</f>
        <v>0</v>
      </c>
      <c r="AM87" s="61">
        <f>AM2*AM5</f>
        <v>0</v>
      </c>
      <c r="AN87" s="61">
        <f>AN2*AN5</f>
        <v>0</v>
      </c>
      <c r="AO87" s="61">
        <f t="shared" ref="AO87:AP87" si="201">AO2*AO5</f>
        <v>0</v>
      </c>
      <c r="AP87" s="61">
        <f t="shared" si="201"/>
        <v>0</v>
      </c>
      <c r="AR87" s="61">
        <f>AR2*AR5</f>
        <v>1226550</v>
      </c>
      <c r="AS87" s="61">
        <f>AS2*AS5</f>
        <v>0</v>
      </c>
      <c r="AT87" s="61">
        <f>AT2*AT5</f>
        <v>0</v>
      </c>
      <c r="AU87" s="61">
        <f t="shared" ref="AU87:AV87" si="202">AU2*AU5</f>
        <v>0</v>
      </c>
      <c r="AV87" s="61">
        <f t="shared" si="202"/>
        <v>1226550</v>
      </c>
      <c r="AX87" s="7">
        <f>B87+H87+N87+T87+Z87+AF87+AL87+AR87</f>
        <v>63616597.004999988</v>
      </c>
      <c r="AY87" s="7">
        <f t="shared" ref="AY87:BA98" si="203">C87+I87+O87+U87+AA87+AG87+AM87+AS87</f>
        <v>0</v>
      </c>
      <c r="AZ87" s="7">
        <f t="shared" si="203"/>
        <v>0</v>
      </c>
      <c r="BA87" s="7">
        <f t="shared" si="203"/>
        <v>0</v>
      </c>
      <c r="BB87" s="7">
        <f t="shared" si="155"/>
        <v>63616597.004999988</v>
      </c>
    </row>
    <row r="88" spans="1:54" x14ac:dyDescent="0.25">
      <c r="A88" s="62" t="s">
        <v>201</v>
      </c>
      <c r="B88" s="61">
        <f>B3*B5</f>
        <v>0</v>
      </c>
      <c r="C88" s="61">
        <f>C3*C5</f>
        <v>0</v>
      </c>
      <c r="D88" s="61">
        <f>D3*D5</f>
        <v>0</v>
      </c>
      <c r="E88" s="61">
        <f t="shared" ref="E88:F88" si="204">E3*E5</f>
        <v>0</v>
      </c>
      <c r="F88" s="61">
        <f t="shared" si="204"/>
        <v>0</v>
      </c>
      <c r="H88" s="61">
        <f>H3*H5</f>
        <v>0</v>
      </c>
      <c r="I88" s="61">
        <f>I3*I5</f>
        <v>0</v>
      </c>
      <c r="J88" s="61">
        <f>J3*J5</f>
        <v>0</v>
      </c>
      <c r="K88" s="61">
        <f t="shared" ref="K88:L88" si="205">K3*K5</f>
        <v>0</v>
      </c>
      <c r="L88" s="61">
        <f t="shared" si="205"/>
        <v>0</v>
      </c>
      <c r="N88" s="61">
        <f>N3*N5</f>
        <v>0</v>
      </c>
      <c r="O88" s="61">
        <f>O3*O5</f>
        <v>0</v>
      </c>
      <c r="P88" s="61">
        <f>P3*P5</f>
        <v>0</v>
      </c>
      <c r="Q88" s="61">
        <f t="shared" ref="Q88:R88" si="206">Q3*Q5</f>
        <v>0</v>
      </c>
      <c r="R88" s="61">
        <f t="shared" si="206"/>
        <v>0</v>
      </c>
      <c r="T88" s="61">
        <f>T3*T5</f>
        <v>0</v>
      </c>
      <c r="U88" s="61">
        <f>U3*U5</f>
        <v>0</v>
      </c>
      <c r="V88" s="61">
        <f>V3*V5</f>
        <v>0</v>
      </c>
      <c r="W88" s="61">
        <f t="shared" ref="W88:X88" si="207">W3*W5</f>
        <v>0</v>
      </c>
      <c r="X88" s="61">
        <f t="shared" si="207"/>
        <v>0</v>
      </c>
      <c r="Z88" s="61">
        <f>Z3*Z5</f>
        <v>0</v>
      </c>
      <c r="AA88" s="61">
        <f>AA3*AA5</f>
        <v>0</v>
      </c>
      <c r="AB88" s="61">
        <f>AB3*AB5</f>
        <v>0</v>
      </c>
      <c r="AC88" s="61">
        <f t="shared" ref="AC88:AD88" si="208">AC3*AC5</f>
        <v>0</v>
      </c>
      <c r="AD88" s="61">
        <f t="shared" si="208"/>
        <v>0</v>
      </c>
      <c r="AF88" s="61">
        <f>AF3*AF5</f>
        <v>0</v>
      </c>
      <c r="AG88" s="61">
        <f>AG3*AG5</f>
        <v>0</v>
      </c>
      <c r="AH88" s="61">
        <f>AH3*AH5</f>
        <v>0</v>
      </c>
      <c r="AI88" s="61">
        <f t="shared" ref="AI88:AJ88" si="209">AI3*AI5</f>
        <v>0</v>
      </c>
      <c r="AJ88" s="61">
        <f t="shared" si="209"/>
        <v>0</v>
      </c>
      <c r="AL88" s="61">
        <f>AL3*AL5</f>
        <v>0</v>
      </c>
      <c r="AM88" s="61">
        <f>AM3*AM5</f>
        <v>0</v>
      </c>
      <c r="AN88" s="61">
        <f>AN3*AN5</f>
        <v>0</v>
      </c>
      <c r="AO88" s="61">
        <f t="shared" ref="AO88:AP88" si="210">AO3*AO5</f>
        <v>0</v>
      </c>
      <c r="AP88" s="61">
        <f t="shared" si="210"/>
        <v>0</v>
      </c>
      <c r="AR88" s="61">
        <f>AR3*AR5</f>
        <v>0</v>
      </c>
      <c r="AS88" s="61">
        <f>AS3*AS5</f>
        <v>0</v>
      </c>
      <c r="AT88" s="61">
        <f>AT3*AT5</f>
        <v>0</v>
      </c>
      <c r="AU88" s="61">
        <f t="shared" ref="AU88:AV88" si="211">AU3*AU5</f>
        <v>0</v>
      </c>
      <c r="AV88" s="61">
        <f t="shared" si="211"/>
        <v>0</v>
      </c>
      <c r="AX88" s="7">
        <f t="shared" ref="AX88:AX98" si="212">B88+H88+N88+T88+Z88+AF88+AL88+AR88</f>
        <v>0</v>
      </c>
      <c r="AY88" s="7">
        <f t="shared" si="203"/>
        <v>0</v>
      </c>
      <c r="AZ88" s="7">
        <f t="shared" si="203"/>
        <v>0</v>
      </c>
      <c r="BA88" s="7">
        <f t="shared" si="203"/>
        <v>0</v>
      </c>
      <c r="BB88" s="7">
        <f t="shared" si="155"/>
        <v>0</v>
      </c>
    </row>
    <row r="89" spans="1:54" x14ac:dyDescent="0.25">
      <c r="A89" s="62" t="s">
        <v>71</v>
      </c>
      <c r="B89" s="61">
        <f t="shared" ref="B89:F98" si="213">B76</f>
        <v>0</v>
      </c>
      <c r="C89" s="61">
        <f t="shared" si="213"/>
        <v>0</v>
      </c>
      <c r="D89" s="61">
        <f t="shared" si="213"/>
        <v>0</v>
      </c>
      <c r="E89" s="61">
        <f t="shared" si="213"/>
        <v>224078.40000000002</v>
      </c>
      <c r="F89" s="61">
        <f t="shared" si="213"/>
        <v>224078.40000000002</v>
      </c>
      <c r="H89" s="61">
        <f t="shared" ref="H89:L98" si="214">H76</f>
        <v>0</v>
      </c>
      <c r="I89" s="61">
        <f t="shared" si="214"/>
        <v>0</v>
      </c>
      <c r="J89" s="61">
        <f t="shared" si="214"/>
        <v>0</v>
      </c>
      <c r="K89" s="61">
        <f t="shared" si="214"/>
        <v>599508</v>
      </c>
      <c r="L89" s="61">
        <f t="shared" si="214"/>
        <v>599508</v>
      </c>
      <c r="N89" s="61">
        <f t="shared" ref="N89:R98" si="215">N76</f>
        <v>0</v>
      </c>
      <c r="O89" s="61">
        <f t="shared" si="215"/>
        <v>0</v>
      </c>
      <c r="P89" s="61">
        <f t="shared" si="215"/>
        <v>0</v>
      </c>
      <c r="Q89" s="61">
        <f t="shared" si="215"/>
        <v>192024</v>
      </c>
      <c r="R89" s="61">
        <f t="shared" si="215"/>
        <v>192024</v>
      </c>
      <c r="T89" s="61">
        <f t="shared" ref="T89:X98" si="216">T76</f>
        <v>0</v>
      </c>
      <c r="U89" s="61">
        <f t="shared" si="216"/>
        <v>0</v>
      </c>
      <c r="V89" s="61">
        <f t="shared" si="216"/>
        <v>0</v>
      </c>
      <c r="W89" s="61">
        <f t="shared" si="216"/>
        <v>114817.5</v>
      </c>
      <c r="X89" s="61">
        <f t="shared" si="216"/>
        <v>114817.5</v>
      </c>
      <c r="Z89" s="61">
        <f t="shared" ref="Z89:AD98" si="217">Z76</f>
        <v>0</v>
      </c>
      <c r="AA89" s="61">
        <f t="shared" si="217"/>
        <v>0</v>
      </c>
      <c r="AB89" s="61">
        <f t="shared" si="217"/>
        <v>0</v>
      </c>
      <c r="AC89" s="61">
        <f t="shared" si="217"/>
        <v>340804.80000000005</v>
      </c>
      <c r="AD89" s="61">
        <f t="shared" si="217"/>
        <v>340804.80000000005</v>
      </c>
      <c r="AF89" s="61">
        <f t="shared" ref="AF89:AJ89" si="218">AF76</f>
        <v>0</v>
      </c>
      <c r="AG89" s="61">
        <f t="shared" si="218"/>
        <v>0</v>
      </c>
      <c r="AH89" s="61">
        <f t="shared" si="218"/>
        <v>0</v>
      </c>
      <c r="AI89" s="61">
        <f t="shared" si="218"/>
        <v>278640</v>
      </c>
      <c r="AJ89" s="61">
        <f t="shared" si="218"/>
        <v>278640</v>
      </c>
      <c r="AL89" s="61">
        <f t="shared" ref="AL89:AP98" si="219">AL76</f>
        <v>0</v>
      </c>
      <c r="AM89" s="61">
        <f t="shared" si="219"/>
        <v>0</v>
      </c>
      <c r="AN89" s="61">
        <f t="shared" si="219"/>
        <v>0</v>
      </c>
      <c r="AO89" s="61">
        <f t="shared" si="219"/>
        <v>0</v>
      </c>
      <c r="AP89" s="61">
        <f t="shared" si="219"/>
        <v>0</v>
      </c>
      <c r="AR89" s="61">
        <f t="shared" ref="AR89:AV98" si="220">AR76</f>
        <v>0</v>
      </c>
      <c r="AS89" s="61">
        <f t="shared" si="220"/>
        <v>0</v>
      </c>
      <c r="AT89" s="61">
        <f t="shared" si="220"/>
        <v>0</v>
      </c>
      <c r="AU89" s="61">
        <f t="shared" si="220"/>
        <v>39168.000000000007</v>
      </c>
      <c r="AV89" s="61">
        <f t="shared" si="220"/>
        <v>39168.000000000007</v>
      </c>
      <c r="AX89" s="7">
        <f t="shared" si="212"/>
        <v>0</v>
      </c>
      <c r="AY89" s="7">
        <f t="shared" si="203"/>
        <v>0</v>
      </c>
      <c r="AZ89" s="7">
        <f t="shared" si="203"/>
        <v>0</v>
      </c>
      <c r="BA89" s="7">
        <f t="shared" si="203"/>
        <v>1789040.7</v>
      </c>
      <c r="BB89" s="7">
        <f t="shared" si="155"/>
        <v>1789040.7</v>
      </c>
    </row>
    <row r="90" spans="1:54" x14ac:dyDescent="0.25">
      <c r="A90" s="62" t="s">
        <v>72</v>
      </c>
      <c r="B90" s="61">
        <f t="shared" si="213"/>
        <v>0</v>
      </c>
      <c r="C90" s="61">
        <f t="shared" si="213"/>
        <v>0</v>
      </c>
      <c r="D90" s="61">
        <f t="shared" si="213"/>
        <v>95942.602892102339</v>
      </c>
      <c r="E90" s="61">
        <f t="shared" si="213"/>
        <v>0</v>
      </c>
      <c r="F90" s="61">
        <f t="shared" si="213"/>
        <v>95942.602892102339</v>
      </c>
      <c r="H90" s="61">
        <f t="shared" si="214"/>
        <v>0</v>
      </c>
      <c r="I90" s="61">
        <f t="shared" si="214"/>
        <v>0</v>
      </c>
      <c r="J90" s="61">
        <f t="shared" si="214"/>
        <v>287038.43582887703</v>
      </c>
      <c r="K90" s="61">
        <f t="shared" si="214"/>
        <v>0</v>
      </c>
      <c r="L90" s="61">
        <f t="shared" si="214"/>
        <v>287038.43582887703</v>
      </c>
      <c r="N90" s="61">
        <f t="shared" si="215"/>
        <v>0</v>
      </c>
      <c r="O90" s="61">
        <f t="shared" si="215"/>
        <v>0</v>
      </c>
      <c r="P90" s="61">
        <f t="shared" si="215"/>
        <v>70300</v>
      </c>
      <c r="Q90" s="61">
        <f t="shared" si="215"/>
        <v>0</v>
      </c>
      <c r="R90" s="61">
        <f t="shared" si="215"/>
        <v>70300</v>
      </c>
      <c r="T90" s="61">
        <f t="shared" si="216"/>
        <v>0</v>
      </c>
      <c r="U90" s="61">
        <f t="shared" si="216"/>
        <v>0</v>
      </c>
      <c r="V90" s="61">
        <f t="shared" si="216"/>
        <v>103969.14095079232</v>
      </c>
      <c r="W90" s="61">
        <f t="shared" si="216"/>
        <v>0</v>
      </c>
      <c r="X90" s="61">
        <f t="shared" si="216"/>
        <v>103969.14095079232</v>
      </c>
      <c r="Z90" s="61">
        <f t="shared" si="217"/>
        <v>0</v>
      </c>
      <c r="AA90" s="61">
        <f t="shared" si="217"/>
        <v>0</v>
      </c>
      <c r="AB90" s="61">
        <f t="shared" si="217"/>
        <v>175197.27272727271</v>
      </c>
      <c r="AC90" s="61">
        <f t="shared" si="217"/>
        <v>0</v>
      </c>
      <c r="AD90" s="61">
        <f t="shared" si="217"/>
        <v>175197.27272727271</v>
      </c>
      <c r="AF90" s="61">
        <f t="shared" ref="AF90:AJ90" si="221">AF77</f>
        <v>0</v>
      </c>
      <c r="AG90" s="61">
        <f t="shared" si="221"/>
        <v>0</v>
      </c>
      <c r="AH90" s="61">
        <f t="shared" si="221"/>
        <v>38000</v>
      </c>
      <c r="AI90" s="61">
        <f t="shared" si="221"/>
        <v>0</v>
      </c>
      <c r="AJ90" s="61">
        <f t="shared" si="221"/>
        <v>38000</v>
      </c>
      <c r="AL90" s="61">
        <f t="shared" si="219"/>
        <v>0</v>
      </c>
      <c r="AM90" s="61">
        <f t="shared" si="219"/>
        <v>0</v>
      </c>
      <c r="AN90" s="61">
        <f t="shared" si="219"/>
        <v>0</v>
      </c>
      <c r="AO90" s="61">
        <f t="shared" si="219"/>
        <v>0</v>
      </c>
      <c r="AP90" s="61">
        <f t="shared" si="219"/>
        <v>0</v>
      </c>
      <c r="AR90" s="61">
        <f t="shared" si="220"/>
        <v>0</v>
      </c>
      <c r="AS90" s="61">
        <f t="shared" si="220"/>
        <v>0</v>
      </c>
      <c r="AT90" s="61">
        <f t="shared" si="220"/>
        <v>9500</v>
      </c>
      <c r="AU90" s="61">
        <f t="shared" si="220"/>
        <v>0</v>
      </c>
      <c r="AV90" s="61">
        <f t="shared" si="220"/>
        <v>9500</v>
      </c>
      <c r="AX90" s="7">
        <f t="shared" si="212"/>
        <v>0</v>
      </c>
      <c r="AY90" s="7">
        <f t="shared" si="203"/>
        <v>0</v>
      </c>
      <c r="AZ90" s="7">
        <f t="shared" si="203"/>
        <v>779947.45239904441</v>
      </c>
      <c r="BA90" s="7">
        <f t="shared" si="203"/>
        <v>0</v>
      </c>
      <c r="BB90" s="7">
        <f t="shared" si="155"/>
        <v>779947.45239904441</v>
      </c>
    </row>
    <row r="91" spans="1:54" x14ac:dyDescent="0.25">
      <c r="A91" s="141" t="s">
        <v>73</v>
      </c>
      <c r="B91" s="61">
        <f t="shared" si="213"/>
        <v>0</v>
      </c>
      <c r="C91" s="61">
        <f t="shared" si="213"/>
        <v>0</v>
      </c>
      <c r="D91" s="61">
        <f t="shared" si="213"/>
        <v>252480.53392658508</v>
      </c>
      <c r="E91" s="61">
        <f t="shared" si="213"/>
        <v>0</v>
      </c>
      <c r="F91" s="61">
        <f t="shared" si="213"/>
        <v>252480.53392658508</v>
      </c>
      <c r="H91" s="61">
        <f t="shared" si="214"/>
        <v>0</v>
      </c>
      <c r="I91" s="61">
        <f t="shared" si="214"/>
        <v>0</v>
      </c>
      <c r="J91" s="61">
        <f t="shared" si="214"/>
        <v>755364.30481283437</v>
      </c>
      <c r="K91" s="61">
        <f t="shared" si="214"/>
        <v>0</v>
      </c>
      <c r="L91" s="61">
        <f t="shared" si="214"/>
        <v>755364.30481283437</v>
      </c>
      <c r="N91" s="61">
        <f t="shared" si="215"/>
        <v>0</v>
      </c>
      <c r="O91" s="61">
        <f t="shared" si="215"/>
        <v>0</v>
      </c>
      <c r="P91" s="61">
        <f t="shared" si="215"/>
        <v>185000</v>
      </c>
      <c r="Q91" s="61">
        <f t="shared" si="215"/>
        <v>0</v>
      </c>
      <c r="R91" s="61">
        <f t="shared" si="215"/>
        <v>185000</v>
      </c>
      <c r="T91" s="61">
        <f t="shared" si="216"/>
        <v>0</v>
      </c>
      <c r="U91" s="61">
        <f t="shared" si="216"/>
        <v>0</v>
      </c>
      <c r="V91" s="61">
        <f t="shared" si="216"/>
        <v>273603.00250208506</v>
      </c>
      <c r="W91" s="61">
        <f t="shared" si="216"/>
        <v>0</v>
      </c>
      <c r="X91" s="61">
        <f t="shared" si="216"/>
        <v>273603.00250208506</v>
      </c>
      <c r="Z91" s="61">
        <f t="shared" si="217"/>
        <v>0</v>
      </c>
      <c r="AA91" s="61">
        <f t="shared" si="217"/>
        <v>0</v>
      </c>
      <c r="AB91" s="61">
        <f t="shared" si="217"/>
        <v>461045.45454545453</v>
      </c>
      <c r="AC91" s="61">
        <f t="shared" si="217"/>
        <v>0</v>
      </c>
      <c r="AD91" s="61">
        <f t="shared" si="217"/>
        <v>461045.45454545453</v>
      </c>
      <c r="AF91" s="61">
        <f t="shared" ref="AF91:AJ91" si="222">AF78</f>
        <v>0</v>
      </c>
      <c r="AG91" s="61">
        <f t="shared" si="222"/>
        <v>0</v>
      </c>
      <c r="AH91" s="61">
        <f t="shared" si="222"/>
        <v>0</v>
      </c>
      <c r="AI91" s="61">
        <f t="shared" si="222"/>
        <v>0</v>
      </c>
      <c r="AJ91" s="61">
        <f t="shared" si="222"/>
        <v>0</v>
      </c>
      <c r="AL91" s="61">
        <f t="shared" si="219"/>
        <v>0</v>
      </c>
      <c r="AM91" s="61">
        <f t="shared" si="219"/>
        <v>0</v>
      </c>
      <c r="AN91" s="61">
        <f t="shared" si="219"/>
        <v>0</v>
      </c>
      <c r="AO91" s="61">
        <f t="shared" si="219"/>
        <v>0</v>
      </c>
      <c r="AP91" s="61">
        <f t="shared" si="219"/>
        <v>0</v>
      </c>
      <c r="AR91" s="61">
        <f t="shared" si="220"/>
        <v>0</v>
      </c>
      <c r="AS91" s="61">
        <f t="shared" si="220"/>
        <v>0</v>
      </c>
      <c r="AT91" s="61">
        <f t="shared" si="220"/>
        <v>25000</v>
      </c>
      <c r="AU91" s="61">
        <f t="shared" si="220"/>
        <v>0</v>
      </c>
      <c r="AV91" s="61">
        <f t="shared" si="220"/>
        <v>25000</v>
      </c>
      <c r="AX91" s="7">
        <f t="shared" si="212"/>
        <v>0</v>
      </c>
      <c r="AY91" s="7">
        <f t="shared" si="203"/>
        <v>0</v>
      </c>
      <c r="AZ91" s="7">
        <f t="shared" si="203"/>
        <v>1952493.2957869591</v>
      </c>
      <c r="BA91" s="7">
        <f t="shared" si="203"/>
        <v>0</v>
      </c>
      <c r="BB91" s="7">
        <f t="shared" si="155"/>
        <v>1952493.2957869591</v>
      </c>
    </row>
    <row r="92" spans="1:54" x14ac:dyDescent="0.25">
      <c r="A92" s="62" t="s">
        <v>74</v>
      </c>
      <c r="B92" s="61">
        <f t="shared" si="213"/>
        <v>0</v>
      </c>
      <c r="C92" s="61">
        <f t="shared" si="213"/>
        <v>25534.371523915463</v>
      </c>
      <c r="D92" s="61">
        <f t="shared" si="213"/>
        <v>0</v>
      </c>
      <c r="E92" s="61">
        <f t="shared" si="213"/>
        <v>0</v>
      </c>
      <c r="F92" s="61">
        <f t="shared" si="213"/>
        <v>25534.371523915463</v>
      </c>
      <c r="H92" s="61">
        <f t="shared" si="214"/>
        <v>0</v>
      </c>
      <c r="I92" s="61">
        <f t="shared" si="214"/>
        <v>57200.955882352937</v>
      </c>
      <c r="J92" s="61">
        <f t="shared" si="214"/>
        <v>0</v>
      </c>
      <c r="K92" s="61">
        <f t="shared" si="214"/>
        <v>0</v>
      </c>
      <c r="L92" s="61">
        <f t="shared" si="214"/>
        <v>57200.955882352937</v>
      </c>
      <c r="N92" s="61">
        <f t="shared" si="215"/>
        <v>0</v>
      </c>
      <c r="O92" s="61">
        <f t="shared" si="215"/>
        <v>29430</v>
      </c>
      <c r="P92" s="61">
        <f t="shared" si="215"/>
        <v>0</v>
      </c>
      <c r="Q92" s="61">
        <f t="shared" si="215"/>
        <v>0</v>
      </c>
      <c r="R92" s="61">
        <f t="shared" si="215"/>
        <v>29430</v>
      </c>
      <c r="T92" s="61">
        <f t="shared" si="216"/>
        <v>0</v>
      </c>
      <c r="U92" s="61">
        <f t="shared" si="216"/>
        <v>13254.545454545456</v>
      </c>
      <c r="V92" s="61">
        <f t="shared" si="216"/>
        <v>0</v>
      </c>
      <c r="W92" s="61">
        <f t="shared" si="216"/>
        <v>0</v>
      </c>
      <c r="X92" s="61">
        <f t="shared" si="216"/>
        <v>13254.545454545456</v>
      </c>
      <c r="Z92" s="61">
        <f t="shared" si="217"/>
        <v>0</v>
      </c>
      <c r="AA92" s="61">
        <f t="shared" si="217"/>
        <v>40555.822966507178</v>
      </c>
      <c r="AB92" s="61">
        <f t="shared" si="217"/>
        <v>0</v>
      </c>
      <c r="AC92" s="61">
        <f t="shared" si="217"/>
        <v>0</v>
      </c>
      <c r="AD92" s="61">
        <f t="shared" si="217"/>
        <v>40555.822966507178</v>
      </c>
      <c r="AF92" s="61">
        <f t="shared" ref="AF92:AJ92" si="223">AF79</f>
        <v>0</v>
      </c>
      <c r="AG92" s="61">
        <f t="shared" si="223"/>
        <v>0</v>
      </c>
      <c r="AH92" s="61">
        <f t="shared" si="223"/>
        <v>0</v>
      </c>
      <c r="AI92" s="61">
        <f t="shared" si="223"/>
        <v>0</v>
      </c>
      <c r="AJ92" s="61">
        <f t="shared" si="223"/>
        <v>0</v>
      </c>
      <c r="AL92" s="61">
        <f t="shared" si="219"/>
        <v>0</v>
      </c>
      <c r="AM92" s="61">
        <f t="shared" si="219"/>
        <v>0</v>
      </c>
      <c r="AN92" s="61">
        <f t="shared" si="219"/>
        <v>0</v>
      </c>
      <c r="AO92" s="61">
        <f t="shared" si="219"/>
        <v>0</v>
      </c>
      <c r="AP92" s="61">
        <f t="shared" si="219"/>
        <v>0</v>
      </c>
      <c r="AR92" s="61">
        <f t="shared" si="220"/>
        <v>0</v>
      </c>
      <c r="AS92" s="61">
        <f t="shared" si="220"/>
        <v>0</v>
      </c>
      <c r="AT92" s="61">
        <f t="shared" si="220"/>
        <v>0</v>
      </c>
      <c r="AU92" s="61">
        <f t="shared" si="220"/>
        <v>0</v>
      </c>
      <c r="AV92" s="61">
        <f t="shared" si="220"/>
        <v>0</v>
      </c>
      <c r="AX92" s="7">
        <f t="shared" si="212"/>
        <v>0</v>
      </c>
      <c r="AY92" s="7">
        <f t="shared" si="203"/>
        <v>165975.69582732103</v>
      </c>
      <c r="AZ92" s="7">
        <f t="shared" si="203"/>
        <v>0</v>
      </c>
      <c r="BA92" s="7">
        <f t="shared" si="203"/>
        <v>0</v>
      </c>
      <c r="BB92" s="7">
        <f t="shared" si="155"/>
        <v>165975.69582732103</v>
      </c>
    </row>
    <row r="93" spans="1:54" x14ac:dyDescent="0.25">
      <c r="A93" s="62" t="s">
        <v>75</v>
      </c>
      <c r="B93" s="61">
        <f t="shared" si="213"/>
        <v>0</v>
      </c>
      <c r="C93" s="61">
        <f t="shared" si="213"/>
        <v>38847.644048943272</v>
      </c>
      <c r="D93" s="61">
        <f t="shared" si="213"/>
        <v>0</v>
      </c>
      <c r="E93" s="61">
        <f t="shared" si="213"/>
        <v>0</v>
      </c>
      <c r="F93" s="61">
        <f t="shared" si="213"/>
        <v>38847.644048943272</v>
      </c>
      <c r="H93" s="61">
        <f t="shared" si="214"/>
        <v>0</v>
      </c>
      <c r="I93" s="61">
        <f t="shared" si="214"/>
        <v>46748.834224598933</v>
      </c>
      <c r="J93" s="61">
        <f t="shared" si="214"/>
        <v>0</v>
      </c>
      <c r="K93" s="61">
        <f t="shared" si="214"/>
        <v>0</v>
      </c>
      <c r="L93" s="61">
        <f t="shared" si="214"/>
        <v>46748.834224598933</v>
      </c>
      <c r="N93" s="61">
        <f t="shared" si="215"/>
        <v>0</v>
      </c>
      <c r="O93" s="61">
        <f t="shared" si="215"/>
        <v>39008</v>
      </c>
      <c r="P93" s="61">
        <f t="shared" si="215"/>
        <v>0</v>
      </c>
      <c r="Q93" s="61">
        <f t="shared" si="215"/>
        <v>0</v>
      </c>
      <c r="R93" s="61">
        <f t="shared" si="215"/>
        <v>39008</v>
      </c>
      <c r="T93" s="61">
        <f t="shared" si="216"/>
        <v>0</v>
      </c>
      <c r="U93" s="61">
        <f t="shared" si="216"/>
        <v>66167.339449541279</v>
      </c>
      <c r="V93" s="61">
        <f t="shared" si="216"/>
        <v>0</v>
      </c>
      <c r="W93" s="61">
        <f t="shared" si="216"/>
        <v>0</v>
      </c>
      <c r="X93" s="61">
        <f t="shared" si="216"/>
        <v>66167.339449541279</v>
      </c>
      <c r="Z93" s="61">
        <f t="shared" si="217"/>
        <v>0</v>
      </c>
      <c r="AA93" s="61">
        <f t="shared" si="217"/>
        <v>58530.664114832529</v>
      </c>
      <c r="AB93" s="61">
        <f t="shared" si="217"/>
        <v>0</v>
      </c>
      <c r="AC93" s="61">
        <f t="shared" si="217"/>
        <v>0</v>
      </c>
      <c r="AD93" s="61">
        <f t="shared" si="217"/>
        <v>58530.664114832529</v>
      </c>
      <c r="AF93" s="61">
        <f t="shared" ref="AF93:AJ93" si="224">AF80</f>
        <v>0</v>
      </c>
      <c r="AG93" s="61">
        <f t="shared" si="224"/>
        <v>0</v>
      </c>
      <c r="AH93" s="61">
        <f t="shared" si="224"/>
        <v>0</v>
      </c>
      <c r="AI93" s="61">
        <f t="shared" si="224"/>
        <v>0</v>
      </c>
      <c r="AJ93" s="61">
        <f t="shared" si="224"/>
        <v>0</v>
      </c>
      <c r="AL93" s="61">
        <f t="shared" si="219"/>
        <v>0</v>
      </c>
      <c r="AM93" s="61">
        <f t="shared" si="219"/>
        <v>0</v>
      </c>
      <c r="AN93" s="61">
        <f t="shared" si="219"/>
        <v>0</v>
      </c>
      <c r="AO93" s="61">
        <f t="shared" si="219"/>
        <v>0</v>
      </c>
      <c r="AP93" s="61">
        <f t="shared" si="219"/>
        <v>0</v>
      </c>
      <c r="AR93" s="61">
        <f t="shared" si="220"/>
        <v>0</v>
      </c>
      <c r="AS93" s="61">
        <f t="shared" si="220"/>
        <v>0</v>
      </c>
      <c r="AT93" s="61">
        <f t="shared" si="220"/>
        <v>0</v>
      </c>
      <c r="AU93" s="61">
        <f t="shared" si="220"/>
        <v>0</v>
      </c>
      <c r="AV93" s="61">
        <f t="shared" si="220"/>
        <v>0</v>
      </c>
      <c r="AX93" s="7">
        <f t="shared" si="212"/>
        <v>0</v>
      </c>
      <c r="AY93" s="7">
        <f t="shared" si="203"/>
        <v>249302.48183791601</v>
      </c>
      <c r="AZ93" s="7">
        <f t="shared" si="203"/>
        <v>0</v>
      </c>
      <c r="BA93" s="7">
        <f t="shared" si="203"/>
        <v>0</v>
      </c>
      <c r="BB93" s="7">
        <f t="shared" si="155"/>
        <v>249302.48183791601</v>
      </c>
    </row>
    <row r="94" spans="1:54" x14ac:dyDescent="0.25">
      <c r="A94" s="62" t="s">
        <v>76</v>
      </c>
      <c r="B94" s="61">
        <f t="shared" si="213"/>
        <v>0</v>
      </c>
      <c r="C94" s="61">
        <f t="shared" si="213"/>
        <v>58213.161290322576</v>
      </c>
      <c r="D94" s="61">
        <f t="shared" si="213"/>
        <v>0</v>
      </c>
      <c r="E94" s="61">
        <f t="shared" si="213"/>
        <v>0</v>
      </c>
      <c r="F94" s="61">
        <f t="shared" si="213"/>
        <v>58213.161290322576</v>
      </c>
      <c r="H94" s="61">
        <f t="shared" si="214"/>
        <v>0</v>
      </c>
      <c r="I94" s="61">
        <f t="shared" si="214"/>
        <v>132092.80882352943</v>
      </c>
      <c r="J94" s="61">
        <f t="shared" si="214"/>
        <v>0</v>
      </c>
      <c r="K94" s="61">
        <f t="shared" si="214"/>
        <v>0</v>
      </c>
      <c r="L94" s="61">
        <f t="shared" si="214"/>
        <v>132092.80882352943</v>
      </c>
      <c r="N94" s="61">
        <f t="shared" si="215"/>
        <v>0</v>
      </c>
      <c r="O94" s="61">
        <f t="shared" si="215"/>
        <v>58081</v>
      </c>
      <c r="P94" s="61">
        <f t="shared" si="215"/>
        <v>0</v>
      </c>
      <c r="Q94" s="61">
        <f t="shared" si="215"/>
        <v>0</v>
      </c>
      <c r="R94" s="61">
        <f t="shared" si="215"/>
        <v>58081</v>
      </c>
      <c r="T94" s="61">
        <f t="shared" si="216"/>
        <v>0</v>
      </c>
      <c r="U94" s="61">
        <f t="shared" si="216"/>
        <v>31992.297748123437</v>
      </c>
      <c r="V94" s="61">
        <f t="shared" si="216"/>
        <v>0</v>
      </c>
      <c r="W94" s="61">
        <f t="shared" si="216"/>
        <v>0</v>
      </c>
      <c r="X94" s="61">
        <f t="shared" si="216"/>
        <v>31992.297748123437</v>
      </c>
      <c r="Z94" s="61">
        <f t="shared" si="217"/>
        <v>0</v>
      </c>
      <c r="AA94" s="61">
        <f t="shared" si="217"/>
        <v>63678.196172248798</v>
      </c>
      <c r="AB94" s="61">
        <f t="shared" si="217"/>
        <v>0</v>
      </c>
      <c r="AC94" s="61">
        <f t="shared" si="217"/>
        <v>0</v>
      </c>
      <c r="AD94" s="61">
        <f t="shared" si="217"/>
        <v>63678.196172248798</v>
      </c>
      <c r="AF94" s="61">
        <f t="shared" ref="AF94:AJ94" si="225">AF81</f>
        <v>0</v>
      </c>
      <c r="AG94" s="61">
        <f t="shared" si="225"/>
        <v>0</v>
      </c>
      <c r="AH94" s="61">
        <f t="shared" si="225"/>
        <v>0</v>
      </c>
      <c r="AI94" s="61">
        <f t="shared" si="225"/>
        <v>0</v>
      </c>
      <c r="AJ94" s="61">
        <f t="shared" si="225"/>
        <v>0</v>
      </c>
      <c r="AL94" s="61">
        <f t="shared" si="219"/>
        <v>0</v>
      </c>
      <c r="AM94" s="61">
        <f t="shared" si="219"/>
        <v>0</v>
      </c>
      <c r="AN94" s="61">
        <f t="shared" si="219"/>
        <v>0</v>
      </c>
      <c r="AO94" s="61">
        <f t="shared" si="219"/>
        <v>0</v>
      </c>
      <c r="AP94" s="61">
        <f t="shared" si="219"/>
        <v>0</v>
      </c>
      <c r="AR94" s="61">
        <f t="shared" si="220"/>
        <v>0</v>
      </c>
      <c r="AS94" s="61">
        <f t="shared" si="220"/>
        <v>9640</v>
      </c>
      <c r="AT94" s="61">
        <f t="shared" si="220"/>
        <v>0</v>
      </c>
      <c r="AU94" s="61">
        <f t="shared" si="220"/>
        <v>0</v>
      </c>
      <c r="AV94" s="61">
        <f t="shared" si="220"/>
        <v>9640</v>
      </c>
      <c r="AX94" s="7">
        <f t="shared" si="212"/>
        <v>0</v>
      </c>
      <c r="AY94" s="7">
        <f t="shared" si="203"/>
        <v>353697.46403422422</v>
      </c>
      <c r="AZ94" s="7">
        <f t="shared" si="203"/>
        <v>0</v>
      </c>
      <c r="BA94" s="7">
        <f t="shared" si="203"/>
        <v>0</v>
      </c>
      <c r="BB94" s="7">
        <f t="shared" si="155"/>
        <v>353697.46403422422</v>
      </c>
    </row>
    <row r="95" spans="1:54" x14ac:dyDescent="0.25">
      <c r="A95" s="62" t="s">
        <v>202</v>
      </c>
      <c r="B95" s="61">
        <f t="shared" si="213"/>
        <v>0</v>
      </c>
      <c r="C95" s="61">
        <f t="shared" si="213"/>
        <v>0</v>
      </c>
      <c r="D95" s="61">
        <f t="shared" si="213"/>
        <v>0</v>
      </c>
      <c r="E95" s="61">
        <f t="shared" si="213"/>
        <v>0</v>
      </c>
      <c r="F95" s="61">
        <f t="shared" si="213"/>
        <v>0</v>
      </c>
      <c r="H95" s="61">
        <f t="shared" si="214"/>
        <v>170000</v>
      </c>
      <c r="I95" s="61">
        <f t="shared" si="214"/>
        <v>0</v>
      </c>
      <c r="J95" s="61">
        <f t="shared" si="214"/>
        <v>0</v>
      </c>
      <c r="K95" s="61">
        <f t="shared" si="214"/>
        <v>0</v>
      </c>
      <c r="L95" s="61">
        <f t="shared" si="214"/>
        <v>170000</v>
      </c>
      <c r="N95" s="61">
        <f t="shared" si="215"/>
        <v>0</v>
      </c>
      <c r="O95" s="61">
        <f t="shared" si="215"/>
        <v>0</v>
      </c>
      <c r="P95" s="61">
        <f t="shared" si="215"/>
        <v>0</v>
      </c>
      <c r="Q95" s="61">
        <f t="shared" si="215"/>
        <v>0</v>
      </c>
      <c r="R95" s="61">
        <f t="shared" si="215"/>
        <v>0</v>
      </c>
      <c r="T95" s="61">
        <f t="shared" si="216"/>
        <v>0</v>
      </c>
      <c r="U95" s="61">
        <f t="shared" si="216"/>
        <v>0</v>
      </c>
      <c r="V95" s="61">
        <f t="shared" si="216"/>
        <v>0</v>
      </c>
      <c r="W95" s="61">
        <f t="shared" si="216"/>
        <v>0</v>
      </c>
      <c r="X95" s="61">
        <f t="shared" si="216"/>
        <v>0</v>
      </c>
      <c r="Z95" s="61">
        <f t="shared" si="217"/>
        <v>0</v>
      </c>
      <c r="AA95" s="61">
        <f t="shared" si="217"/>
        <v>0</v>
      </c>
      <c r="AB95" s="61">
        <f t="shared" si="217"/>
        <v>0</v>
      </c>
      <c r="AC95" s="61">
        <f t="shared" si="217"/>
        <v>0</v>
      </c>
      <c r="AD95" s="61">
        <f t="shared" si="217"/>
        <v>0</v>
      </c>
      <c r="AF95" s="61">
        <f t="shared" ref="AF95:AJ95" si="226">AF82</f>
        <v>0</v>
      </c>
      <c r="AG95" s="61">
        <f t="shared" si="226"/>
        <v>0</v>
      </c>
      <c r="AH95" s="61">
        <f t="shared" si="226"/>
        <v>0</v>
      </c>
      <c r="AI95" s="61">
        <f t="shared" si="226"/>
        <v>0</v>
      </c>
      <c r="AJ95" s="61">
        <f t="shared" si="226"/>
        <v>0</v>
      </c>
      <c r="AL95" s="61">
        <f t="shared" si="219"/>
        <v>0</v>
      </c>
      <c r="AM95" s="61">
        <f t="shared" si="219"/>
        <v>0</v>
      </c>
      <c r="AN95" s="61">
        <f t="shared" si="219"/>
        <v>0</v>
      </c>
      <c r="AO95" s="61">
        <f t="shared" si="219"/>
        <v>0</v>
      </c>
      <c r="AP95" s="61">
        <f t="shared" si="219"/>
        <v>0</v>
      </c>
      <c r="AR95" s="61">
        <f t="shared" si="220"/>
        <v>0</v>
      </c>
      <c r="AS95" s="61">
        <f t="shared" si="220"/>
        <v>0</v>
      </c>
      <c r="AT95" s="61">
        <f t="shared" si="220"/>
        <v>0</v>
      </c>
      <c r="AU95" s="61">
        <f t="shared" si="220"/>
        <v>0</v>
      </c>
      <c r="AV95" s="61">
        <f t="shared" si="220"/>
        <v>0</v>
      </c>
      <c r="AX95" s="7">
        <f t="shared" si="212"/>
        <v>170000</v>
      </c>
      <c r="AY95" s="7">
        <f t="shared" si="203"/>
        <v>0</v>
      </c>
      <c r="AZ95" s="7">
        <f t="shared" si="203"/>
        <v>0</v>
      </c>
      <c r="BA95" s="7">
        <f t="shared" si="203"/>
        <v>0</v>
      </c>
      <c r="BB95" s="7">
        <f t="shared" si="155"/>
        <v>170000</v>
      </c>
    </row>
    <row r="96" spans="1:54" x14ac:dyDescent="0.25">
      <c r="A96" s="62" t="s">
        <v>203</v>
      </c>
      <c r="B96" s="61">
        <f t="shared" si="213"/>
        <v>0</v>
      </c>
      <c r="C96" s="61">
        <f t="shared" si="213"/>
        <v>0</v>
      </c>
      <c r="D96" s="61">
        <f t="shared" si="213"/>
        <v>0</v>
      </c>
      <c r="E96" s="61">
        <f t="shared" si="213"/>
        <v>0</v>
      </c>
      <c r="F96" s="61">
        <f t="shared" si="213"/>
        <v>0</v>
      </c>
      <c r="H96" s="61">
        <f t="shared" si="214"/>
        <v>0</v>
      </c>
      <c r="I96" s="61">
        <f t="shared" si="214"/>
        <v>0</v>
      </c>
      <c r="J96" s="61">
        <f t="shared" si="214"/>
        <v>0</v>
      </c>
      <c r="K96" s="61">
        <f t="shared" si="214"/>
        <v>0</v>
      </c>
      <c r="L96" s="61">
        <f t="shared" si="214"/>
        <v>0</v>
      </c>
      <c r="N96" s="61">
        <f t="shared" si="215"/>
        <v>0</v>
      </c>
      <c r="O96" s="61">
        <f t="shared" si="215"/>
        <v>0</v>
      </c>
      <c r="P96" s="61">
        <f t="shared" si="215"/>
        <v>0</v>
      </c>
      <c r="Q96" s="61">
        <f t="shared" si="215"/>
        <v>0</v>
      </c>
      <c r="R96" s="61">
        <f t="shared" si="215"/>
        <v>0</v>
      </c>
      <c r="T96" s="61">
        <f t="shared" si="216"/>
        <v>0</v>
      </c>
      <c r="U96" s="61">
        <f t="shared" si="216"/>
        <v>0</v>
      </c>
      <c r="V96" s="61">
        <f t="shared" si="216"/>
        <v>0</v>
      </c>
      <c r="W96" s="61">
        <f t="shared" si="216"/>
        <v>0</v>
      </c>
      <c r="X96" s="61">
        <f t="shared" si="216"/>
        <v>0</v>
      </c>
      <c r="Z96" s="61">
        <f t="shared" si="217"/>
        <v>0</v>
      </c>
      <c r="AA96" s="61">
        <f t="shared" si="217"/>
        <v>0</v>
      </c>
      <c r="AB96" s="61">
        <f t="shared" si="217"/>
        <v>0</v>
      </c>
      <c r="AC96" s="61">
        <f t="shared" si="217"/>
        <v>0</v>
      </c>
      <c r="AD96" s="61">
        <f t="shared" si="217"/>
        <v>0</v>
      </c>
      <c r="AF96" s="61">
        <f t="shared" ref="AF96:AJ96" si="227">AF83</f>
        <v>0</v>
      </c>
      <c r="AG96" s="61">
        <f t="shared" si="227"/>
        <v>0</v>
      </c>
      <c r="AH96" s="61">
        <f t="shared" si="227"/>
        <v>0</v>
      </c>
      <c r="AI96" s="61">
        <f t="shared" si="227"/>
        <v>0</v>
      </c>
      <c r="AJ96" s="61">
        <f t="shared" si="227"/>
        <v>0</v>
      </c>
      <c r="AL96" s="61">
        <f t="shared" si="219"/>
        <v>0</v>
      </c>
      <c r="AM96" s="61">
        <f t="shared" si="219"/>
        <v>0</v>
      </c>
      <c r="AN96" s="61">
        <f t="shared" si="219"/>
        <v>0</v>
      </c>
      <c r="AO96" s="61">
        <f t="shared" si="219"/>
        <v>0</v>
      </c>
      <c r="AP96" s="61">
        <f t="shared" si="219"/>
        <v>0</v>
      </c>
      <c r="AR96" s="61">
        <f t="shared" si="220"/>
        <v>0</v>
      </c>
      <c r="AS96" s="61">
        <f t="shared" si="220"/>
        <v>0</v>
      </c>
      <c r="AT96" s="61">
        <f t="shared" si="220"/>
        <v>0</v>
      </c>
      <c r="AU96" s="61">
        <f t="shared" si="220"/>
        <v>0</v>
      </c>
      <c r="AV96" s="61">
        <f t="shared" si="220"/>
        <v>0</v>
      </c>
      <c r="AX96" s="7">
        <f t="shared" si="212"/>
        <v>0</v>
      </c>
      <c r="AY96" s="7">
        <f t="shared" si="203"/>
        <v>0</v>
      </c>
      <c r="AZ96" s="7">
        <f t="shared" si="203"/>
        <v>0</v>
      </c>
      <c r="BA96" s="7">
        <f t="shared" si="203"/>
        <v>0</v>
      </c>
      <c r="BB96" s="7">
        <f t="shared" si="155"/>
        <v>0</v>
      </c>
    </row>
    <row r="97" spans="1:54" x14ac:dyDescent="0.25">
      <c r="A97" s="62" t="s">
        <v>77</v>
      </c>
      <c r="B97" s="61">
        <f t="shared" si="213"/>
        <v>0</v>
      </c>
      <c r="C97" s="61">
        <f t="shared" si="213"/>
        <v>0</v>
      </c>
      <c r="D97" s="61">
        <f t="shared" si="213"/>
        <v>0</v>
      </c>
      <c r="E97" s="61">
        <f t="shared" si="213"/>
        <v>0</v>
      </c>
      <c r="F97" s="61">
        <f t="shared" si="213"/>
        <v>0</v>
      </c>
      <c r="H97" s="61">
        <f t="shared" si="214"/>
        <v>0</v>
      </c>
      <c r="I97" s="61">
        <f t="shared" si="214"/>
        <v>0</v>
      </c>
      <c r="J97" s="61">
        <f t="shared" si="214"/>
        <v>0</v>
      </c>
      <c r="K97" s="61">
        <f t="shared" si="214"/>
        <v>0</v>
      </c>
      <c r="L97" s="61">
        <f t="shared" si="214"/>
        <v>0</v>
      </c>
      <c r="N97" s="61">
        <f t="shared" si="215"/>
        <v>0</v>
      </c>
      <c r="O97" s="61">
        <f t="shared" si="215"/>
        <v>0</v>
      </c>
      <c r="P97" s="61">
        <f t="shared" si="215"/>
        <v>0</v>
      </c>
      <c r="Q97" s="61">
        <f t="shared" si="215"/>
        <v>0</v>
      </c>
      <c r="R97" s="61">
        <f t="shared" si="215"/>
        <v>0</v>
      </c>
      <c r="T97" s="61">
        <f t="shared" si="216"/>
        <v>0</v>
      </c>
      <c r="U97" s="61">
        <f t="shared" si="216"/>
        <v>0</v>
      </c>
      <c r="V97" s="61">
        <f t="shared" si="216"/>
        <v>0</v>
      </c>
      <c r="W97" s="61">
        <f t="shared" si="216"/>
        <v>0</v>
      </c>
      <c r="X97" s="61">
        <f t="shared" si="216"/>
        <v>0</v>
      </c>
      <c r="Z97" s="61">
        <f t="shared" si="217"/>
        <v>0</v>
      </c>
      <c r="AA97" s="61">
        <f t="shared" si="217"/>
        <v>0</v>
      </c>
      <c r="AB97" s="61">
        <f t="shared" si="217"/>
        <v>0</v>
      </c>
      <c r="AC97" s="61">
        <f t="shared" si="217"/>
        <v>0</v>
      </c>
      <c r="AD97" s="61">
        <f t="shared" si="217"/>
        <v>0</v>
      </c>
      <c r="AF97" s="61">
        <f t="shared" ref="AF97:AJ97" si="228">AF84</f>
        <v>0</v>
      </c>
      <c r="AG97" s="61">
        <f t="shared" si="228"/>
        <v>0</v>
      </c>
      <c r="AH97" s="61">
        <f t="shared" si="228"/>
        <v>0</v>
      </c>
      <c r="AI97" s="61">
        <f t="shared" si="228"/>
        <v>0</v>
      </c>
      <c r="AJ97" s="61">
        <f t="shared" si="228"/>
        <v>0</v>
      </c>
      <c r="AL97" s="61">
        <f t="shared" si="219"/>
        <v>0</v>
      </c>
      <c r="AM97" s="61">
        <f t="shared" si="219"/>
        <v>0</v>
      </c>
      <c r="AN97" s="61">
        <f t="shared" si="219"/>
        <v>0</v>
      </c>
      <c r="AO97" s="61">
        <f t="shared" si="219"/>
        <v>0</v>
      </c>
      <c r="AP97" s="61">
        <f t="shared" si="219"/>
        <v>0</v>
      </c>
      <c r="AR97" s="61">
        <f t="shared" si="220"/>
        <v>0</v>
      </c>
      <c r="AS97" s="61">
        <f t="shared" si="220"/>
        <v>0</v>
      </c>
      <c r="AT97" s="61">
        <f t="shared" si="220"/>
        <v>0</v>
      </c>
      <c r="AU97" s="61">
        <f t="shared" si="220"/>
        <v>0</v>
      </c>
      <c r="AV97" s="61">
        <f t="shared" si="220"/>
        <v>0</v>
      </c>
      <c r="AX97" s="7">
        <f t="shared" si="212"/>
        <v>0</v>
      </c>
      <c r="AY97" s="7">
        <f t="shared" si="203"/>
        <v>0</v>
      </c>
      <c r="AZ97" s="7">
        <f t="shared" si="203"/>
        <v>0</v>
      </c>
      <c r="BA97" s="7">
        <f t="shared" si="203"/>
        <v>0</v>
      </c>
      <c r="BB97" s="7">
        <f t="shared" si="155"/>
        <v>0</v>
      </c>
    </row>
    <row r="98" spans="1:54" ht="15.75" thickBot="1" x14ac:dyDescent="0.3">
      <c r="A98" s="65" t="s">
        <v>204</v>
      </c>
      <c r="B98" s="61">
        <f t="shared" si="213"/>
        <v>14120</v>
      </c>
      <c r="C98" s="61">
        <f t="shared" si="213"/>
        <v>720</v>
      </c>
      <c r="D98" s="61">
        <f t="shared" si="213"/>
        <v>2160</v>
      </c>
      <c r="E98" s="61">
        <f t="shared" si="213"/>
        <v>240</v>
      </c>
      <c r="F98" s="61">
        <f t="shared" si="213"/>
        <v>17240</v>
      </c>
      <c r="H98" s="61">
        <f t="shared" si="214"/>
        <v>31040</v>
      </c>
      <c r="I98" s="61">
        <f t="shared" si="214"/>
        <v>1440</v>
      </c>
      <c r="J98" s="61">
        <f t="shared" si="214"/>
        <v>6960</v>
      </c>
      <c r="K98" s="61">
        <f t="shared" si="214"/>
        <v>720</v>
      </c>
      <c r="L98" s="61">
        <f t="shared" si="214"/>
        <v>40160</v>
      </c>
      <c r="N98" s="61">
        <f t="shared" si="215"/>
        <v>14960</v>
      </c>
      <c r="O98" s="61">
        <f t="shared" si="215"/>
        <v>1200</v>
      </c>
      <c r="P98" s="61">
        <f t="shared" si="215"/>
        <v>1999.2</v>
      </c>
      <c r="Q98" s="61">
        <f t="shared" si="215"/>
        <v>240</v>
      </c>
      <c r="R98" s="61">
        <f t="shared" si="215"/>
        <v>18399.2</v>
      </c>
      <c r="T98" s="61">
        <f t="shared" si="216"/>
        <v>17960</v>
      </c>
      <c r="U98" s="61">
        <f t="shared" si="216"/>
        <v>1320</v>
      </c>
      <c r="V98" s="61">
        <f t="shared" si="216"/>
        <v>3201.6</v>
      </c>
      <c r="W98" s="61">
        <f t="shared" si="216"/>
        <v>0</v>
      </c>
      <c r="X98" s="61">
        <f t="shared" si="216"/>
        <v>22481.599999999999</v>
      </c>
      <c r="Z98" s="61">
        <f t="shared" si="217"/>
        <v>28640</v>
      </c>
      <c r="AA98" s="61">
        <f t="shared" si="217"/>
        <v>840</v>
      </c>
      <c r="AB98" s="61">
        <f t="shared" si="217"/>
        <v>5479.2</v>
      </c>
      <c r="AC98" s="61">
        <f t="shared" si="217"/>
        <v>480</v>
      </c>
      <c r="AD98" s="61">
        <f t="shared" si="217"/>
        <v>35439.199999999997</v>
      </c>
      <c r="AF98" s="61">
        <f t="shared" ref="AF98:AJ98" si="229">AF85</f>
        <v>9920</v>
      </c>
      <c r="AG98" s="61">
        <f t="shared" si="229"/>
        <v>240</v>
      </c>
      <c r="AH98" s="61">
        <f t="shared" si="229"/>
        <v>960</v>
      </c>
      <c r="AI98" s="61">
        <f t="shared" si="229"/>
        <v>240</v>
      </c>
      <c r="AJ98" s="61">
        <f t="shared" si="229"/>
        <v>11360</v>
      </c>
      <c r="AL98" s="61">
        <f t="shared" si="219"/>
        <v>2720</v>
      </c>
      <c r="AM98" s="61">
        <f t="shared" si="219"/>
        <v>120</v>
      </c>
      <c r="AN98" s="61">
        <f t="shared" si="219"/>
        <v>0</v>
      </c>
      <c r="AO98" s="61">
        <f t="shared" si="219"/>
        <v>0</v>
      </c>
      <c r="AP98" s="61">
        <f t="shared" si="219"/>
        <v>2840</v>
      </c>
      <c r="AR98" s="61">
        <f t="shared" si="220"/>
        <v>2240</v>
      </c>
      <c r="AS98" s="61">
        <f t="shared" si="220"/>
        <v>0</v>
      </c>
      <c r="AT98" s="61">
        <f t="shared" si="220"/>
        <v>240</v>
      </c>
      <c r="AU98" s="61">
        <f t="shared" si="220"/>
        <v>0</v>
      </c>
      <c r="AV98" s="61">
        <f t="shared" si="220"/>
        <v>2480</v>
      </c>
      <c r="AX98" s="7">
        <f t="shared" si="212"/>
        <v>121600</v>
      </c>
      <c r="AY98" s="7">
        <f t="shared" si="203"/>
        <v>5880</v>
      </c>
      <c r="AZ98" s="7">
        <f t="shared" si="203"/>
        <v>21000</v>
      </c>
      <c r="BA98" s="7">
        <f t="shared" si="203"/>
        <v>1920</v>
      </c>
      <c r="BB98" s="7">
        <f t="shared" si="155"/>
        <v>150400</v>
      </c>
    </row>
    <row r="99" spans="1:54" ht="15.75" thickBot="1" x14ac:dyDescent="0.3">
      <c r="A99" s="67" t="s">
        <v>81</v>
      </c>
      <c r="B99" s="68">
        <f>SUM(B87:B98)</f>
        <v>6929109.2239999995</v>
      </c>
      <c r="C99" s="68">
        <f>SUM(C87:C98)</f>
        <v>123315.17686318132</v>
      </c>
      <c r="D99" s="68"/>
      <c r="E99" s="68">
        <f t="shared" ref="E99:F99" si="230">SUM(E87:E98)</f>
        <v>224318.40000000002</v>
      </c>
      <c r="F99" s="68">
        <f t="shared" si="230"/>
        <v>7627325.9376818687</v>
      </c>
      <c r="H99" s="68">
        <f>SUM(H87:H98)</f>
        <v>17776637.610999998</v>
      </c>
      <c r="I99" s="68">
        <f>SUM(I87:I98)</f>
        <v>237482.5989304813</v>
      </c>
      <c r="J99" s="68"/>
      <c r="K99" s="68">
        <f t="shared" ref="K99:L99" si="231">SUM(K87:K98)</f>
        <v>600228</v>
      </c>
      <c r="L99" s="68">
        <f t="shared" si="231"/>
        <v>19663710.950572189</v>
      </c>
      <c r="N99" s="68">
        <f>SUM(N87:N98)</f>
        <v>7520973.9439999992</v>
      </c>
      <c r="O99" s="68">
        <f>SUM(O87:O98)</f>
        <v>127719</v>
      </c>
      <c r="P99" s="68"/>
      <c r="Q99" s="68">
        <f t="shared" ref="Q99:R99" si="232">SUM(Q87:Q98)</f>
        <v>192264</v>
      </c>
      <c r="R99" s="68">
        <f t="shared" si="232"/>
        <v>8098256.1439999994</v>
      </c>
      <c r="T99" s="68">
        <f>SUM(T87:T98)</f>
        <v>8994147.9349999987</v>
      </c>
      <c r="U99" s="68">
        <f>SUM(U87:U98)</f>
        <v>112734.18265221018</v>
      </c>
      <c r="V99" s="68"/>
      <c r="W99" s="68">
        <f t="shared" ref="W99:X99" si="233">SUM(W87:W98)</f>
        <v>114817.5</v>
      </c>
      <c r="X99" s="68">
        <f t="shared" si="233"/>
        <v>9602473.3611050863</v>
      </c>
      <c r="Z99" s="68">
        <f>SUM(Z87:Z98)</f>
        <v>16680761.485999998</v>
      </c>
      <c r="AA99" s="68">
        <f>SUM(AA87:AA98)</f>
        <v>163604.6832535885</v>
      </c>
      <c r="AB99" s="68"/>
      <c r="AC99" s="68">
        <f t="shared" ref="AC99:AD99" si="234">SUM(AC87:AC98)</f>
        <v>341284.80000000005</v>
      </c>
      <c r="AD99" s="68">
        <f t="shared" si="234"/>
        <v>17827372.896526314</v>
      </c>
      <c r="AF99" s="68">
        <f>SUM(AF87:AF98)</f>
        <v>4775056.8049999997</v>
      </c>
      <c r="AG99" s="68">
        <f>SUM(AG87:AG98)</f>
        <v>240</v>
      </c>
      <c r="AH99" s="68"/>
      <c r="AI99" s="68">
        <f t="shared" ref="AI99:AJ99" si="235">SUM(AI87:AI98)</f>
        <v>278880</v>
      </c>
      <c r="AJ99" s="68">
        <f t="shared" si="235"/>
        <v>5093136.8049999997</v>
      </c>
      <c r="AL99" s="68">
        <f>SUM(AL87:AL98)</f>
        <v>2720</v>
      </c>
      <c r="AM99" s="68">
        <f>SUM(AM87:AM98)</f>
        <v>120</v>
      </c>
      <c r="AN99" s="68"/>
      <c r="AO99" s="68">
        <f t="shared" ref="AO99:AP99" si="236">SUM(AO87:AO98)</f>
        <v>0</v>
      </c>
      <c r="AP99" s="68">
        <f t="shared" si="236"/>
        <v>2840</v>
      </c>
      <c r="AR99" s="68">
        <f>SUM(AR87:AR98)</f>
        <v>1228790</v>
      </c>
      <c r="AS99" s="68">
        <f>SUM(AS87:AS98)</f>
        <v>9640</v>
      </c>
      <c r="AT99" s="68"/>
      <c r="AU99" s="68">
        <f t="shared" ref="AU99:AV99" si="237">SUM(AU87:AU98)</f>
        <v>39168.000000000007</v>
      </c>
      <c r="AV99" s="68">
        <f t="shared" si="237"/>
        <v>1312338</v>
      </c>
      <c r="AX99" s="68">
        <f>SUM(AX87:AX98)</f>
        <v>63908197.004999988</v>
      </c>
      <c r="AY99" s="68">
        <f>SUM(AY87:AY98)</f>
        <v>774855.64169946127</v>
      </c>
      <c r="AZ99" s="68"/>
      <c r="BA99" s="68">
        <f t="shared" ref="BA99:BB99" si="238">SUM(BA87:BA98)</f>
        <v>1790960.7</v>
      </c>
      <c r="BB99" s="68">
        <f t="shared" si="238"/>
        <v>69227454.094885454</v>
      </c>
    </row>
    <row r="100" spans="1:54" x14ac:dyDescent="0.25">
      <c r="A100" s="70"/>
      <c r="B100" s="55"/>
      <c r="C100" s="55"/>
      <c r="D100" s="55"/>
      <c r="E100" s="55"/>
      <c r="F100" s="55"/>
      <c r="H100" s="55"/>
      <c r="I100" s="55"/>
      <c r="J100" s="55"/>
      <c r="K100" s="55"/>
      <c r="L100" s="55"/>
      <c r="N100" s="55"/>
      <c r="O100" s="55"/>
      <c r="P100" s="55"/>
      <c r="Q100" s="55"/>
      <c r="R100" s="55"/>
      <c r="T100" s="55"/>
      <c r="U100" s="55"/>
      <c r="V100" s="55"/>
      <c r="W100" s="55"/>
      <c r="X100" s="55"/>
      <c r="Z100" s="55"/>
      <c r="AA100" s="55"/>
      <c r="AB100" s="55"/>
      <c r="AC100" s="55"/>
      <c r="AD100" s="55"/>
      <c r="AF100" s="55"/>
      <c r="AG100" s="55"/>
      <c r="AH100" s="55"/>
      <c r="AI100" s="55"/>
      <c r="AJ100" s="55"/>
      <c r="AL100" s="55"/>
      <c r="AM100" s="55"/>
      <c r="AN100" s="55"/>
      <c r="AO100" s="55"/>
      <c r="AP100" s="55"/>
      <c r="AR100" s="55"/>
      <c r="AS100" s="55"/>
      <c r="AT100" s="55"/>
      <c r="AU100" s="55"/>
      <c r="AV100" s="55"/>
      <c r="AX100" s="55"/>
      <c r="AY100" s="55"/>
      <c r="AZ100" s="55"/>
      <c r="BA100" s="55"/>
      <c r="BB100" s="55"/>
    </row>
    <row r="101" spans="1:54" ht="15.75" thickBot="1" x14ac:dyDescent="0.3">
      <c r="A101" s="73" t="s">
        <v>82</v>
      </c>
      <c r="B101" s="74" t="str">
        <f>B1</f>
        <v>Operating</v>
      </c>
      <c r="C101" s="74" t="str">
        <f>C1</f>
        <v>Weights</v>
      </c>
      <c r="D101" s="74" t="str">
        <f>D1</f>
        <v>SPED</v>
      </c>
      <c r="E101" s="74" t="str">
        <f t="shared" ref="E101:F101" si="239">E1</f>
        <v>NSLP</v>
      </c>
      <c r="F101" s="74" t="str">
        <f t="shared" si="239"/>
        <v>Horizon</v>
      </c>
      <c r="H101" s="74" t="str">
        <f>H1</f>
        <v>Operating</v>
      </c>
      <c r="I101" s="74" t="str">
        <f>I1</f>
        <v>Weights</v>
      </c>
      <c r="J101" s="74" t="str">
        <f>J1</f>
        <v>SPED</v>
      </c>
      <c r="K101" s="74" t="str">
        <f t="shared" ref="K101:L101" si="240">K1</f>
        <v>NSLP</v>
      </c>
      <c r="L101" s="74" t="str">
        <f t="shared" si="240"/>
        <v>Cadence</v>
      </c>
      <c r="N101" s="74" t="str">
        <f>N1</f>
        <v>Operating</v>
      </c>
      <c r="O101" s="74" t="str">
        <f>O1</f>
        <v>Weights</v>
      </c>
      <c r="P101" s="74" t="str">
        <f>P1</f>
        <v>SPED</v>
      </c>
      <c r="Q101" s="74" t="str">
        <f t="shared" ref="Q101:R101" si="241">Q1</f>
        <v>NSLP</v>
      </c>
      <c r="R101" s="74" t="str">
        <f t="shared" si="241"/>
        <v>St. Rose</v>
      </c>
      <c r="T101" s="74" t="str">
        <f>T1</f>
        <v>Operating</v>
      </c>
      <c r="U101" s="74" t="str">
        <f>U1</f>
        <v>Weights</v>
      </c>
      <c r="V101" s="74" t="str">
        <f>V1</f>
        <v>SPED</v>
      </c>
      <c r="W101" s="74" t="str">
        <f t="shared" ref="W101:X101" si="242">W1</f>
        <v>NSLP</v>
      </c>
      <c r="X101" s="74" t="str">
        <f t="shared" si="242"/>
        <v>Inspirada</v>
      </c>
      <c r="Z101" s="74" t="str">
        <f>Z1</f>
        <v>Operating</v>
      </c>
      <c r="AA101" s="74" t="str">
        <f>AA1</f>
        <v>Weights</v>
      </c>
      <c r="AB101" s="74" t="str">
        <f>AB1</f>
        <v>SPED</v>
      </c>
      <c r="AC101" s="74" t="str">
        <f t="shared" ref="AC101:AD101" si="243">AC1</f>
        <v>NSLP</v>
      </c>
      <c r="AD101" s="74" t="str">
        <f t="shared" si="243"/>
        <v>Sloan Canyon</v>
      </c>
      <c r="AF101" s="74" t="str">
        <f>AF1</f>
        <v>Operating</v>
      </c>
      <c r="AG101" s="74" t="str">
        <f>AG1</f>
        <v>Weights</v>
      </c>
      <c r="AH101" s="74" t="str">
        <f>AH1</f>
        <v>SPED</v>
      </c>
      <c r="AI101" s="74" t="str">
        <f t="shared" ref="AI101:AJ101" si="244">AI1</f>
        <v>NSLP</v>
      </c>
      <c r="AJ101" s="74" t="str">
        <f t="shared" si="244"/>
        <v>Springs</v>
      </c>
      <c r="AL101" s="74" t="str">
        <f>AL1</f>
        <v>Operating</v>
      </c>
      <c r="AM101" s="74" t="str">
        <f>AM1</f>
        <v>Weights</v>
      </c>
      <c r="AN101" s="74" t="str">
        <f>AN1</f>
        <v>SPED</v>
      </c>
      <c r="AO101" s="74" t="str">
        <f t="shared" ref="AO101:AP101" si="245">AO1</f>
        <v>NSLP</v>
      </c>
      <c r="AP101" s="74" t="str">
        <f t="shared" si="245"/>
        <v>System Wide</v>
      </c>
      <c r="AR101" s="74" t="str">
        <f>AR1</f>
        <v>Operating</v>
      </c>
      <c r="AS101" s="74" t="str">
        <f>AS1</f>
        <v>Weights</v>
      </c>
      <c r="AT101" s="74" t="str">
        <f>AT1</f>
        <v>SPED</v>
      </c>
      <c r="AU101" s="74" t="str">
        <f t="shared" ref="AU101:AV101" si="246">AU1</f>
        <v>NSLP</v>
      </c>
      <c r="AV101" s="74" t="str">
        <f t="shared" si="246"/>
        <v>Virtual</v>
      </c>
      <c r="AX101" s="74" t="str">
        <f>AX1</f>
        <v>Operating</v>
      </c>
      <c r="AY101" s="74" t="str">
        <f>AY1</f>
        <v>Weights</v>
      </c>
      <c r="AZ101" s="74" t="str">
        <f>AZ1</f>
        <v>SPED</v>
      </c>
      <c r="BA101" s="74" t="str">
        <f t="shared" ref="BA101:BB101" si="247">BA1</f>
        <v>NSLP</v>
      </c>
      <c r="BB101" s="74" t="str">
        <f t="shared" si="247"/>
        <v>Pinecrest System</v>
      </c>
    </row>
    <row r="102" spans="1:54" x14ac:dyDescent="0.25">
      <c r="A102" s="76" t="s">
        <v>83</v>
      </c>
      <c r="B102" s="77"/>
      <c r="C102" s="77"/>
      <c r="D102" s="77"/>
      <c r="E102" s="77"/>
      <c r="F102" s="77"/>
      <c r="H102" s="77"/>
      <c r="I102" s="77"/>
      <c r="J102" s="77"/>
      <c r="K102" s="77"/>
      <c r="L102" s="77"/>
      <c r="N102" s="77"/>
      <c r="O102" s="77"/>
      <c r="P102" s="77"/>
      <c r="Q102" s="77"/>
      <c r="R102" s="77"/>
      <c r="T102" s="77"/>
      <c r="U102" s="77"/>
      <c r="V102" s="77"/>
      <c r="W102" s="77"/>
      <c r="X102" s="77"/>
      <c r="Z102" s="77"/>
      <c r="AA102" s="77"/>
      <c r="AB102" s="77"/>
      <c r="AC102" s="77"/>
      <c r="AD102" s="77"/>
      <c r="AF102" s="77"/>
      <c r="AG102" s="77"/>
      <c r="AH102" s="77"/>
      <c r="AI102" s="77"/>
      <c r="AJ102" s="77"/>
      <c r="AL102" s="77"/>
      <c r="AM102" s="77"/>
      <c r="AN102" s="77"/>
      <c r="AO102" s="77"/>
      <c r="AP102" s="77"/>
      <c r="AR102" s="77"/>
      <c r="AS102" s="77"/>
      <c r="AT102" s="77"/>
      <c r="AU102" s="77"/>
      <c r="AV102" s="77"/>
      <c r="AX102" s="77"/>
      <c r="AY102" s="77"/>
      <c r="AZ102" s="77"/>
      <c r="BA102" s="77"/>
      <c r="BB102" s="77"/>
    </row>
    <row r="103" spans="1:54" x14ac:dyDescent="0.25">
      <c r="A103" s="62" t="s">
        <v>41</v>
      </c>
      <c r="B103" s="7">
        <f>'FY23'!B103*1.02</f>
        <v>119646</v>
      </c>
      <c r="C103" s="7">
        <f>'FY23'!C103*1.02</f>
        <v>0</v>
      </c>
      <c r="D103" s="7">
        <f>'FY23'!D103*1.02</f>
        <v>0</v>
      </c>
      <c r="E103" s="7">
        <f>'FY23'!E103*1.02</f>
        <v>0</v>
      </c>
      <c r="F103" s="7">
        <f t="shared" ref="F103:F115" si="248">SUM(B103:E103)</f>
        <v>119646</v>
      </c>
      <c r="H103" s="7">
        <f>'FY23'!H103*1.02</f>
        <v>140974.72020000001</v>
      </c>
      <c r="I103" s="7">
        <f>'FY23'!I103*1.02</f>
        <v>0</v>
      </c>
      <c r="J103" s="7">
        <f>'FY23'!J103*1.02</f>
        <v>0</v>
      </c>
      <c r="K103" s="7">
        <f>'FY23'!K103*1.02</f>
        <v>0</v>
      </c>
      <c r="L103" s="7">
        <f t="shared" ref="L103:L115" si="249">SUM(H103:K103)</f>
        <v>140974.72020000001</v>
      </c>
      <c r="N103" s="7">
        <f>'FY23'!N103*1.02</f>
        <v>116524.8</v>
      </c>
      <c r="O103" s="7">
        <f>'FY23'!O103*1.02</f>
        <v>0</v>
      </c>
      <c r="P103" s="7">
        <f>'FY23'!P103*1.02</f>
        <v>0</v>
      </c>
      <c r="Q103" s="7">
        <f>'FY23'!Q103*1.02</f>
        <v>0</v>
      </c>
      <c r="R103" s="7">
        <f t="shared" ref="R103:R115" si="250">SUM(N103:Q103)</f>
        <v>116524.8</v>
      </c>
      <c r="T103" s="7">
        <f>'FY23'!T103*1.02</f>
        <v>149307.6</v>
      </c>
      <c r="U103" s="7">
        <f>'FY23'!U103*1.02</f>
        <v>0</v>
      </c>
      <c r="V103" s="7">
        <f>'FY23'!V103*1.02</f>
        <v>0</v>
      </c>
      <c r="W103" s="7">
        <f>'FY23'!W103*1.02</f>
        <v>0</v>
      </c>
      <c r="X103" s="7">
        <f t="shared" ref="X103:X115" si="251">SUM(T103:W103)</f>
        <v>149307.6</v>
      </c>
      <c r="Z103" s="7">
        <f>'FY23'!Z103*1.02</f>
        <v>140506.54020000002</v>
      </c>
      <c r="AA103" s="7">
        <f>'FY23'!AA103*1.02</f>
        <v>0</v>
      </c>
      <c r="AB103" s="7">
        <f>'FY23'!AB103*1.02</f>
        <v>0</v>
      </c>
      <c r="AC103" s="7">
        <f>'FY23'!AC103*1.02</f>
        <v>0</v>
      </c>
      <c r="AD103" s="7">
        <f t="shared" ref="AD103:AD115" si="252">SUM(Z103:AC103)</f>
        <v>140506.54020000002</v>
      </c>
      <c r="AF103" s="15">
        <f>110000</f>
        <v>110000</v>
      </c>
      <c r="AG103" s="7"/>
      <c r="AH103" s="7"/>
      <c r="AI103" s="7"/>
      <c r="AJ103" s="7">
        <f t="shared" ref="AJ103:AJ115" si="253">SUM(AF103:AI103)</f>
        <v>110000</v>
      </c>
      <c r="AL103" s="15">
        <v>0</v>
      </c>
      <c r="AM103" s="15">
        <v>0</v>
      </c>
      <c r="AN103" s="15">
        <v>0</v>
      </c>
      <c r="AO103" s="15">
        <v>0</v>
      </c>
      <c r="AP103" s="7">
        <f t="shared" ref="AP103:AP115" si="254">SUM(AL103:AO103)</f>
        <v>0</v>
      </c>
      <c r="AR103" s="15">
        <v>0</v>
      </c>
      <c r="AS103" s="7"/>
      <c r="AT103" s="7"/>
      <c r="AU103" s="7"/>
      <c r="AV103" s="7">
        <f t="shared" ref="AV103:AV115" si="255">SUM(AR103:AU103)</f>
        <v>0</v>
      </c>
      <c r="AX103" s="7">
        <f>B103+H103+N103+T103+Z103+AF103+AL103+AR103</f>
        <v>776959.66040000005</v>
      </c>
      <c r="AY103" s="7">
        <f t="shared" ref="AY103:BA115" si="256">C103+I103+O103+U103+AA103+AG103+AM103+AS103</f>
        <v>0</v>
      </c>
      <c r="AZ103" s="7">
        <f t="shared" si="256"/>
        <v>0</v>
      </c>
      <c r="BA103" s="7">
        <f t="shared" si="256"/>
        <v>0</v>
      </c>
      <c r="BB103" s="7">
        <f t="shared" ref="BB103:BB115" si="257">SUM(AX103:BA103)</f>
        <v>776959.66040000005</v>
      </c>
    </row>
    <row r="104" spans="1:54" x14ac:dyDescent="0.25">
      <c r="A104" s="62" t="s">
        <v>84</v>
      </c>
      <c r="B104" s="7">
        <f>'FY23'!B104*1.02</f>
        <v>160707.21710399998</v>
      </c>
      <c r="C104" s="7">
        <f>'FY23'!C104*1.02</f>
        <v>72828</v>
      </c>
      <c r="D104" s="7">
        <f>'FY23'!D104*1.02</f>
        <v>0</v>
      </c>
      <c r="E104" s="7">
        <f>'FY23'!E104*1.02</f>
        <v>0</v>
      </c>
      <c r="F104" s="7">
        <f t="shared" si="248"/>
        <v>233535.21710399998</v>
      </c>
      <c r="H104" s="7">
        <f>'FY23'!H104*1.02</f>
        <v>331754.84496000002</v>
      </c>
      <c r="I104" s="7">
        <f>'FY23'!I104*1.02</f>
        <v>0</v>
      </c>
      <c r="J104" s="7">
        <f>'FY23'!J104*1.02</f>
        <v>0</v>
      </c>
      <c r="K104" s="7">
        <f>'FY23'!K104*1.02</f>
        <v>0</v>
      </c>
      <c r="L104" s="7">
        <f t="shared" si="249"/>
        <v>331754.84496000002</v>
      </c>
      <c r="N104" s="7">
        <f>'FY23'!N104*1.02</f>
        <v>165548.448</v>
      </c>
      <c r="O104" s="7">
        <f>'FY23'!O104*1.02</f>
        <v>0</v>
      </c>
      <c r="P104" s="7">
        <f>'FY23'!P104*1.02</f>
        <v>0</v>
      </c>
      <c r="Q104" s="7">
        <f>'FY23'!Q104*1.02</f>
        <v>0</v>
      </c>
      <c r="R104" s="7">
        <f t="shared" si="250"/>
        <v>165548.448</v>
      </c>
      <c r="T104" s="7">
        <f>'FY23'!T104*1.02</f>
        <v>180622.90764000002</v>
      </c>
      <c r="U104" s="7">
        <f>'FY23'!U104*1.02</f>
        <v>0</v>
      </c>
      <c r="V104" s="7">
        <f>'FY23'!V104*1.02</f>
        <v>0</v>
      </c>
      <c r="W104" s="7">
        <f>'FY23'!W104*1.02</f>
        <v>0</v>
      </c>
      <c r="X104" s="7">
        <f t="shared" si="251"/>
        <v>180622.90764000002</v>
      </c>
      <c r="Z104" s="7">
        <f>'FY23'!Z104*1.02</f>
        <v>235890.62027999997</v>
      </c>
      <c r="AA104" s="7">
        <f>'FY23'!AA104*1.02</f>
        <v>0</v>
      </c>
      <c r="AB104" s="7">
        <f>'FY23'!AB104*1.02</f>
        <v>91800</v>
      </c>
      <c r="AC104" s="7">
        <f>'FY23'!AC104*1.02</f>
        <v>0</v>
      </c>
      <c r="AD104" s="7">
        <f t="shared" si="252"/>
        <v>327690.62027999997</v>
      </c>
      <c r="AF104" s="15">
        <f>75000*1</f>
        <v>75000</v>
      </c>
      <c r="AG104" s="7"/>
      <c r="AH104" s="7"/>
      <c r="AI104" s="7"/>
      <c r="AJ104" s="7">
        <f t="shared" si="253"/>
        <v>75000</v>
      </c>
      <c r="AL104" s="15">
        <v>0</v>
      </c>
      <c r="AM104" s="15">
        <v>0</v>
      </c>
      <c r="AN104" s="15">
        <v>0</v>
      </c>
      <c r="AO104" s="15">
        <v>0</v>
      </c>
      <c r="AP104" s="7">
        <f t="shared" si="254"/>
        <v>0</v>
      </c>
      <c r="AR104" s="15">
        <v>0</v>
      </c>
      <c r="AS104" s="7"/>
      <c r="AT104" s="7"/>
      <c r="AU104" s="7"/>
      <c r="AV104" s="7">
        <f t="shared" si="255"/>
        <v>0</v>
      </c>
      <c r="AX104" s="7">
        <f t="shared" ref="AX104:AX115" si="258">B104+H104+N104+T104+Z104+AF104+AL104+AR104</f>
        <v>1149524.0379840001</v>
      </c>
      <c r="AY104" s="7">
        <f t="shared" si="256"/>
        <v>72828</v>
      </c>
      <c r="AZ104" s="7">
        <f t="shared" si="256"/>
        <v>91800</v>
      </c>
      <c r="BA104" s="7">
        <f t="shared" si="256"/>
        <v>0</v>
      </c>
      <c r="BB104" s="7">
        <f t="shared" si="257"/>
        <v>1314152.0379840001</v>
      </c>
    </row>
    <row r="105" spans="1:54" x14ac:dyDescent="0.25">
      <c r="A105" s="62" t="s">
        <v>45</v>
      </c>
      <c r="B105" s="7">
        <f>'FY23'!B105*1.02</f>
        <v>0</v>
      </c>
      <c r="C105" s="7">
        <f>'FY23'!C105*1.02</f>
        <v>0</v>
      </c>
      <c r="D105" s="7">
        <f>'FY23'!D105*1.02</f>
        <v>0</v>
      </c>
      <c r="E105" s="7">
        <f>'FY23'!E105*1.02</f>
        <v>0</v>
      </c>
      <c r="F105" s="7">
        <f t="shared" si="248"/>
        <v>0</v>
      </c>
      <c r="H105" s="7">
        <f>'FY23'!H105*1.02</f>
        <v>64627.567199999998</v>
      </c>
      <c r="I105" s="7">
        <f>'FY23'!I105*1.02</f>
        <v>0</v>
      </c>
      <c r="J105" s="7">
        <f>'FY23'!J105*1.02</f>
        <v>0</v>
      </c>
      <c r="K105" s="7">
        <f>'FY23'!K105*1.02</f>
        <v>0</v>
      </c>
      <c r="L105" s="7">
        <f t="shared" si="249"/>
        <v>64627.567199999998</v>
      </c>
      <c r="N105" s="7">
        <f>'FY23'!N105*1.02</f>
        <v>0</v>
      </c>
      <c r="O105" s="7">
        <f>'FY23'!O105*1.02</f>
        <v>0</v>
      </c>
      <c r="P105" s="7">
        <f>'FY23'!P105*1.02</f>
        <v>0</v>
      </c>
      <c r="Q105" s="7">
        <f>'FY23'!Q105*1.02</f>
        <v>0</v>
      </c>
      <c r="R105" s="7">
        <f t="shared" si="250"/>
        <v>0</v>
      </c>
      <c r="T105" s="7">
        <f>'FY23'!T105*1.02</f>
        <v>76406.97600000001</v>
      </c>
      <c r="U105" s="7">
        <f>'FY23'!U105*1.02</f>
        <v>0</v>
      </c>
      <c r="V105" s="7">
        <f>'FY23'!V105*1.02</f>
        <v>0</v>
      </c>
      <c r="W105" s="7">
        <f>'FY23'!W105*1.02</f>
        <v>0</v>
      </c>
      <c r="X105" s="7">
        <f t="shared" si="251"/>
        <v>76406.97600000001</v>
      </c>
      <c r="Z105" s="7">
        <f>'FY23'!Z105*1.02</f>
        <v>62367.194160000006</v>
      </c>
      <c r="AA105" s="7">
        <f>'FY23'!AA105*1.02</f>
        <v>0</v>
      </c>
      <c r="AB105" s="7">
        <f>'FY23'!AB105*1.02</f>
        <v>0</v>
      </c>
      <c r="AC105" s="7">
        <f>'FY23'!AC105*1.02</f>
        <v>0</v>
      </c>
      <c r="AD105" s="7">
        <f t="shared" si="252"/>
        <v>62367.194160000006</v>
      </c>
      <c r="AF105" s="7">
        <v>0</v>
      </c>
      <c r="AG105" s="7">
        <f>'FY23'!AG105*1.02</f>
        <v>0</v>
      </c>
      <c r="AH105" s="7"/>
      <c r="AI105" s="7"/>
      <c r="AJ105" s="7">
        <f t="shared" si="253"/>
        <v>0</v>
      </c>
      <c r="AL105" s="7">
        <f>'FY23'!AF105*1.02</f>
        <v>74284.56</v>
      </c>
      <c r="AM105" s="15">
        <v>0</v>
      </c>
      <c r="AN105" s="15">
        <v>0</v>
      </c>
      <c r="AO105" s="15">
        <v>0</v>
      </c>
      <c r="AP105" s="7">
        <f t="shared" si="254"/>
        <v>74284.56</v>
      </c>
      <c r="AR105" s="7">
        <f>(60000*1.015*1.02)*AR46</f>
        <v>0</v>
      </c>
      <c r="AS105" s="15"/>
      <c r="AT105" s="7"/>
      <c r="AU105" s="7"/>
      <c r="AV105" s="7">
        <f t="shared" si="255"/>
        <v>0</v>
      </c>
      <c r="AX105" s="7">
        <f t="shared" si="258"/>
        <v>277686.29736000003</v>
      </c>
      <c r="AY105" s="7">
        <f t="shared" si="256"/>
        <v>0</v>
      </c>
      <c r="AZ105" s="7">
        <f t="shared" si="256"/>
        <v>0</v>
      </c>
      <c r="BA105" s="7">
        <f t="shared" si="256"/>
        <v>0</v>
      </c>
      <c r="BB105" s="7">
        <f t="shared" si="257"/>
        <v>277686.29736000003</v>
      </c>
    </row>
    <row r="106" spans="1:54" x14ac:dyDescent="0.25">
      <c r="A106" s="62" t="s">
        <v>210</v>
      </c>
      <c r="B106" s="7">
        <f>'FY23'!B106*1.02</f>
        <v>0</v>
      </c>
      <c r="C106" s="7">
        <f>'FY23'!C106*1.02</f>
        <v>0</v>
      </c>
      <c r="D106" s="7">
        <f>'FY23'!D106*1.02</f>
        <v>0</v>
      </c>
      <c r="E106" s="7">
        <f>'FY23'!E106*1.02</f>
        <v>0</v>
      </c>
      <c r="F106" s="7">
        <f t="shared" si="248"/>
        <v>0</v>
      </c>
      <c r="H106" s="7">
        <f>'FY23'!H106*1.02</f>
        <v>0</v>
      </c>
      <c r="I106" s="7">
        <f>'FY23'!I106*1.02</f>
        <v>0</v>
      </c>
      <c r="J106" s="7">
        <f>'FY23'!J106*1.02</f>
        <v>0</v>
      </c>
      <c r="K106" s="7">
        <f>'FY23'!K106*1.02</f>
        <v>0</v>
      </c>
      <c r="L106" s="7">
        <f t="shared" si="249"/>
        <v>0</v>
      </c>
      <c r="N106" s="7">
        <f>'FY23'!N106*1.02</f>
        <v>0</v>
      </c>
      <c r="O106" s="7">
        <f>'FY23'!O106*1.02</f>
        <v>58366.44</v>
      </c>
      <c r="P106" s="7">
        <f>'FY23'!P106*1.02</f>
        <v>0</v>
      </c>
      <c r="Q106" s="7">
        <f>'FY23'!Q106*1.02</f>
        <v>0</v>
      </c>
      <c r="R106" s="7">
        <f t="shared" si="250"/>
        <v>58366.44</v>
      </c>
      <c r="T106" s="7">
        <f>'FY23'!T106*1.02</f>
        <v>0</v>
      </c>
      <c r="U106" s="7">
        <f>'FY23'!U106*1.02</f>
        <v>0</v>
      </c>
      <c r="V106" s="7">
        <f>'FY23'!V106*1.02</f>
        <v>0</v>
      </c>
      <c r="W106" s="7">
        <f>'FY23'!W106*1.02</f>
        <v>0</v>
      </c>
      <c r="X106" s="7">
        <f t="shared" si="251"/>
        <v>0</v>
      </c>
      <c r="Z106" s="7">
        <f>'FY23'!Z106*1.02</f>
        <v>0</v>
      </c>
      <c r="AA106" s="7">
        <f>'FY23'!AA106*1.02</f>
        <v>0</v>
      </c>
      <c r="AB106" s="7">
        <f>'FY23'!AB106*1.02</f>
        <v>0</v>
      </c>
      <c r="AC106" s="7">
        <f>'FY23'!AC106*1.02</f>
        <v>0</v>
      </c>
      <c r="AD106" s="7">
        <f t="shared" si="252"/>
        <v>0</v>
      </c>
      <c r="AF106" s="7">
        <f>'FY23'!AF106*1.02</f>
        <v>0</v>
      </c>
      <c r="AG106" s="357">
        <v>65000</v>
      </c>
      <c r="AH106" s="7"/>
      <c r="AI106" s="7"/>
      <c r="AJ106" s="7">
        <f t="shared" si="253"/>
        <v>65000</v>
      </c>
      <c r="AL106" s="15">
        <v>0</v>
      </c>
      <c r="AM106" s="15">
        <v>0</v>
      </c>
      <c r="AN106" s="15">
        <v>0</v>
      </c>
      <c r="AO106" s="15">
        <v>0</v>
      </c>
      <c r="AP106" s="7">
        <f t="shared" si="254"/>
        <v>0</v>
      </c>
      <c r="AR106" s="15">
        <v>0</v>
      </c>
      <c r="AS106" s="15"/>
      <c r="AT106" s="7"/>
      <c r="AU106" s="7"/>
      <c r="AV106" s="7">
        <f t="shared" si="255"/>
        <v>0</v>
      </c>
      <c r="AX106" s="7">
        <f t="shared" si="258"/>
        <v>0</v>
      </c>
      <c r="AY106" s="7">
        <f t="shared" si="256"/>
        <v>123366.44</v>
      </c>
      <c r="AZ106" s="7">
        <f t="shared" si="256"/>
        <v>0</v>
      </c>
      <c r="BA106" s="7">
        <f t="shared" si="256"/>
        <v>0</v>
      </c>
      <c r="BB106" s="7">
        <f t="shared" si="257"/>
        <v>123366.44</v>
      </c>
    </row>
    <row r="107" spans="1:54" x14ac:dyDescent="0.25">
      <c r="A107" s="62" t="s">
        <v>87</v>
      </c>
      <c r="B107" s="7">
        <f>'FY23'!B107*1.02</f>
        <v>58366.44</v>
      </c>
      <c r="C107" s="7">
        <f>'FY23'!C107*1.02</f>
        <v>0</v>
      </c>
      <c r="D107" s="7">
        <f>'FY23'!D107*1.02</f>
        <v>0</v>
      </c>
      <c r="E107" s="7">
        <f>'FY23'!E107*1.02</f>
        <v>0</v>
      </c>
      <c r="F107" s="7">
        <f t="shared" si="248"/>
        <v>58366.44</v>
      </c>
      <c r="H107" s="7">
        <f>'FY23'!H107*1.02</f>
        <v>315059.39010000002</v>
      </c>
      <c r="I107" s="7">
        <f>'FY23'!I107*1.02</f>
        <v>0</v>
      </c>
      <c r="J107" s="7">
        <f>'FY23'!J107*1.02</f>
        <v>0</v>
      </c>
      <c r="K107" s="7">
        <f>'FY23'!K107*1.02</f>
        <v>0</v>
      </c>
      <c r="L107" s="7">
        <f t="shared" si="249"/>
        <v>315059.39010000002</v>
      </c>
      <c r="N107" s="7">
        <f>'FY23'!N107*1.02</f>
        <v>58366.44</v>
      </c>
      <c r="O107" s="7">
        <f>'FY23'!O107*1.02</f>
        <v>0</v>
      </c>
      <c r="P107" s="7">
        <f>'FY23'!P107*1.02</f>
        <v>0</v>
      </c>
      <c r="Q107" s="7">
        <f>'FY23'!Q107*1.02</f>
        <v>0</v>
      </c>
      <c r="R107" s="7">
        <f t="shared" si="250"/>
        <v>58366.44</v>
      </c>
      <c r="T107" s="7">
        <f>'FY23'!T107*1.02</f>
        <v>65794.896000000008</v>
      </c>
      <c r="U107" s="7">
        <f>'FY23'!U107*1.02</f>
        <v>0</v>
      </c>
      <c r="V107" s="7">
        <f>'FY23'!V107*1.02</f>
        <v>0</v>
      </c>
      <c r="W107" s="7">
        <f>'FY23'!W107*1.02</f>
        <v>0</v>
      </c>
      <c r="X107" s="7">
        <f t="shared" si="251"/>
        <v>65794.896000000008</v>
      </c>
      <c r="Z107" s="7">
        <f>'FY23'!Z107*1.02</f>
        <v>124734.38832000001</v>
      </c>
      <c r="AA107" s="7">
        <f>'FY23'!AA107*1.02</f>
        <v>0</v>
      </c>
      <c r="AB107" s="7">
        <f>'FY23'!AB107*1.02</f>
        <v>0</v>
      </c>
      <c r="AC107" s="7">
        <f>'FY23'!AC107*1.02</f>
        <v>0</v>
      </c>
      <c r="AD107" s="7">
        <f t="shared" si="252"/>
        <v>124734.38832000001</v>
      </c>
      <c r="AF107" s="7">
        <v>0</v>
      </c>
      <c r="AG107" s="7">
        <f>'FY23'!AG107*1.02</f>
        <v>0</v>
      </c>
      <c r="AH107" s="7"/>
      <c r="AI107" s="7"/>
      <c r="AJ107" s="7">
        <f t="shared" si="253"/>
        <v>0</v>
      </c>
      <c r="AL107" s="15">
        <v>0</v>
      </c>
      <c r="AM107" s="15">
        <v>0</v>
      </c>
      <c r="AN107" s="15">
        <v>0</v>
      </c>
      <c r="AO107" s="15">
        <v>0</v>
      </c>
      <c r="AP107" s="7">
        <f t="shared" si="254"/>
        <v>0</v>
      </c>
      <c r="AR107" s="7">
        <f>(58500*1.015*1.02)*AR45</f>
        <v>0</v>
      </c>
      <c r="AS107" s="7"/>
      <c r="AT107" s="7"/>
      <c r="AU107" s="7"/>
      <c r="AV107" s="7">
        <f t="shared" si="255"/>
        <v>0</v>
      </c>
      <c r="AX107" s="7">
        <f t="shared" si="258"/>
        <v>622321.55442000006</v>
      </c>
      <c r="AY107" s="7">
        <f t="shared" si="256"/>
        <v>0</v>
      </c>
      <c r="AZ107" s="7">
        <f t="shared" si="256"/>
        <v>0</v>
      </c>
      <c r="BA107" s="7">
        <f t="shared" si="256"/>
        <v>0</v>
      </c>
      <c r="BB107" s="7">
        <f t="shared" si="257"/>
        <v>622321.55442000006</v>
      </c>
    </row>
    <row r="108" spans="1:54" x14ac:dyDescent="0.25">
      <c r="A108" s="62" t="s">
        <v>89</v>
      </c>
      <c r="B108" s="7">
        <f>48700*B39</f>
        <v>2021050</v>
      </c>
      <c r="C108" s="7">
        <f t="shared" ref="C108:E108" si="259">47350*C39</f>
        <v>0</v>
      </c>
      <c r="D108" s="7">
        <v>0</v>
      </c>
      <c r="E108" s="7">
        <f t="shared" si="259"/>
        <v>0</v>
      </c>
      <c r="F108" s="7">
        <f t="shared" si="248"/>
        <v>2021050</v>
      </c>
      <c r="G108" s="214">
        <f>F108/B39</f>
        <v>48700</v>
      </c>
      <c r="H108" s="7">
        <f>48700*H39</f>
        <v>4723900</v>
      </c>
      <c r="I108" s="7">
        <f t="shared" ref="I108" si="260">47350*I39</f>
        <v>0</v>
      </c>
      <c r="J108" s="7">
        <v>0</v>
      </c>
      <c r="K108" s="7">
        <f t="shared" ref="K108" si="261">47350*K39</f>
        <v>0</v>
      </c>
      <c r="L108" s="7">
        <f t="shared" si="249"/>
        <v>4723900</v>
      </c>
      <c r="M108" s="214">
        <f>L108/H39</f>
        <v>48700</v>
      </c>
      <c r="N108" s="7">
        <f>48700*N39</f>
        <v>2094100</v>
      </c>
      <c r="O108" s="7">
        <f t="shared" ref="O108" si="262">47350*O39</f>
        <v>0</v>
      </c>
      <c r="P108" s="7">
        <v>0</v>
      </c>
      <c r="Q108" s="7">
        <f t="shared" ref="Q108" si="263">47350*Q39</f>
        <v>0</v>
      </c>
      <c r="R108" s="7">
        <f t="shared" si="250"/>
        <v>2094100</v>
      </c>
      <c r="S108" s="214">
        <f>R108/N39</f>
        <v>48700</v>
      </c>
      <c r="T108" s="7">
        <f>48700*T39</f>
        <v>2581100</v>
      </c>
      <c r="U108" s="7">
        <f t="shared" ref="U108" si="264">47350*U39</f>
        <v>0</v>
      </c>
      <c r="V108" s="7">
        <v>0</v>
      </c>
      <c r="W108" s="7">
        <f t="shared" ref="W108" si="265">47350*W39</f>
        <v>0</v>
      </c>
      <c r="X108" s="7">
        <f t="shared" si="251"/>
        <v>2581100</v>
      </c>
      <c r="Y108" s="214">
        <f>X108/T39</f>
        <v>48700</v>
      </c>
      <c r="Z108" s="7">
        <f>48700*Z39</f>
        <v>4456050</v>
      </c>
      <c r="AA108" s="7">
        <f t="shared" ref="AA108" si="266">47350*AA39</f>
        <v>0</v>
      </c>
      <c r="AB108" s="7">
        <v>0</v>
      </c>
      <c r="AC108" s="7">
        <f t="shared" ref="AC108" si="267">47350*AC39</f>
        <v>0</v>
      </c>
      <c r="AD108" s="7">
        <f t="shared" si="252"/>
        <v>4456050</v>
      </c>
      <c r="AE108" s="214">
        <f>AD108/Z39</f>
        <v>48700</v>
      </c>
      <c r="AF108" s="7">
        <f>48700*AF39</f>
        <v>1363600</v>
      </c>
      <c r="AG108" s="7">
        <f t="shared" ref="AG108" si="268">47350*AG39</f>
        <v>0</v>
      </c>
      <c r="AH108" s="7">
        <v>0</v>
      </c>
      <c r="AI108" s="7">
        <f t="shared" ref="AI108" si="269">47350*AI39</f>
        <v>0</v>
      </c>
      <c r="AJ108" s="7">
        <f t="shared" si="253"/>
        <v>1363600</v>
      </c>
      <c r="AK108" s="214">
        <f>AJ108/AF39</f>
        <v>48700</v>
      </c>
      <c r="AL108" s="15">
        <v>0</v>
      </c>
      <c r="AM108" s="15">
        <v>0</v>
      </c>
      <c r="AN108" s="15">
        <v>0</v>
      </c>
      <c r="AO108" s="15">
        <v>0</v>
      </c>
      <c r="AP108" s="7">
        <f t="shared" si="254"/>
        <v>0</v>
      </c>
      <c r="AR108" s="7">
        <f>(105*AR19)*6</f>
        <v>107100</v>
      </c>
      <c r="AS108" s="7"/>
      <c r="AT108" s="7"/>
      <c r="AU108" s="7"/>
      <c r="AV108" s="7">
        <f t="shared" si="255"/>
        <v>107100</v>
      </c>
      <c r="AX108" s="7">
        <f t="shared" si="258"/>
        <v>17346900</v>
      </c>
      <c r="AY108" s="7">
        <f t="shared" si="256"/>
        <v>0</v>
      </c>
      <c r="AZ108" s="7">
        <f t="shared" si="256"/>
        <v>0</v>
      </c>
      <c r="BA108" s="7">
        <f t="shared" si="256"/>
        <v>0</v>
      </c>
      <c r="BB108" s="7">
        <f t="shared" si="257"/>
        <v>17346900</v>
      </c>
    </row>
    <row r="109" spans="1:54" x14ac:dyDescent="0.25">
      <c r="A109" s="62" t="s">
        <v>90</v>
      </c>
      <c r="B109" s="14">
        <v>0</v>
      </c>
      <c r="C109" s="14"/>
      <c r="D109" s="14"/>
      <c r="E109" s="14"/>
      <c r="F109" s="7">
        <f t="shared" si="248"/>
        <v>0</v>
      </c>
      <c r="G109" s="220">
        <f>G108*1.02</f>
        <v>49674</v>
      </c>
      <c r="H109" s="14">
        <v>0</v>
      </c>
      <c r="I109" s="14"/>
      <c r="J109" s="14"/>
      <c r="K109" s="14"/>
      <c r="L109" s="7">
        <f t="shared" si="249"/>
        <v>0</v>
      </c>
      <c r="N109" s="14">
        <v>0</v>
      </c>
      <c r="O109" s="14"/>
      <c r="P109" s="14"/>
      <c r="Q109" s="14"/>
      <c r="R109" s="7">
        <f t="shared" si="250"/>
        <v>0</v>
      </c>
      <c r="T109" s="14">
        <v>0</v>
      </c>
      <c r="U109" s="14"/>
      <c r="V109" s="14"/>
      <c r="W109" s="14"/>
      <c r="X109" s="7">
        <f t="shared" si="251"/>
        <v>0</v>
      </c>
      <c r="Z109" s="14">
        <v>0</v>
      </c>
      <c r="AA109" s="14"/>
      <c r="AB109" s="14"/>
      <c r="AC109" s="14"/>
      <c r="AD109" s="7">
        <f t="shared" si="252"/>
        <v>0</v>
      </c>
      <c r="AF109" s="14">
        <v>0</v>
      </c>
      <c r="AG109" s="14"/>
      <c r="AH109" s="14"/>
      <c r="AI109" s="14"/>
      <c r="AJ109" s="7">
        <f t="shared" si="253"/>
        <v>0</v>
      </c>
      <c r="AL109" s="15">
        <v>0</v>
      </c>
      <c r="AM109" s="15">
        <v>0</v>
      </c>
      <c r="AN109" s="15">
        <v>0</v>
      </c>
      <c r="AO109" s="15">
        <v>0</v>
      </c>
      <c r="AP109" s="7">
        <f t="shared" si="254"/>
        <v>0</v>
      </c>
      <c r="AR109" s="14">
        <v>0</v>
      </c>
      <c r="AS109" s="14"/>
      <c r="AT109" s="14"/>
      <c r="AU109" s="14"/>
      <c r="AV109" s="7">
        <f t="shared" si="255"/>
        <v>0</v>
      </c>
      <c r="AX109" s="7">
        <f t="shared" si="258"/>
        <v>0</v>
      </c>
      <c r="AY109" s="7">
        <f t="shared" si="256"/>
        <v>0</v>
      </c>
      <c r="AZ109" s="7">
        <f t="shared" si="256"/>
        <v>0</v>
      </c>
      <c r="BA109" s="7">
        <f t="shared" si="256"/>
        <v>0</v>
      </c>
      <c r="BB109" s="7">
        <f t="shared" si="257"/>
        <v>0</v>
      </c>
    </row>
    <row r="110" spans="1:54" x14ac:dyDescent="0.25">
      <c r="A110" s="62" t="s">
        <v>30</v>
      </c>
      <c r="B110" s="7">
        <v>0</v>
      </c>
      <c r="C110" s="7"/>
      <c r="D110" s="7">
        <f>48700*D30</f>
        <v>194800</v>
      </c>
      <c r="E110" s="7"/>
      <c r="F110" s="7">
        <f t="shared" si="248"/>
        <v>194800</v>
      </c>
      <c r="H110" s="7">
        <v>0</v>
      </c>
      <c r="I110" s="7"/>
      <c r="J110" s="7">
        <f>48700*J30</f>
        <v>633100</v>
      </c>
      <c r="K110" s="7"/>
      <c r="L110" s="7">
        <f t="shared" si="249"/>
        <v>633100</v>
      </c>
      <c r="N110" s="7">
        <v>0</v>
      </c>
      <c r="O110" s="7"/>
      <c r="P110" s="7">
        <f>48700*P30</f>
        <v>194800</v>
      </c>
      <c r="Q110" s="7"/>
      <c r="R110" s="7">
        <f t="shared" si="250"/>
        <v>194800</v>
      </c>
      <c r="T110" s="7">
        <v>0</v>
      </c>
      <c r="U110" s="7"/>
      <c r="V110" s="7">
        <f>48700*V30</f>
        <v>243500</v>
      </c>
      <c r="W110" s="7"/>
      <c r="X110" s="7">
        <f t="shared" si="251"/>
        <v>243500</v>
      </c>
      <c r="Z110" s="7">
        <v>0</v>
      </c>
      <c r="AA110" s="7"/>
      <c r="AB110" s="7">
        <f>48700*AB30</f>
        <v>487000</v>
      </c>
      <c r="AC110" s="7"/>
      <c r="AD110" s="7">
        <f t="shared" si="252"/>
        <v>487000</v>
      </c>
      <c r="AF110" s="7">
        <v>0</v>
      </c>
      <c r="AG110" s="7"/>
      <c r="AH110" s="7">
        <f>48700*AH30</f>
        <v>146100</v>
      </c>
      <c r="AI110" s="7"/>
      <c r="AJ110" s="7">
        <f t="shared" si="253"/>
        <v>146100</v>
      </c>
      <c r="AL110" s="15">
        <v>0</v>
      </c>
      <c r="AM110" s="15">
        <v>0</v>
      </c>
      <c r="AN110" s="15">
        <v>0</v>
      </c>
      <c r="AO110" s="15">
        <v>0</v>
      </c>
      <c r="AP110" s="7">
        <f t="shared" si="254"/>
        <v>0</v>
      </c>
      <c r="AR110" s="7">
        <v>0</v>
      </c>
      <c r="AS110" s="7"/>
      <c r="AT110" s="7">
        <f>46725*AT30</f>
        <v>0</v>
      </c>
      <c r="AU110" s="7"/>
      <c r="AV110" s="7">
        <f t="shared" si="255"/>
        <v>0</v>
      </c>
      <c r="AX110" s="7">
        <f t="shared" si="258"/>
        <v>0</v>
      </c>
      <c r="AY110" s="7">
        <f t="shared" si="256"/>
        <v>0</v>
      </c>
      <c r="AZ110" s="7">
        <f t="shared" si="256"/>
        <v>1899300</v>
      </c>
      <c r="BA110" s="7">
        <f t="shared" si="256"/>
        <v>0</v>
      </c>
      <c r="BB110" s="7">
        <f t="shared" si="257"/>
        <v>1899300</v>
      </c>
    </row>
    <row r="111" spans="1:54" x14ac:dyDescent="0.25">
      <c r="A111" s="62" t="s">
        <v>91</v>
      </c>
      <c r="B111" s="7">
        <f>'FY23'!B111*1.02</f>
        <v>115993.55761055999</v>
      </c>
      <c r="C111" s="7"/>
      <c r="D111" s="7"/>
      <c r="E111" s="7"/>
      <c r="F111" s="7">
        <f t="shared" si="248"/>
        <v>115993.55761055999</v>
      </c>
      <c r="H111" s="7">
        <f>'FY23'!H111*1.02</f>
        <v>198339.7752</v>
      </c>
      <c r="I111" s="7"/>
      <c r="J111" s="7"/>
      <c r="K111" s="7"/>
      <c r="L111" s="7">
        <f t="shared" si="249"/>
        <v>198339.7752</v>
      </c>
      <c r="N111" s="7">
        <f>'FY23'!N111*1.02</f>
        <v>102003.843564</v>
      </c>
      <c r="O111" s="7"/>
      <c r="P111" s="7"/>
      <c r="Q111" s="7"/>
      <c r="R111" s="7">
        <f t="shared" si="250"/>
        <v>102003.843564</v>
      </c>
      <c r="T111" s="7">
        <f>'FY23'!T111*1.02</f>
        <v>94463.96072399999</v>
      </c>
      <c r="U111" s="7"/>
      <c r="V111" s="7"/>
      <c r="W111" s="7"/>
      <c r="X111" s="7">
        <f t="shared" si="251"/>
        <v>94463.96072399999</v>
      </c>
      <c r="Z111" s="7">
        <f>'FY23'!Z111*1.02</f>
        <v>162846.26400000002</v>
      </c>
      <c r="AA111" s="7"/>
      <c r="AB111" s="7"/>
      <c r="AC111" s="7"/>
      <c r="AD111" s="7">
        <f t="shared" si="252"/>
        <v>162846.26400000002</v>
      </c>
      <c r="AF111" s="7">
        <f>45000</f>
        <v>45000</v>
      </c>
      <c r="AG111" s="7"/>
      <c r="AH111" s="7"/>
      <c r="AI111" s="7"/>
      <c r="AJ111" s="7">
        <f t="shared" si="253"/>
        <v>45000</v>
      </c>
      <c r="AL111" s="7">
        <f>'FY23'!AF111*1.02</f>
        <v>74284.56</v>
      </c>
      <c r="AM111" s="15">
        <v>0</v>
      </c>
      <c r="AN111" s="15">
        <v>0</v>
      </c>
      <c r="AO111" s="15">
        <v>0</v>
      </c>
      <c r="AP111" s="7">
        <f t="shared" si="254"/>
        <v>74284.56</v>
      </c>
      <c r="AR111" s="7">
        <f>(46725*1.02)*(AR47+AR48)</f>
        <v>0</v>
      </c>
      <c r="AS111" s="7"/>
      <c r="AT111" s="7"/>
      <c r="AU111" s="7"/>
      <c r="AV111" s="7">
        <f t="shared" si="255"/>
        <v>0</v>
      </c>
      <c r="AX111" s="7">
        <f t="shared" si="258"/>
        <v>792931.96109856013</v>
      </c>
      <c r="AY111" s="7">
        <f t="shared" si="256"/>
        <v>0</v>
      </c>
      <c r="AZ111" s="7">
        <f t="shared" si="256"/>
        <v>0</v>
      </c>
      <c r="BA111" s="7">
        <f t="shared" si="256"/>
        <v>0</v>
      </c>
      <c r="BB111" s="7">
        <f t="shared" si="257"/>
        <v>792931.96109856013</v>
      </c>
    </row>
    <row r="112" spans="1:54" x14ac:dyDescent="0.25">
      <c r="A112" s="62" t="s">
        <v>92</v>
      </c>
      <c r="B112" s="7">
        <f>'FY23'!B112*1.02</f>
        <v>60379.381782719996</v>
      </c>
      <c r="C112" s="7"/>
      <c r="D112" s="7"/>
      <c r="E112" s="7"/>
      <c r="F112" s="7">
        <f t="shared" si="248"/>
        <v>60379.381782719996</v>
      </c>
      <c r="H112" s="7">
        <f>((42750+43800+56000)+(33000+19000))*1.015*1.02*1.0125</f>
        <v>203935.33518749996</v>
      </c>
      <c r="I112" s="7"/>
      <c r="J112" s="7"/>
      <c r="K112" s="7"/>
      <c r="L112" s="7">
        <f t="shared" si="249"/>
        <v>203935.33518749996</v>
      </c>
      <c r="N112" s="7">
        <f>(17*8*190)*(N49+N50)</f>
        <v>51680</v>
      </c>
      <c r="O112" s="7"/>
      <c r="P112" s="7"/>
      <c r="Q112" s="7"/>
      <c r="R112" s="7">
        <f t="shared" si="250"/>
        <v>51680</v>
      </c>
      <c r="T112" s="7">
        <f>(14.75*8*190)*(T49+T50)</f>
        <v>44840</v>
      </c>
      <c r="U112" s="7"/>
      <c r="V112" s="7"/>
      <c r="W112" s="7"/>
      <c r="X112" s="7">
        <f t="shared" si="251"/>
        <v>44840</v>
      </c>
      <c r="Z112" s="7">
        <f>(14*8*200)*(Z49+Z50)</f>
        <v>89600</v>
      </c>
      <c r="AA112" s="7"/>
      <c r="AB112" s="7"/>
      <c r="AC112" s="7"/>
      <c r="AD112" s="7">
        <f t="shared" si="252"/>
        <v>89600</v>
      </c>
      <c r="AF112" s="7">
        <f>(14*8*200)*(AF49+AF50)</f>
        <v>22400</v>
      </c>
      <c r="AG112" s="7"/>
      <c r="AH112" s="7"/>
      <c r="AI112" s="7"/>
      <c r="AJ112" s="7">
        <f t="shared" si="253"/>
        <v>22400</v>
      </c>
      <c r="AL112" s="15">
        <v>0</v>
      </c>
      <c r="AM112" s="15">
        <v>0</v>
      </c>
      <c r="AN112" s="15">
        <v>0</v>
      </c>
      <c r="AO112" s="15">
        <v>0</v>
      </c>
      <c r="AP112" s="7">
        <f t="shared" si="254"/>
        <v>0</v>
      </c>
      <c r="AR112" s="7">
        <v>0</v>
      </c>
      <c r="AS112" s="7"/>
      <c r="AT112" s="7"/>
      <c r="AU112" s="7"/>
      <c r="AV112" s="7">
        <f t="shared" si="255"/>
        <v>0</v>
      </c>
      <c r="AX112" s="7">
        <f t="shared" si="258"/>
        <v>472834.71697021998</v>
      </c>
      <c r="AY112" s="7">
        <f t="shared" si="256"/>
        <v>0</v>
      </c>
      <c r="AZ112" s="7">
        <f t="shared" si="256"/>
        <v>0</v>
      </c>
      <c r="BA112" s="7">
        <f t="shared" si="256"/>
        <v>0</v>
      </c>
      <c r="BB112" s="7">
        <f t="shared" si="257"/>
        <v>472834.71697021998</v>
      </c>
    </row>
    <row r="113" spans="1:54" x14ac:dyDescent="0.25">
      <c r="A113" s="62" t="s">
        <v>93</v>
      </c>
      <c r="B113" s="7">
        <f>(13.5*8*200)*B51</f>
        <v>0</v>
      </c>
      <c r="C113" s="7">
        <f>(14.25*8*180)*C51</f>
        <v>30780</v>
      </c>
      <c r="D113" s="7">
        <f>(14.25*8*180)*D51</f>
        <v>82080</v>
      </c>
      <c r="E113" s="7">
        <v>0</v>
      </c>
      <c r="F113" s="7">
        <f t="shared" si="248"/>
        <v>112860</v>
      </c>
      <c r="H113" s="7">
        <f>(13.5*8*200)*H51</f>
        <v>0</v>
      </c>
      <c r="I113" s="7">
        <f>(14.5*8*180)*I51</f>
        <v>83520</v>
      </c>
      <c r="J113" s="7">
        <f>(14.5*8*180)*J51</f>
        <v>271440</v>
      </c>
      <c r="K113" s="7">
        <v>0</v>
      </c>
      <c r="L113" s="7">
        <f t="shared" si="249"/>
        <v>354960</v>
      </c>
      <c r="N113" s="7">
        <f>(13.5*8*200)*N51</f>
        <v>0</v>
      </c>
      <c r="O113" s="7">
        <f>(14.75*8*180)*O51</f>
        <v>95580</v>
      </c>
      <c r="P113" s="7">
        <f>(14.75*8*180)*P51</f>
        <v>84960</v>
      </c>
      <c r="Q113" s="7">
        <v>0</v>
      </c>
      <c r="R113" s="7">
        <f t="shared" si="250"/>
        <v>180540</v>
      </c>
      <c r="T113" s="7">
        <f>(14.25*8*180)*T51</f>
        <v>30780</v>
      </c>
      <c r="U113" s="7">
        <f>(14.25*8*180)*U51</f>
        <v>82080</v>
      </c>
      <c r="V113" s="7">
        <f>(14.25*8*180)*V51</f>
        <v>102600</v>
      </c>
      <c r="W113" s="7">
        <v>0</v>
      </c>
      <c r="X113" s="7">
        <f t="shared" si="251"/>
        <v>215460</v>
      </c>
      <c r="Z113" s="7">
        <f>(13.5*8*200)*Z51</f>
        <v>0</v>
      </c>
      <c r="AA113" s="7">
        <f>(14.5*8*180)*AA51</f>
        <v>41760</v>
      </c>
      <c r="AB113" s="7">
        <f>(14.5*8*180)*AB51</f>
        <v>208800</v>
      </c>
      <c r="AC113" s="7">
        <v>0</v>
      </c>
      <c r="AD113" s="7">
        <f t="shared" si="252"/>
        <v>250560</v>
      </c>
      <c r="AF113" s="7">
        <f t="shared" ref="AF113:AG113" si="270">(14*8*180)*AF51</f>
        <v>0</v>
      </c>
      <c r="AG113" s="7">
        <f t="shared" si="270"/>
        <v>0</v>
      </c>
      <c r="AH113" s="7">
        <f>(14*8*180)*AH51</f>
        <v>20160</v>
      </c>
      <c r="AI113" s="7">
        <v>0</v>
      </c>
      <c r="AJ113" s="7">
        <f t="shared" si="253"/>
        <v>20160</v>
      </c>
      <c r="AL113" s="15">
        <v>0</v>
      </c>
      <c r="AM113" s="15">
        <v>0</v>
      </c>
      <c r="AN113" s="15">
        <v>0</v>
      </c>
      <c r="AO113" s="15">
        <v>0</v>
      </c>
      <c r="AP113" s="7">
        <f t="shared" si="254"/>
        <v>0</v>
      </c>
      <c r="AR113" s="7">
        <f>(14*8*200)*AR51</f>
        <v>0</v>
      </c>
      <c r="AS113" s="7">
        <f>(14*8*180)*AS51</f>
        <v>0</v>
      </c>
      <c r="AT113" s="7">
        <f>(14*8*180)*AT51</f>
        <v>20160</v>
      </c>
      <c r="AU113" s="7">
        <f>(14.5*8*180)*AU51</f>
        <v>0</v>
      </c>
      <c r="AV113" s="7">
        <f t="shared" si="255"/>
        <v>20160</v>
      </c>
      <c r="AX113" s="7">
        <f t="shared" si="258"/>
        <v>30780</v>
      </c>
      <c r="AY113" s="7">
        <f t="shared" si="256"/>
        <v>333720</v>
      </c>
      <c r="AZ113" s="7">
        <f t="shared" si="256"/>
        <v>790200</v>
      </c>
      <c r="BA113" s="7">
        <f t="shared" si="256"/>
        <v>0</v>
      </c>
      <c r="BB113" s="7">
        <f t="shared" si="257"/>
        <v>1154700</v>
      </c>
    </row>
    <row r="114" spans="1:54" x14ac:dyDescent="0.25">
      <c r="A114" s="62" t="s">
        <v>94</v>
      </c>
      <c r="B114" s="7">
        <f>(23*8*240)*B52</f>
        <v>44160</v>
      </c>
      <c r="C114" s="7"/>
      <c r="D114" s="7">
        <f>(22.75*8*240)*D52</f>
        <v>0</v>
      </c>
      <c r="E114" s="7"/>
      <c r="F114" s="7">
        <f t="shared" si="248"/>
        <v>44160</v>
      </c>
      <c r="H114" s="7">
        <f>(15.25*8*240)*H52</f>
        <v>146400</v>
      </c>
      <c r="I114" s="7"/>
      <c r="J114" s="7">
        <f>(22.75*8*240)*J52</f>
        <v>0</v>
      </c>
      <c r="K114" s="7"/>
      <c r="L114" s="7">
        <f t="shared" si="249"/>
        <v>146400</v>
      </c>
      <c r="N114" s="7">
        <f>(15.75*8*240)*N52</f>
        <v>60480</v>
      </c>
      <c r="O114" s="7"/>
      <c r="P114" s="7">
        <f>(22.75*8*240)*P52</f>
        <v>0</v>
      </c>
      <c r="Q114" s="7"/>
      <c r="R114" s="7">
        <f t="shared" si="250"/>
        <v>60480</v>
      </c>
      <c r="T114" s="7">
        <f>(14.25*8*240)*T52</f>
        <v>54720</v>
      </c>
      <c r="U114" s="7"/>
      <c r="V114" s="7">
        <f>(22.75*8*240)*V52</f>
        <v>0</v>
      </c>
      <c r="W114" s="7"/>
      <c r="X114" s="7">
        <f t="shared" si="251"/>
        <v>54720</v>
      </c>
      <c r="Z114" s="7">
        <f>(15.25*8*240)*Z52</f>
        <v>117120</v>
      </c>
      <c r="AA114" s="7"/>
      <c r="AB114" s="7">
        <f>(22.75*8*240)*AB52</f>
        <v>0</v>
      </c>
      <c r="AC114" s="7"/>
      <c r="AD114" s="7">
        <f t="shared" si="252"/>
        <v>117120</v>
      </c>
      <c r="AF114" s="7">
        <f>(14*8*240)*AF52</f>
        <v>26880</v>
      </c>
      <c r="AG114" s="7"/>
      <c r="AH114" s="7">
        <f>(22.75*8*240)*AH52</f>
        <v>0</v>
      </c>
      <c r="AI114" s="7"/>
      <c r="AJ114" s="7">
        <f t="shared" si="253"/>
        <v>26880</v>
      </c>
      <c r="AL114" s="15">
        <v>0</v>
      </c>
      <c r="AM114" s="15">
        <v>0</v>
      </c>
      <c r="AN114" s="15">
        <v>0</v>
      </c>
      <c r="AO114" s="15">
        <v>0</v>
      </c>
      <c r="AP114" s="7">
        <f t="shared" si="254"/>
        <v>0</v>
      </c>
      <c r="AR114" s="7">
        <f>(14*8*240)*AR52</f>
        <v>0</v>
      </c>
      <c r="AS114" s="7"/>
      <c r="AT114" s="7"/>
      <c r="AU114" s="7"/>
      <c r="AV114" s="7">
        <f t="shared" si="255"/>
        <v>0</v>
      </c>
      <c r="AX114" s="7">
        <f t="shared" si="258"/>
        <v>449760</v>
      </c>
      <c r="AY114" s="7">
        <f t="shared" si="256"/>
        <v>0</v>
      </c>
      <c r="AZ114" s="7">
        <f t="shared" si="256"/>
        <v>0</v>
      </c>
      <c r="BA114" s="7">
        <f t="shared" si="256"/>
        <v>0</v>
      </c>
      <c r="BB114" s="7">
        <f t="shared" si="257"/>
        <v>449760</v>
      </c>
    </row>
    <row r="115" spans="1:54" x14ac:dyDescent="0.25">
      <c r="A115" s="62" t="s">
        <v>248</v>
      </c>
      <c r="B115" s="7">
        <v>0</v>
      </c>
      <c r="C115" s="7">
        <f>(12.75*8*180)*C54</f>
        <v>0</v>
      </c>
      <c r="D115" s="7"/>
      <c r="E115" s="7"/>
      <c r="F115" s="7">
        <f t="shared" si="248"/>
        <v>0</v>
      </c>
      <c r="H115" s="7">
        <v>0</v>
      </c>
      <c r="I115" s="7">
        <f>(12.75*8*180)*I54</f>
        <v>0</v>
      </c>
      <c r="J115" s="7"/>
      <c r="K115" s="7"/>
      <c r="L115" s="7">
        <f t="shared" si="249"/>
        <v>0</v>
      </c>
      <c r="N115" s="7">
        <v>0</v>
      </c>
      <c r="O115" s="7">
        <f>(12.75*8*180)*O54</f>
        <v>0</v>
      </c>
      <c r="P115" s="7"/>
      <c r="Q115" s="7"/>
      <c r="R115" s="7">
        <f t="shared" si="250"/>
        <v>0</v>
      </c>
      <c r="T115" s="7">
        <v>0</v>
      </c>
      <c r="U115" s="7">
        <f>(12.75*8*180)*U54</f>
        <v>0</v>
      </c>
      <c r="V115" s="7"/>
      <c r="W115" s="7"/>
      <c r="X115" s="7">
        <f t="shared" si="251"/>
        <v>0</v>
      </c>
      <c r="Z115" s="7">
        <v>0</v>
      </c>
      <c r="AA115" s="7">
        <f>(12.75*8*180)*AA54</f>
        <v>0</v>
      </c>
      <c r="AB115" s="7"/>
      <c r="AC115" s="7"/>
      <c r="AD115" s="7">
        <f t="shared" si="252"/>
        <v>0</v>
      </c>
      <c r="AF115" s="7">
        <v>0</v>
      </c>
      <c r="AG115" s="7">
        <f>(12.75*8*180)*AG54</f>
        <v>0</v>
      </c>
      <c r="AH115" s="7"/>
      <c r="AI115" s="7"/>
      <c r="AJ115" s="7">
        <f t="shared" si="253"/>
        <v>0</v>
      </c>
      <c r="AL115" s="15">
        <v>0</v>
      </c>
      <c r="AM115" s="15">
        <v>0</v>
      </c>
      <c r="AN115" s="15">
        <v>0</v>
      </c>
      <c r="AO115" s="15">
        <v>0</v>
      </c>
      <c r="AP115" s="7">
        <f t="shared" si="254"/>
        <v>0</v>
      </c>
      <c r="AR115" s="7">
        <f>(55000*1.02)*2</f>
        <v>112200</v>
      </c>
      <c r="AS115" s="7">
        <f>(12.75*8*180)*AS54</f>
        <v>0</v>
      </c>
      <c r="AT115" s="7"/>
      <c r="AU115" s="7"/>
      <c r="AV115" s="7">
        <f t="shared" si="255"/>
        <v>112200</v>
      </c>
      <c r="AX115" s="7">
        <f t="shared" si="258"/>
        <v>112200</v>
      </c>
      <c r="AY115" s="7">
        <f t="shared" si="256"/>
        <v>0</v>
      </c>
      <c r="AZ115" s="7">
        <f t="shared" si="256"/>
        <v>0</v>
      </c>
      <c r="BA115" s="7">
        <f t="shared" si="256"/>
        <v>0</v>
      </c>
      <c r="BB115" s="7">
        <f t="shared" si="257"/>
        <v>112200</v>
      </c>
    </row>
    <row r="116" spans="1:54" ht="15.75" thickBot="1" x14ac:dyDescent="0.3">
      <c r="A116" s="82" t="s">
        <v>95</v>
      </c>
      <c r="B116" s="83">
        <f>SUM(B103:B115)</f>
        <v>2580302.5964972801</v>
      </c>
      <c r="C116" s="83">
        <f>SUM(C103:C115)</f>
        <v>103608</v>
      </c>
      <c r="D116" s="83">
        <f t="shared" ref="D116:F116" si="271">SUM(D103:D115)</f>
        <v>276880</v>
      </c>
      <c r="E116" s="83">
        <f t="shared" si="271"/>
        <v>0</v>
      </c>
      <c r="F116" s="83">
        <f t="shared" si="271"/>
        <v>2960790.5964972801</v>
      </c>
      <c r="H116" s="83">
        <f>SUM(H103:H115)</f>
        <v>6124991.632847501</v>
      </c>
      <c r="I116" s="83">
        <f>SUM(I103:I115)</f>
        <v>83520</v>
      </c>
      <c r="J116" s="83">
        <f t="shared" ref="J116:L116" si="272">SUM(J103:J115)</f>
        <v>904540</v>
      </c>
      <c r="K116" s="83">
        <f t="shared" si="272"/>
        <v>0</v>
      </c>
      <c r="L116" s="83">
        <f t="shared" si="272"/>
        <v>7113051.632847501</v>
      </c>
      <c r="N116" s="83">
        <f>SUM(N103:N115)</f>
        <v>2648703.5315640001</v>
      </c>
      <c r="O116" s="83">
        <f>SUM(O103:O115)</f>
        <v>153946.44</v>
      </c>
      <c r="P116" s="83">
        <f t="shared" ref="P116:R116" si="273">SUM(P103:P115)</f>
        <v>279760</v>
      </c>
      <c r="Q116" s="83">
        <f t="shared" si="273"/>
        <v>0</v>
      </c>
      <c r="R116" s="83">
        <f t="shared" si="273"/>
        <v>3082409.971564</v>
      </c>
      <c r="T116" s="83">
        <f>SUM(T103:T115)</f>
        <v>3278036.3403639998</v>
      </c>
      <c r="U116" s="83">
        <f>SUM(U103:U115)</f>
        <v>82080</v>
      </c>
      <c r="V116" s="83">
        <f t="shared" ref="V116:X116" si="274">SUM(V103:V115)</f>
        <v>346100</v>
      </c>
      <c r="W116" s="83">
        <f t="shared" si="274"/>
        <v>0</v>
      </c>
      <c r="X116" s="83">
        <f t="shared" si="274"/>
        <v>3706216.3403639998</v>
      </c>
      <c r="Z116" s="83">
        <f>SUM(Z103:Z115)</f>
        <v>5389115.0069600008</v>
      </c>
      <c r="AA116" s="83">
        <f>SUM(AA103:AA115)</f>
        <v>41760</v>
      </c>
      <c r="AB116" s="83">
        <f t="shared" ref="AB116:AD116" si="275">SUM(AB103:AB115)</f>
        <v>787600</v>
      </c>
      <c r="AC116" s="83">
        <f t="shared" si="275"/>
        <v>0</v>
      </c>
      <c r="AD116" s="83">
        <f t="shared" si="275"/>
        <v>6218475.0069600008</v>
      </c>
      <c r="AF116" s="83">
        <f>SUM(AF103:AF115)</f>
        <v>1642880</v>
      </c>
      <c r="AG116" s="83">
        <f>SUM(AG103:AG115)</f>
        <v>65000</v>
      </c>
      <c r="AH116" s="83">
        <f t="shared" ref="AH116:AJ116" si="276">SUM(AH103:AH115)</f>
        <v>166260</v>
      </c>
      <c r="AI116" s="83">
        <f t="shared" si="276"/>
        <v>0</v>
      </c>
      <c r="AJ116" s="83">
        <f t="shared" si="276"/>
        <v>1874140</v>
      </c>
      <c r="AL116" s="83">
        <f>SUM(AL103:AL115)</f>
        <v>148569.12</v>
      </c>
      <c r="AM116" s="83">
        <f>SUM(AM103:AM115)</f>
        <v>0</v>
      </c>
      <c r="AN116" s="83">
        <f t="shared" ref="AN116:AP116" si="277">SUM(AN103:AN115)</f>
        <v>0</v>
      </c>
      <c r="AO116" s="83">
        <f t="shared" si="277"/>
        <v>0</v>
      </c>
      <c r="AP116" s="83">
        <f t="shared" si="277"/>
        <v>148569.12</v>
      </c>
      <c r="AR116" s="83">
        <f>SUM(AR103:AR115)</f>
        <v>219300</v>
      </c>
      <c r="AS116" s="83">
        <f>SUM(AS103:AS115)</f>
        <v>0</v>
      </c>
      <c r="AT116" s="83">
        <f t="shared" ref="AT116:AV116" si="278">SUM(AT103:AT115)</f>
        <v>20160</v>
      </c>
      <c r="AU116" s="83">
        <f t="shared" si="278"/>
        <v>0</v>
      </c>
      <c r="AV116" s="83">
        <f t="shared" si="278"/>
        <v>239460</v>
      </c>
      <c r="AX116" s="83">
        <f>SUM(AX103:AX115)</f>
        <v>22031898.228232779</v>
      </c>
      <c r="AY116" s="83">
        <f>SUM(AY103:AY115)</f>
        <v>529914.43999999994</v>
      </c>
      <c r="AZ116" s="83">
        <f t="shared" ref="AZ116:BB116" si="279">SUM(AZ103:AZ115)</f>
        <v>2781300</v>
      </c>
      <c r="BA116" s="83">
        <f t="shared" si="279"/>
        <v>0</v>
      </c>
      <c r="BB116" s="83">
        <f t="shared" si="279"/>
        <v>25343112.66823278</v>
      </c>
    </row>
    <row r="117" spans="1:54" x14ac:dyDescent="0.25">
      <c r="A117" s="84" t="s">
        <v>96</v>
      </c>
      <c r="B117" s="150" t="str">
        <f>B1</f>
        <v>Operating</v>
      </c>
      <c r="C117" s="150" t="str">
        <f>C1</f>
        <v>Weights</v>
      </c>
      <c r="D117" s="150" t="str">
        <f>D1</f>
        <v>SPED</v>
      </c>
      <c r="E117" s="150" t="str">
        <f t="shared" ref="E117:F117" si="280">E1</f>
        <v>NSLP</v>
      </c>
      <c r="F117" s="150" t="str">
        <f t="shared" si="280"/>
        <v>Horizon</v>
      </c>
      <c r="H117" s="150" t="str">
        <f>H1</f>
        <v>Operating</v>
      </c>
      <c r="I117" s="150" t="str">
        <f>I1</f>
        <v>Weights</v>
      </c>
      <c r="J117" s="150" t="str">
        <f>J1</f>
        <v>SPED</v>
      </c>
      <c r="K117" s="150" t="str">
        <f t="shared" ref="K117:L117" si="281">K1</f>
        <v>NSLP</v>
      </c>
      <c r="L117" s="150" t="str">
        <f t="shared" si="281"/>
        <v>Cadence</v>
      </c>
      <c r="N117" s="150" t="str">
        <f>N1</f>
        <v>Operating</v>
      </c>
      <c r="O117" s="150" t="str">
        <f>O1</f>
        <v>Weights</v>
      </c>
      <c r="P117" s="150" t="str">
        <f>P1</f>
        <v>SPED</v>
      </c>
      <c r="Q117" s="150" t="str">
        <f t="shared" ref="Q117:R117" si="282">Q1</f>
        <v>NSLP</v>
      </c>
      <c r="R117" s="150" t="str">
        <f t="shared" si="282"/>
        <v>St. Rose</v>
      </c>
      <c r="T117" s="150" t="str">
        <f>T1</f>
        <v>Operating</v>
      </c>
      <c r="U117" s="150" t="str">
        <f>U1</f>
        <v>Weights</v>
      </c>
      <c r="V117" s="150" t="str">
        <f>V1</f>
        <v>SPED</v>
      </c>
      <c r="W117" s="150" t="str">
        <f t="shared" ref="W117:X117" si="283">W1</f>
        <v>NSLP</v>
      </c>
      <c r="X117" s="150" t="str">
        <f t="shared" si="283"/>
        <v>Inspirada</v>
      </c>
      <c r="Z117" s="150" t="str">
        <f>Z1</f>
        <v>Operating</v>
      </c>
      <c r="AA117" s="150" t="str">
        <f>AA1</f>
        <v>Weights</v>
      </c>
      <c r="AB117" s="150" t="str">
        <f>AB1</f>
        <v>SPED</v>
      </c>
      <c r="AC117" s="150" t="str">
        <f t="shared" ref="AC117:AD117" si="284">AC1</f>
        <v>NSLP</v>
      </c>
      <c r="AD117" s="150" t="str">
        <f t="shared" si="284"/>
        <v>Sloan Canyon</v>
      </c>
      <c r="AF117" s="150" t="str">
        <f>AF1</f>
        <v>Operating</v>
      </c>
      <c r="AG117" s="150" t="str">
        <f>AG1</f>
        <v>Weights</v>
      </c>
      <c r="AH117" s="150" t="str">
        <f>AH1</f>
        <v>SPED</v>
      </c>
      <c r="AI117" s="150" t="str">
        <f t="shared" ref="AI117:AJ117" si="285">AI1</f>
        <v>NSLP</v>
      </c>
      <c r="AJ117" s="150" t="str">
        <f t="shared" si="285"/>
        <v>Springs</v>
      </c>
      <c r="AL117" s="150" t="str">
        <f>AL1</f>
        <v>Operating</v>
      </c>
      <c r="AM117" s="150" t="str">
        <f>AM1</f>
        <v>Weights</v>
      </c>
      <c r="AN117" s="150" t="str">
        <f>AN1</f>
        <v>SPED</v>
      </c>
      <c r="AO117" s="150" t="str">
        <f t="shared" ref="AO117:AP117" si="286">AO1</f>
        <v>NSLP</v>
      </c>
      <c r="AP117" s="150" t="str">
        <f t="shared" si="286"/>
        <v>System Wide</v>
      </c>
      <c r="AR117" s="150" t="str">
        <f>AR1</f>
        <v>Operating</v>
      </c>
      <c r="AS117" s="150" t="str">
        <f>AS1</f>
        <v>Weights</v>
      </c>
      <c r="AT117" s="150" t="str">
        <f>AT1</f>
        <v>SPED</v>
      </c>
      <c r="AU117" s="150" t="str">
        <f t="shared" ref="AU117:AV117" si="287">AU1</f>
        <v>NSLP</v>
      </c>
      <c r="AV117" s="150" t="str">
        <f t="shared" si="287"/>
        <v>Virtual</v>
      </c>
      <c r="AX117" s="150" t="str">
        <f>AX1</f>
        <v>Operating</v>
      </c>
      <c r="AY117" s="150" t="str">
        <f>AY1</f>
        <v>Weights</v>
      </c>
      <c r="AZ117" s="150" t="str">
        <f>AZ1</f>
        <v>SPED</v>
      </c>
      <c r="BA117" s="150" t="str">
        <f t="shared" ref="BA117:BB117" si="288">BA1</f>
        <v>NSLP</v>
      </c>
      <c r="BB117" s="150" t="str">
        <f t="shared" si="288"/>
        <v>Pinecrest System</v>
      </c>
    </row>
    <row r="118" spans="1:54" x14ac:dyDescent="0.25">
      <c r="A118" s="62"/>
      <c r="B118" s="7"/>
      <c r="C118" s="7"/>
      <c r="D118" s="7"/>
      <c r="E118" s="7"/>
      <c r="F118" s="7">
        <f t="shared" ref="F118:F127" si="289">SUM(B118:E118)</f>
        <v>0</v>
      </c>
      <c r="H118" s="7"/>
      <c r="I118" s="7"/>
      <c r="J118" s="7"/>
      <c r="K118" s="7"/>
      <c r="L118" s="7">
        <f t="shared" ref="L118:L127" si="290">SUM(H118:K118)</f>
        <v>0</v>
      </c>
      <c r="N118" s="7"/>
      <c r="O118" s="7"/>
      <c r="P118" s="7"/>
      <c r="Q118" s="7"/>
      <c r="R118" s="7">
        <f t="shared" ref="R118:R127" si="291">SUM(N118:Q118)</f>
        <v>0</v>
      </c>
      <c r="T118" s="7"/>
      <c r="U118" s="7"/>
      <c r="V118" s="7"/>
      <c r="W118" s="7"/>
      <c r="X118" s="7">
        <f t="shared" ref="X118:X127" si="292">SUM(T118:W118)</f>
        <v>0</v>
      </c>
      <c r="Z118" s="7"/>
      <c r="AA118" s="7"/>
      <c r="AB118" s="7"/>
      <c r="AC118" s="7"/>
      <c r="AD118" s="7">
        <f t="shared" ref="AD118:AD127" si="293">SUM(Z118:AC118)</f>
        <v>0</v>
      </c>
      <c r="AF118" s="7"/>
      <c r="AG118" s="7"/>
      <c r="AH118" s="7"/>
      <c r="AI118" s="7"/>
      <c r="AJ118" s="7">
        <f t="shared" ref="AJ118:AJ127" si="294">SUM(AF118:AI118)</f>
        <v>0</v>
      </c>
      <c r="AL118" s="7"/>
      <c r="AM118" s="7"/>
      <c r="AN118" s="7"/>
      <c r="AO118" s="7"/>
      <c r="AP118" s="7">
        <f t="shared" ref="AP118:AP127" si="295">SUM(AL118:AO118)</f>
        <v>0</v>
      </c>
      <c r="AR118" s="7"/>
      <c r="AS118" s="7"/>
      <c r="AT118" s="7"/>
      <c r="AU118" s="7"/>
      <c r="AV118" s="7">
        <f t="shared" ref="AV118:AV127" si="296">SUM(AR118:AU118)</f>
        <v>0</v>
      </c>
      <c r="AX118" s="7">
        <f>B118+H118+N118+T118+Z118+AF118+AL118+AR118</f>
        <v>0</v>
      </c>
      <c r="AY118" s="7">
        <f t="shared" ref="AY118:BA127" si="297">C118+I118+O118+U118+AA118+AG118+AM118+AS118</f>
        <v>0</v>
      </c>
      <c r="AZ118" s="7">
        <f t="shared" si="297"/>
        <v>0</v>
      </c>
      <c r="BA118" s="7">
        <f t="shared" si="297"/>
        <v>0</v>
      </c>
      <c r="BB118" s="7">
        <f t="shared" ref="BB118:BB127" si="298">SUM(AX118:BA118)</f>
        <v>0</v>
      </c>
    </row>
    <row r="119" spans="1:54" x14ac:dyDescent="0.25">
      <c r="A119" s="62" t="s">
        <v>54</v>
      </c>
      <c r="B119" s="7">
        <v>0</v>
      </c>
      <c r="C119" s="7">
        <f>'FY23'!C119*1.02</f>
        <v>0</v>
      </c>
      <c r="D119" s="7">
        <f>'FY23'!D119*1.02</f>
        <v>67333.647600000011</v>
      </c>
      <c r="E119" s="7">
        <f>'FY23'!E119*1.02</f>
        <v>0</v>
      </c>
      <c r="F119" s="7">
        <f t="shared" si="289"/>
        <v>67333.647600000011</v>
      </c>
      <c r="H119" s="7">
        <v>0</v>
      </c>
      <c r="I119" s="7">
        <f>'FY23'!I119*1.02</f>
        <v>0</v>
      </c>
      <c r="J119" s="7">
        <f>'FY23'!J119*1.02</f>
        <v>67141.5</v>
      </c>
      <c r="K119" s="7">
        <f>'FY23'!K119*1.02</f>
        <v>0</v>
      </c>
      <c r="L119" s="7">
        <f t="shared" si="290"/>
        <v>67141.5</v>
      </c>
      <c r="N119" s="7">
        <v>0</v>
      </c>
      <c r="O119" s="7">
        <f>'FY23'!O119*1.02</f>
        <v>0</v>
      </c>
      <c r="P119" s="7">
        <f>'FY23'!P119*1.02</f>
        <v>62220</v>
      </c>
      <c r="Q119" s="7">
        <f>'FY23'!Q119*1.02</f>
        <v>0</v>
      </c>
      <c r="R119" s="7">
        <f t="shared" si="291"/>
        <v>62220</v>
      </c>
      <c r="T119" s="7">
        <v>0</v>
      </c>
      <c r="U119" s="7">
        <f>'FY23'!U119*1.02</f>
        <v>0</v>
      </c>
      <c r="V119" s="7">
        <f>'FY23'!V119*1.02</f>
        <v>46920</v>
      </c>
      <c r="W119" s="7">
        <f>'FY23'!W119*1.02</f>
        <v>0</v>
      </c>
      <c r="X119" s="7">
        <f t="shared" si="292"/>
        <v>46920</v>
      </c>
      <c r="Z119" s="7">
        <v>0</v>
      </c>
      <c r="AA119" s="7">
        <f>'FY23'!AA119*1.02</f>
        <v>0</v>
      </c>
      <c r="AB119" s="7">
        <f>'FY23'!AB119*1.02</f>
        <v>0</v>
      </c>
      <c r="AC119" s="7">
        <f>'FY23'!AC119*1.02</f>
        <v>0</v>
      </c>
      <c r="AD119" s="7">
        <f t="shared" si="293"/>
        <v>0</v>
      </c>
      <c r="AF119" s="7">
        <v>0</v>
      </c>
      <c r="AG119" s="7">
        <v>0</v>
      </c>
      <c r="AH119" s="7">
        <v>0</v>
      </c>
      <c r="AI119" s="7">
        <f>'FY23'!AI119*1.02</f>
        <v>0</v>
      </c>
      <c r="AJ119" s="7">
        <f t="shared" si="294"/>
        <v>0</v>
      </c>
      <c r="AL119" s="7">
        <v>0</v>
      </c>
      <c r="AM119" s="7">
        <f>'FY23'!AG119*1.02</f>
        <v>0</v>
      </c>
      <c r="AN119" s="7">
        <f>'FY23'!AH119*1.02</f>
        <v>0</v>
      </c>
      <c r="AO119" s="7">
        <f>'FY23'!AI119*1.02</f>
        <v>0</v>
      </c>
      <c r="AP119" s="7">
        <f t="shared" si="295"/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f t="shared" si="296"/>
        <v>0</v>
      </c>
      <c r="AX119" s="7">
        <f t="shared" ref="AX119:AX127" si="299">B119+H119+N119+T119+Z119+AF119+AL119+AR119</f>
        <v>0</v>
      </c>
      <c r="AY119" s="7">
        <f t="shared" si="297"/>
        <v>0</v>
      </c>
      <c r="AZ119" s="7">
        <f t="shared" si="297"/>
        <v>243615.14760000003</v>
      </c>
      <c r="BA119" s="7">
        <f t="shared" si="297"/>
        <v>0</v>
      </c>
      <c r="BB119" s="7">
        <f t="shared" si="298"/>
        <v>243615.14760000003</v>
      </c>
    </row>
    <row r="120" spans="1:54" x14ac:dyDescent="0.25">
      <c r="A120" s="62" t="s">
        <v>55</v>
      </c>
      <c r="B120" s="7">
        <v>0</v>
      </c>
      <c r="C120" s="7">
        <f>'FY23'!C120*1.02</f>
        <v>0</v>
      </c>
      <c r="D120" s="7">
        <f>'FY23'!D120*1.02</f>
        <v>0</v>
      </c>
      <c r="E120" s="7">
        <f>'FY23'!E120*1.02</f>
        <v>0</v>
      </c>
      <c r="F120" s="7">
        <f t="shared" si="289"/>
        <v>0</v>
      </c>
      <c r="H120" s="7">
        <v>0</v>
      </c>
      <c r="I120" s="7">
        <f>'FY23'!I120*1.02</f>
        <v>0</v>
      </c>
      <c r="J120" s="7">
        <f>'FY23'!J120*1.02</f>
        <v>48960</v>
      </c>
      <c r="K120" s="7">
        <f>'FY23'!K120*1.02</f>
        <v>0</v>
      </c>
      <c r="L120" s="7">
        <f t="shared" si="290"/>
        <v>48960</v>
      </c>
      <c r="N120" s="7">
        <v>0</v>
      </c>
      <c r="O120" s="7">
        <f>'FY23'!O120*1.02</f>
        <v>0</v>
      </c>
      <c r="P120" s="7">
        <f>'FY23'!P120*1.02</f>
        <v>0</v>
      </c>
      <c r="Q120" s="7">
        <f>'FY23'!Q120*1.02</f>
        <v>0</v>
      </c>
      <c r="R120" s="7">
        <f t="shared" si="291"/>
        <v>0</v>
      </c>
      <c r="T120" s="7">
        <v>0</v>
      </c>
      <c r="U120" s="7">
        <f>'FY23'!U120*1.02</f>
        <v>0</v>
      </c>
      <c r="V120" s="7">
        <f>'FY23'!V120*1.02</f>
        <v>43426.5</v>
      </c>
      <c r="W120" s="7">
        <f>'FY23'!W120*1.02</f>
        <v>0</v>
      </c>
      <c r="X120" s="7">
        <f t="shared" si="292"/>
        <v>43426.5</v>
      </c>
      <c r="Z120" s="7">
        <v>0</v>
      </c>
      <c r="AA120" s="7">
        <f>'FY23'!AA120*1.02</f>
        <v>0</v>
      </c>
      <c r="AB120" s="7">
        <f>'FY23'!AB120*1.02</f>
        <v>48815.567999999999</v>
      </c>
      <c r="AC120" s="7">
        <f>'FY23'!AC120*1.02</f>
        <v>0</v>
      </c>
      <c r="AD120" s="7">
        <f t="shared" si="293"/>
        <v>48815.567999999999</v>
      </c>
      <c r="AF120" s="7">
        <v>0</v>
      </c>
      <c r="AG120" s="7">
        <v>0</v>
      </c>
      <c r="AH120" s="7">
        <v>0</v>
      </c>
      <c r="AI120" s="7">
        <f>'FY23'!AI120*1.02</f>
        <v>0</v>
      </c>
      <c r="AJ120" s="7">
        <f t="shared" si="294"/>
        <v>0</v>
      </c>
      <c r="AL120" s="7">
        <v>0</v>
      </c>
      <c r="AM120" s="7">
        <f>'FY23'!AG120*1.02</f>
        <v>0</v>
      </c>
      <c r="AN120" s="7">
        <f>'FY23'!AH120*1.02</f>
        <v>0</v>
      </c>
      <c r="AO120" s="7">
        <f>'FY23'!AI120*1.02</f>
        <v>0</v>
      </c>
      <c r="AP120" s="7">
        <f t="shared" si="295"/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f t="shared" si="296"/>
        <v>0</v>
      </c>
      <c r="AX120" s="7">
        <f t="shared" si="299"/>
        <v>0</v>
      </c>
      <c r="AY120" s="7">
        <f t="shared" si="297"/>
        <v>0</v>
      </c>
      <c r="AZ120" s="7">
        <f t="shared" si="297"/>
        <v>141202.068</v>
      </c>
      <c r="BA120" s="7">
        <f t="shared" si="297"/>
        <v>0</v>
      </c>
      <c r="BB120" s="7">
        <f t="shared" si="298"/>
        <v>141202.068</v>
      </c>
    </row>
    <row r="121" spans="1:54" x14ac:dyDescent="0.25">
      <c r="A121" s="62" t="s">
        <v>56</v>
      </c>
      <c r="B121" s="7">
        <v>0</v>
      </c>
      <c r="C121" s="7">
        <f>'FY23'!C121*1.02</f>
        <v>0</v>
      </c>
      <c r="D121" s="7">
        <f>'FY23'!D121*1.02</f>
        <v>0</v>
      </c>
      <c r="E121" s="7">
        <f>'FY23'!E121*1.02</f>
        <v>0</v>
      </c>
      <c r="F121" s="7">
        <f t="shared" si="289"/>
        <v>0</v>
      </c>
      <c r="H121" s="7">
        <v>0</v>
      </c>
      <c r="I121" s="7">
        <f>'FY23'!I121*1.02</f>
        <v>0</v>
      </c>
      <c r="J121" s="7">
        <f>'FY23'!J121*1.02</f>
        <v>81600</v>
      </c>
      <c r="K121" s="7">
        <f>'FY23'!K121*1.02</f>
        <v>0</v>
      </c>
      <c r="L121" s="7">
        <f t="shared" si="290"/>
        <v>81600</v>
      </c>
      <c r="N121" s="7">
        <v>0</v>
      </c>
      <c r="O121" s="7">
        <f>'FY23'!O121*1.02</f>
        <v>0</v>
      </c>
      <c r="P121" s="7">
        <f>'FY23'!P121*1.02</f>
        <v>35700</v>
      </c>
      <c r="Q121" s="7">
        <f>'FY23'!Q121*1.02</f>
        <v>0</v>
      </c>
      <c r="R121" s="7">
        <f t="shared" si="291"/>
        <v>35700</v>
      </c>
      <c r="T121" s="7">
        <v>0</v>
      </c>
      <c r="U121" s="7">
        <f>'FY23'!U121*1.02</f>
        <v>0</v>
      </c>
      <c r="V121" s="7">
        <f>'FY23'!V121*1.02</f>
        <v>35700</v>
      </c>
      <c r="W121" s="7">
        <f>'FY23'!W121*1.02</f>
        <v>0</v>
      </c>
      <c r="X121" s="7">
        <f t="shared" si="292"/>
        <v>35700</v>
      </c>
      <c r="Z121" s="7">
        <v>0</v>
      </c>
      <c r="AA121" s="7">
        <f>'FY23'!AA121*1.02</f>
        <v>0</v>
      </c>
      <c r="AB121" s="7">
        <f>'FY23'!AB121*1.02</f>
        <v>66300</v>
      </c>
      <c r="AC121" s="7">
        <f>'FY23'!AC121*1.02</f>
        <v>0</v>
      </c>
      <c r="AD121" s="7">
        <f t="shared" si="293"/>
        <v>66300</v>
      </c>
      <c r="AF121" s="7">
        <v>0</v>
      </c>
      <c r="AG121" s="7">
        <v>0</v>
      </c>
      <c r="AH121" s="7">
        <v>0</v>
      </c>
      <c r="AI121" s="7">
        <f>'FY23'!AI121*1.02</f>
        <v>0</v>
      </c>
      <c r="AJ121" s="7">
        <f t="shared" si="294"/>
        <v>0</v>
      </c>
      <c r="AL121" s="7">
        <v>0</v>
      </c>
      <c r="AM121" s="7">
        <f>'FY23'!AG121*1.02</f>
        <v>0</v>
      </c>
      <c r="AN121" s="7">
        <f>'FY23'!AH121*1.02</f>
        <v>0</v>
      </c>
      <c r="AO121" s="7">
        <f>'FY23'!AI121*1.02</f>
        <v>0</v>
      </c>
      <c r="AP121" s="7">
        <f t="shared" si="295"/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f t="shared" si="296"/>
        <v>0</v>
      </c>
      <c r="AX121" s="7">
        <f t="shared" si="299"/>
        <v>0</v>
      </c>
      <c r="AY121" s="7">
        <f t="shared" si="297"/>
        <v>0</v>
      </c>
      <c r="AZ121" s="7">
        <f t="shared" si="297"/>
        <v>219300</v>
      </c>
      <c r="BA121" s="7">
        <f t="shared" si="297"/>
        <v>0</v>
      </c>
      <c r="BB121" s="7">
        <f t="shared" si="298"/>
        <v>219300</v>
      </c>
    </row>
    <row r="122" spans="1:54" x14ac:dyDescent="0.25">
      <c r="A122" s="62" t="s">
        <v>97</v>
      </c>
      <c r="B122" s="7">
        <v>0</v>
      </c>
      <c r="C122" s="7">
        <f>'FY23'!C122*1.02</f>
        <v>0</v>
      </c>
      <c r="D122" s="7">
        <f>'FY23'!D122*1.02</f>
        <v>0</v>
      </c>
      <c r="E122" s="7">
        <f>'FY23'!E122*1.02</f>
        <v>0</v>
      </c>
      <c r="F122" s="7">
        <f t="shared" si="289"/>
        <v>0</v>
      </c>
      <c r="H122" s="7">
        <v>0</v>
      </c>
      <c r="I122" s="7">
        <f>'FY23'!I122*1.02</f>
        <v>0</v>
      </c>
      <c r="J122" s="7">
        <f>'FY23'!J122*1.02</f>
        <v>0</v>
      </c>
      <c r="K122" s="7">
        <f>'FY23'!K122*1.02</f>
        <v>0</v>
      </c>
      <c r="L122" s="7">
        <f t="shared" si="290"/>
        <v>0</v>
      </c>
      <c r="N122" s="7">
        <v>0</v>
      </c>
      <c r="O122" s="7">
        <f>'FY23'!O122*1.02</f>
        <v>0</v>
      </c>
      <c r="P122" s="7">
        <f>'FY23'!P122*1.02</f>
        <v>0</v>
      </c>
      <c r="Q122" s="7">
        <f>'FY23'!Q122*1.02</f>
        <v>0</v>
      </c>
      <c r="R122" s="7">
        <f t="shared" si="291"/>
        <v>0</v>
      </c>
      <c r="T122" s="7">
        <v>0</v>
      </c>
      <c r="U122" s="7">
        <f>'FY23'!U122*1.02</f>
        <v>0</v>
      </c>
      <c r="V122" s="7">
        <f>'FY23'!V122*1.02</f>
        <v>0</v>
      </c>
      <c r="W122" s="7">
        <f>'FY23'!W122*1.02</f>
        <v>0</v>
      </c>
      <c r="X122" s="7">
        <f t="shared" si="292"/>
        <v>0</v>
      </c>
      <c r="Z122" s="7">
        <v>0</v>
      </c>
      <c r="AA122" s="7">
        <f>'FY23'!AA122*1.02</f>
        <v>0</v>
      </c>
      <c r="AB122" s="7">
        <f>'FY23'!AB122*1.02</f>
        <v>17616.052800000001</v>
      </c>
      <c r="AC122" s="7">
        <f>'FY23'!AC122*1.02</f>
        <v>0</v>
      </c>
      <c r="AD122" s="7">
        <f t="shared" si="293"/>
        <v>17616.052800000001</v>
      </c>
      <c r="AF122" s="7">
        <v>0</v>
      </c>
      <c r="AG122" s="7">
        <v>0</v>
      </c>
      <c r="AH122" s="7">
        <v>0</v>
      </c>
      <c r="AI122" s="7">
        <f>'FY23'!AI122*1.02</f>
        <v>0</v>
      </c>
      <c r="AJ122" s="7">
        <f t="shared" si="294"/>
        <v>0</v>
      </c>
      <c r="AL122" s="7">
        <v>0</v>
      </c>
      <c r="AM122" s="7">
        <f>'FY23'!AG122*1.02</f>
        <v>0</v>
      </c>
      <c r="AN122" s="7">
        <f>'FY23'!AH122*1.02</f>
        <v>0</v>
      </c>
      <c r="AO122" s="7">
        <f>'FY23'!AI122*1.02</f>
        <v>0</v>
      </c>
      <c r="AP122" s="7">
        <f t="shared" si="295"/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f t="shared" si="296"/>
        <v>0</v>
      </c>
      <c r="AX122" s="7">
        <f t="shared" si="299"/>
        <v>0</v>
      </c>
      <c r="AY122" s="7">
        <f t="shared" si="297"/>
        <v>0</v>
      </c>
      <c r="AZ122" s="7">
        <f t="shared" si="297"/>
        <v>17616.052800000001</v>
      </c>
      <c r="BA122" s="7">
        <f t="shared" si="297"/>
        <v>0</v>
      </c>
      <c r="BB122" s="7">
        <f t="shared" si="298"/>
        <v>17616.052800000001</v>
      </c>
    </row>
    <row r="123" spans="1:54" x14ac:dyDescent="0.25">
      <c r="A123" s="62" t="s">
        <v>58</v>
      </c>
      <c r="B123" s="7">
        <v>0</v>
      </c>
      <c r="C123" s="7">
        <f>'FY23'!C123*1.02</f>
        <v>0</v>
      </c>
      <c r="D123" s="7">
        <f>'FY23'!D123*1.02</f>
        <v>0</v>
      </c>
      <c r="E123" s="7">
        <f>'FY23'!E123*1.02</f>
        <v>0</v>
      </c>
      <c r="F123" s="7">
        <f t="shared" si="289"/>
        <v>0</v>
      </c>
      <c r="H123" s="7">
        <v>0</v>
      </c>
      <c r="I123" s="7">
        <f>'FY23'!I123*1.02</f>
        <v>0</v>
      </c>
      <c r="J123" s="7">
        <f>'FY23'!J123*1.02</f>
        <v>62220</v>
      </c>
      <c r="K123" s="7">
        <f>'FY23'!K123*1.02</f>
        <v>0</v>
      </c>
      <c r="L123" s="7">
        <f t="shared" si="290"/>
        <v>62220</v>
      </c>
      <c r="N123" s="7">
        <v>0</v>
      </c>
      <c r="O123" s="7">
        <f>'FY23'!O123*1.02</f>
        <v>0</v>
      </c>
      <c r="P123" s="7">
        <f>'FY23'!P123*1.02</f>
        <v>0</v>
      </c>
      <c r="Q123" s="7">
        <f>'FY23'!Q123*1.02</f>
        <v>0</v>
      </c>
      <c r="R123" s="7">
        <f t="shared" si="291"/>
        <v>0</v>
      </c>
      <c r="T123" s="7">
        <v>0</v>
      </c>
      <c r="U123" s="7">
        <f>'FY23'!U123*1.02</f>
        <v>0</v>
      </c>
      <c r="V123" s="7">
        <f>'FY23'!V123*1.02</f>
        <v>0</v>
      </c>
      <c r="W123" s="7">
        <f>'FY23'!W123*1.02</f>
        <v>0</v>
      </c>
      <c r="X123" s="7">
        <f t="shared" si="292"/>
        <v>0</v>
      </c>
      <c r="Z123" s="7">
        <v>0</v>
      </c>
      <c r="AA123" s="7">
        <f>'FY23'!AA123*1.02</f>
        <v>0</v>
      </c>
      <c r="AB123" s="7">
        <f>'FY23'!AB123*1.02</f>
        <v>68978.52</v>
      </c>
      <c r="AC123" s="7">
        <f>'FY23'!AC123*1.02</f>
        <v>0</v>
      </c>
      <c r="AD123" s="7">
        <f t="shared" si="293"/>
        <v>68978.52</v>
      </c>
      <c r="AF123" s="7">
        <v>0</v>
      </c>
      <c r="AG123" s="7">
        <v>0</v>
      </c>
      <c r="AH123" s="7">
        <v>0</v>
      </c>
      <c r="AI123" s="7">
        <f>'FY23'!AI123*1.02</f>
        <v>0</v>
      </c>
      <c r="AJ123" s="7">
        <f t="shared" si="294"/>
        <v>0</v>
      </c>
      <c r="AL123" s="7">
        <v>0</v>
      </c>
      <c r="AM123" s="7">
        <f>'FY23'!AG123*1.02</f>
        <v>0</v>
      </c>
      <c r="AN123" s="7">
        <f>'FY23'!AH123*1.02</f>
        <v>0</v>
      </c>
      <c r="AO123" s="7">
        <f>'FY23'!AI123*1.02</f>
        <v>0</v>
      </c>
      <c r="AP123" s="7">
        <f t="shared" si="295"/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f t="shared" si="296"/>
        <v>0</v>
      </c>
      <c r="AX123" s="7">
        <f t="shared" si="299"/>
        <v>0</v>
      </c>
      <c r="AY123" s="7">
        <f t="shared" si="297"/>
        <v>0</v>
      </c>
      <c r="AZ123" s="7">
        <f t="shared" si="297"/>
        <v>131198.52000000002</v>
      </c>
      <c r="BA123" s="7">
        <f t="shared" si="297"/>
        <v>0</v>
      </c>
      <c r="BB123" s="7">
        <f t="shared" si="298"/>
        <v>131198.52000000002</v>
      </c>
    </row>
    <row r="124" spans="1:54" x14ac:dyDescent="0.25">
      <c r="A124" s="62" t="s">
        <v>98</v>
      </c>
      <c r="B124" s="7">
        <v>0</v>
      </c>
      <c r="C124" s="7">
        <f>'FY23'!C124*1.02</f>
        <v>24773.900760000004</v>
      </c>
      <c r="D124" s="7">
        <f>'FY23'!D124*1.02</f>
        <v>0</v>
      </c>
      <c r="E124" s="7">
        <f>'FY23'!E124*1.02</f>
        <v>0</v>
      </c>
      <c r="F124" s="7">
        <f t="shared" si="289"/>
        <v>24773.900760000004</v>
      </c>
      <c r="H124" s="7">
        <v>0</v>
      </c>
      <c r="I124" s="7">
        <f>'FY23'!I124*1.02</f>
        <v>44162.170920000004</v>
      </c>
      <c r="J124" s="7">
        <f>'FY23'!J124*1.02</f>
        <v>0</v>
      </c>
      <c r="K124" s="7">
        <f>'FY23'!K124*1.02</f>
        <v>0</v>
      </c>
      <c r="L124" s="7">
        <f t="shared" si="290"/>
        <v>44162.170920000004</v>
      </c>
      <c r="N124" s="7">
        <v>0</v>
      </c>
      <c r="O124" s="7">
        <f>'FY23'!O124*1.02</f>
        <v>24773.90076</v>
      </c>
      <c r="P124" s="7">
        <f>'FY23'!P124*1.02</f>
        <v>0</v>
      </c>
      <c r="Q124" s="7">
        <f>'FY23'!Q124*1.02</f>
        <v>0</v>
      </c>
      <c r="R124" s="7">
        <f t="shared" si="291"/>
        <v>24773.90076</v>
      </c>
      <c r="T124" s="7">
        <v>0</v>
      </c>
      <c r="U124" s="7">
        <f>'FY23'!U124*1.02</f>
        <v>68850</v>
      </c>
      <c r="V124" s="7">
        <f>'FY23'!V124*1.02</f>
        <v>0</v>
      </c>
      <c r="W124" s="7">
        <f>'FY23'!W124*1.02</f>
        <v>0</v>
      </c>
      <c r="X124" s="7">
        <f t="shared" si="292"/>
        <v>68850</v>
      </c>
      <c r="Z124" s="7">
        <v>0</v>
      </c>
      <c r="AA124" s="7">
        <f>'FY23'!AA124*1.02</f>
        <v>70890</v>
      </c>
      <c r="AB124" s="7">
        <f>'FY23'!AB124*1.02</f>
        <v>0</v>
      </c>
      <c r="AC124" s="7">
        <f>'FY23'!AC124*1.02</f>
        <v>0</v>
      </c>
      <c r="AD124" s="7">
        <f t="shared" si="293"/>
        <v>70890</v>
      </c>
      <c r="AF124" s="7">
        <v>0</v>
      </c>
      <c r="AG124" s="7">
        <v>0</v>
      </c>
      <c r="AH124" s="7">
        <v>0</v>
      </c>
      <c r="AI124" s="7">
        <f>'FY23'!AI124*1.02</f>
        <v>0</v>
      </c>
      <c r="AJ124" s="7">
        <f t="shared" si="294"/>
        <v>0</v>
      </c>
      <c r="AL124" s="7">
        <v>0</v>
      </c>
      <c r="AM124" s="7">
        <f>'FY23'!AG124*1.02</f>
        <v>26400.149999999998</v>
      </c>
      <c r="AN124" s="7">
        <f>'FY23'!AH124*1.02</f>
        <v>0</v>
      </c>
      <c r="AO124" s="7">
        <f>'FY23'!AI124*1.02</f>
        <v>0</v>
      </c>
      <c r="AP124" s="7">
        <f t="shared" si="295"/>
        <v>26400.149999999998</v>
      </c>
      <c r="AR124" s="7">
        <v>0</v>
      </c>
      <c r="AS124" s="7">
        <v>0</v>
      </c>
      <c r="AT124" s="7">
        <v>0</v>
      </c>
      <c r="AU124" s="7">
        <v>0</v>
      </c>
      <c r="AV124" s="7">
        <f t="shared" si="296"/>
        <v>0</v>
      </c>
      <c r="AX124" s="7">
        <f t="shared" si="299"/>
        <v>0</v>
      </c>
      <c r="AY124" s="7">
        <f t="shared" si="297"/>
        <v>259850.12244000001</v>
      </c>
      <c r="AZ124" s="7">
        <f t="shared" si="297"/>
        <v>0</v>
      </c>
      <c r="BA124" s="7">
        <f t="shared" si="297"/>
        <v>0</v>
      </c>
      <c r="BB124" s="7">
        <f t="shared" si="298"/>
        <v>259850.12244000001</v>
      </c>
    </row>
    <row r="125" spans="1:54" x14ac:dyDescent="0.25">
      <c r="A125" s="62" t="s">
        <v>99</v>
      </c>
      <c r="B125" s="7">
        <v>0</v>
      </c>
      <c r="C125" s="7">
        <v>0</v>
      </c>
      <c r="D125" s="7">
        <v>0</v>
      </c>
      <c r="E125" s="7">
        <v>0</v>
      </c>
      <c r="F125" s="7">
        <f t="shared" si="289"/>
        <v>0</v>
      </c>
      <c r="H125" s="7">
        <v>0</v>
      </c>
      <c r="I125" s="7">
        <v>0</v>
      </c>
      <c r="J125" s="7">
        <v>0</v>
      </c>
      <c r="K125" s="7">
        <v>0</v>
      </c>
      <c r="L125" s="7">
        <f t="shared" si="290"/>
        <v>0</v>
      </c>
      <c r="N125" s="7">
        <v>0</v>
      </c>
      <c r="O125" s="7">
        <v>0</v>
      </c>
      <c r="P125" s="7">
        <v>0</v>
      </c>
      <c r="Q125" s="7">
        <v>0</v>
      </c>
      <c r="R125" s="7">
        <f t="shared" si="291"/>
        <v>0</v>
      </c>
      <c r="T125" s="7">
        <v>0</v>
      </c>
      <c r="U125" s="7">
        <v>0</v>
      </c>
      <c r="V125" s="7">
        <v>0</v>
      </c>
      <c r="W125" s="7">
        <v>0</v>
      </c>
      <c r="X125" s="7">
        <f t="shared" si="292"/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f t="shared" si="293"/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f t="shared" si="294"/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f t="shared" si="295"/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f t="shared" si="296"/>
        <v>0</v>
      </c>
      <c r="AX125" s="7">
        <f t="shared" si="299"/>
        <v>0</v>
      </c>
      <c r="AY125" s="7">
        <f t="shared" si="297"/>
        <v>0</v>
      </c>
      <c r="AZ125" s="7">
        <f t="shared" si="297"/>
        <v>0</v>
      </c>
      <c r="BA125" s="7">
        <f t="shared" si="297"/>
        <v>0</v>
      </c>
      <c r="BB125" s="7">
        <f t="shared" si="298"/>
        <v>0</v>
      </c>
    </row>
    <row r="126" spans="1:54" x14ac:dyDescent="0.25">
      <c r="A126" s="62" t="s">
        <v>100</v>
      </c>
      <c r="B126" s="7">
        <v>0</v>
      </c>
      <c r="C126" s="7">
        <v>0</v>
      </c>
      <c r="D126" s="7">
        <v>0</v>
      </c>
      <c r="E126" s="7">
        <f>(14.25*8*180)*E53</f>
        <v>20520</v>
      </c>
      <c r="F126" s="7">
        <f t="shared" si="289"/>
        <v>20520</v>
      </c>
      <c r="H126" s="7">
        <v>0</v>
      </c>
      <c r="I126" s="7">
        <v>0</v>
      </c>
      <c r="J126" s="7">
        <v>0</v>
      </c>
      <c r="K126" s="7">
        <f>(14.5*8*180)*K53</f>
        <v>62640</v>
      </c>
      <c r="L126" s="7">
        <f t="shared" si="290"/>
        <v>62640</v>
      </c>
      <c r="N126" s="7">
        <v>0</v>
      </c>
      <c r="O126" s="7">
        <v>0</v>
      </c>
      <c r="P126" s="7">
        <v>0</v>
      </c>
      <c r="Q126" s="7">
        <f>(14.5*8*180)*Q53</f>
        <v>20880</v>
      </c>
      <c r="R126" s="7">
        <f t="shared" si="291"/>
        <v>20880</v>
      </c>
      <c r="T126" s="7">
        <v>0</v>
      </c>
      <c r="U126" s="7">
        <v>0</v>
      </c>
      <c r="V126" s="7">
        <v>0</v>
      </c>
      <c r="W126" s="7">
        <f>(14.25*8*180)*W53</f>
        <v>20520</v>
      </c>
      <c r="X126" s="7">
        <f t="shared" si="292"/>
        <v>20520</v>
      </c>
      <c r="Z126" s="7">
        <v>0</v>
      </c>
      <c r="AA126" s="7">
        <v>0</v>
      </c>
      <c r="AB126" s="7">
        <v>0</v>
      </c>
      <c r="AC126" s="7">
        <f>(14.25*8*180)*AC53</f>
        <v>41040</v>
      </c>
      <c r="AD126" s="7">
        <f t="shared" si="293"/>
        <v>41040</v>
      </c>
      <c r="AF126" s="7">
        <v>0</v>
      </c>
      <c r="AG126" s="7">
        <v>0</v>
      </c>
      <c r="AH126" s="7">
        <v>0</v>
      </c>
      <c r="AI126" s="7">
        <f>(14.25*8*180)*AI53</f>
        <v>20520</v>
      </c>
      <c r="AJ126" s="7">
        <f t="shared" si="294"/>
        <v>20520</v>
      </c>
      <c r="AL126" s="7">
        <v>0</v>
      </c>
      <c r="AM126" s="7">
        <v>0</v>
      </c>
      <c r="AN126" s="7">
        <v>0</v>
      </c>
      <c r="AO126" s="7">
        <f>(14*8*180)*AO53</f>
        <v>0</v>
      </c>
      <c r="AP126" s="7">
        <f t="shared" si="295"/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f t="shared" si="296"/>
        <v>0</v>
      </c>
      <c r="AX126" s="7">
        <f t="shared" si="299"/>
        <v>0</v>
      </c>
      <c r="AY126" s="7">
        <f t="shared" si="297"/>
        <v>0</v>
      </c>
      <c r="AZ126" s="7">
        <f t="shared" si="297"/>
        <v>0</v>
      </c>
      <c r="BA126" s="7">
        <f t="shared" si="297"/>
        <v>186120</v>
      </c>
      <c r="BB126" s="7">
        <f t="shared" si="298"/>
        <v>186120</v>
      </c>
    </row>
    <row r="127" spans="1:54" x14ac:dyDescent="0.25">
      <c r="A127" s="62" t="s">
        <v>101</v>
      </c>
      <c r="B127" s="37">
        <f>135*180</f>
        <v>24300</v>
      </c>
      <c r="C127" s="37"/>
      <c r="D127" s="37"/>
      <c r="E127" s="37"/>
      <c r="F127" s="7">
        <f t="shared" si="289"/>
        <v>24300</v>
      </c>
      <c r="H127" s="37">
        <f>135*180*2</f>
        <v>48600</v>
      </c>
      <c r="I127" s="37"/>
      <c r="J127" s="37"/>
      <c r="K127" s="37"/>
      <c r="L127" s="7">
        <f t="shared" si="290"/>
        <v>48600</v>
      </c>
      <c r="N127" s="37">
        <f>125*180</f>
        <v>22500</v>
      </c>
      <c r="O127" s="37"/>
      <c r="P127" s="37"/>
      <c r="Q127" s="37"/>
      <c r="R127" s="7">
        <f t="shared" si="291"/>
        <v>22500</v>
      </c>
      <c r="T127" s="37">
        <f>125*180</f>
        <v>22500</v>
      </c>
      <c r="U127" s="37"/>
      <c r="V127" s="37"/>
      <c r="W127" s="37"/>
      <c r="X127" s="7">
        <f t="shared" si="292"/>
        <v>22500</v>
      </c>
      <c r="Z127" s="37">
        <f>135*180</f>
        <v>24300</v>
      </c>
      <c r="AA127" s="37"/>
      <c r="AB127" s="37"/>
      <c r="AC127" s="37"/>
      <c r="AD127" s="7">
        <f t="shared" si="293"/>
        <v>24300</v>
      </c>
      <c r="AF127" s="37">
        <f>125*180</f>
        <v>22500</v>
      </c>
      <c r="AG127" s="7">
        <v>0</v>
      </c>
      <c r="AH127" s="7">
        <v>0</v>
      </c>
      <c r="AI127" s="7">
        <v>0</v>
      </c>
      <c r="AJ127" s="7">
        <f t="shared" si="294"/>
        <v>22500</v>
      </c>
      <c r="AL127" s="7">
        <v>0</v>
      </c>
      <c r="AM127" s="7">
        <v>0</v>
      </c>
      <c r="AN127" s="7">
        <v>0</v>
      </c>
      <c r="AO127" s="7">
        <v>0</v>
      </c>
      <c r="AP127" s="7">
        <f t="shared" si="295"/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f t="shared" si="296"/>
        <v>0</v>
      </c>
      <c r="AX127" s="7">
        <f t="shared" si="299"/>
        <v>164700</v>
      </c>
      <c r="AY127" s="7">
        <f t="shared" si="297"/>
        <v>0</v>
      </c>
      <c r="AZ127" s="7">
        <f t="shared" si="297"/>
        <v>0</v>
      </c>
      <c r="BA127" s="7">
        <f t="shared" si="297"/>
        <v>0</v>
      </c>
      <c r="BB127" s="7">
        <f t="shared" si="298"/>
        <v>164700</v>
      </c>
    </row>
    <row r="128" spans="1:54" ht="15.75" thickBot="1" x14ac:dyDescent="0.3">
      <c r="A128" s="82" t="s">
        <v>102</v>
      </c>
      <c r="B128" s="87">
        <f>SUM(B118:B127)</f>
        <v>24300</v>
      </c>
      <c r="C128" s="87">
        <f>SUM(C118:C127)</f>
        <v>24773.900760000004</v>
      </c>
      <c r="D128" s="87">
        <f>SUM(D118:D127)</f>
        <v>67333.647600000011</v>
      </c>
      <c r="E128" s="87">
        <f t="shared" ref="E128:F128" si="300">SUM(E118:E127)</f>
        <v>20520</v>
      </c>
      <c r="F128" s="87">
        <f t="shared" si="300"/>
        <v>136927.54836000002</v>
      </c>
      <c r="H128" s="87">
        <f>SUM(H118:H127)</f>
        <v>48600</v>
      </c>
      <c r="I128" s="87">
        <f>SUM(I118:I127)</f>
        <v>44162.170920000004</v>
      </c>
      <c r="J128" s="87">
        <f>SUM(J118:J127)</f>
        <v>259921.5</v>
      </c>
      <c r="K128" s="87">
        <f t="shared" ref="K128:L128" si="301">SUM(K118:K127)</f>
        <v>62640</v>
      </c>
      <c r="L128" s="87">
        <f t="shared" si="301"/>
        <v>415323.67092</v>
      </c>
      <c r="N128" s="87">
        <f>SUM(N118:N127)</f>
        <v>22500</v>
      </c>
      <c r="O128" s="87">
        <f>SUM(O118:O127)</f>
        <v>24773.90076</v>
      </c>
      <c r="P128" s="87">
        <f>SUM(P118:P127)</f>
        <v>97920</v>
      </c>
      <c r="Q128" s="87">
        <f t="shared" ref="Q128:R128" si="302">SUM(Q118:Q127)</f>
        <v>20880</v>
      </c>
      <c r="R128" s="87">
        <f t="shared" si="302"/>
        <v>166073.90075999999</v>
      </c>
      <c r="T128" s="87">
        <f>SUM(T118:T127)</f>
        <v>22500</v>
      </c>
      <c r="U128" s="87">
        <f>SUM(U118:U127)</f>
        <v>68850</v>
      </c>
      <c r="V128" s="87">
        <f>SUM(V118:V127)</f>
        <v>126046.5</v>
      </c>
      <c r="W128" s="87">
        <f t="shared" ref="W128:X128" si="303">SUM(W118:W127)</f>
        <v>20520</v>
      </c>
      <c r="X128" s="87">
        <f t="shared" si="303"/>
        <v>237916.5</v>
      </c>
      <c r="Z128" s="87">
        <f>SUM(Z118:Z127)</f>
        <v>24300</v>
      </c>
      <c r="AA128" s="87">
        <f>SUM(AA118:AA127)</f>
        <v>70890</v>
      </c>
      <c r="AB128" s="87">
        <f>SUM(AB118:AB127)</f>
        <v>201710.14079999999</v>
      </c>
      <c r="AC128" s="87">
        <f t="shared" ref="AC128:AD128" si="304">SUM(AC118:AC127)</f>
        <v>41040</v>
      </c>
      <c r="AD128" s="87">
        <f t="shared" si="304"/>
        <v>337940.14079999999</v>
      </c>
      <c r="AF128" s="87">
        <f>SUM(AF118:AF127)</f>
        <v>22500</v>
      </c>
      <c r="AG128" s="87">
        <f>SUM(AG118:AG127)</f>
        <v>0</v>
      </c>
      <c r="AH128" s="87">
        <f>SUM(AH118:AH127)</f>
        <v>0</v>
      </c>
      <c r="AI128" s="87">
        <f t="shared" ref="AI128:AJ128" si="305">SUM(AI118:AI127)</f>
        <v>20520</v>
      </c>
      <c r="AJ128" s="87">
        <f t="shared" si="305"/>
        <v>43020</v>
      </c>
      <c r="AL128" s="87">
        <f>SUM(AL118:AL127)</f>
        <v>0</v>
      </c>
      <c r="AM128" s="87">
        <f>SUM(AM118:AM127)</f>
        <v>26400.149999999998</v>
      </c>
      <c r="AN128" s="87">
        <f>SUM(AN118:AN127)</f>
        <v>0</v>
      </c>
      <c r="AO128" s="87">
        <f t="shared" ref="AO128:AP128" si="306">SUM(AO118:AO127)</f>
        <v>0</v>
      </c>
      <c r="AP128" s="87">
        <f t="shared" si="306"/>
        <v>26400.149999999998</v>
      </c>
      <c r="AR128" s="87">
        <f>SUM(AR118:AR127)</f>
        <v>0</v>
      </c>
      <c r="AS128" s="87">
        <f>SUM(AS118:AS127)</f>
        <v>0</v>
      </c>
      <c r="AT128" s="87">
        <f>SUM(AT118:AT127)</f>
        <v>0</v>
      </c>
      <c r="AU128" s="87">
        <f t="shared" ref="AU128:AV128" si="307">SUM(AU118:AU127)</f>
        <v>0</v>
      </c>
      <c r="AV128" s="87">
        <f t="shared" si="307"/>
        <v>0</v>
      </c>
      <c r="AX128" s="87">
        <f>SUM(AX118:AX127)</f>
        <v>164700</v>
      </c>
      <c r="AY128" s="87">
        <f>SUM(AY118:AY127)</f>
        <v>259850.12244000001</v>
      </c>
      <c r="AZ128" s="87">
        <f>SUM(AZ118:AZ127)</f>
        <v>752931.78839999996</v>
      </c>
      <c r="BA128" s="87">
        <f t="shared" ref="BA128:BB128" si="308">SUM(BA118:BA127)</f>
        <v>186120</v>
      </c>
      <c r="BB128" s="87">
        <f t="shared" si="308"/>
        <v>1363601.91084</v>
      </c>
    </row>
    <row r="129" spans="1:54" ht="15.75" thickBot="1" x14ac:dyDescent="0.3">
      <c r="A129" s="89" t="s">
        <v>103</v>
      </c>
      <c r="B129" s="90">
        <f>B116+B128</f>
        <v>2604602.5964972801</v>
      </c>
      <c r="C129" s="90">
        <f>C116+C128</f>
        <v>128381.90076</v>
      </c>
      <c r="D129" s="90">
        <f>D116+D128</f>
        <v>344213.64760000003</v>
      </c>
      <c r="E129" s="90">
        <f t="shared" ref="E129" si="309">E116+E128</f>
        <v>20520</v>
      </c>
      <c r="F129" s="90">
        <f>F116+F128</f>
        <v>3097718.14485728</v>
      </c>
      <c r="H129" s="90">
        <f>H116+H128</f>
        <v>6173591.632847501</v>
      </c>
      <c r="I129" s="90">
        <f>I116+I128</f>
        <v>127682.17092</v>
      </c>
      <c r="J129" s="90">
        <f>J116+J128</f>
        <v>1164461.5</v>
      </c>
      <c r="K129" s="90">
        <f t="shared" ref="K129" si="310">K116+K128</f>
        <v>62640</v>
      </c>
      <c r="L129" s="90">
        <f>L116+L128</f>
        <v>7528375.3037675014</v>
      </c>
      <c r="N129" s="90">
        <f>N116+N128</f>
        <v>2671203.5315640001</v>
      </c>
      <c r="O129" s="90">
        <f>O116+O128</f>
        <v>178720.34075999999</v>
      </c>
      <c r="P129" s="90">
        <f>P116+P128</f>
        <v>377680</v>
      </c>
      <c r="Q129" s="90">
        <f t="shared" ref="Q129" si="311">Q116+Q128</f>
        <v>20880</v>
      </c>
      <c r="R129" s="90">
        <f>R116+R128</f>
        <v>3248483.8723240001</v>
      </c>
      <c r="T129" s="90">
        <f>T116+T128</f>
        <v>3300536.3403639998</v>
      </c>
      <c r="U129" s="90">
        <f>U116+U128</f>
        <v>150930</v>
      </c>
      <c r="V129" s="90">
        <f>V116+V128</f>
        <v>472146.5</v>
      </c>
      <c r="W129" s="90">
        <f t="shared" ref="W129" si="312">W116+W128</f>
        <v>20520</v>
      </c>
      <c r="X129" s="90">
        <f>X116+X128</f>
        <v>3944132.8403639998</v>
      </c>
      <c r="Z129" s="90">
        <f>Z116+Z128</f>
        <v>5413415.0069600008</v>
      </c>
      <c r="AA129" s="90">
        <f>AA116+AA128</f>
        <v>112650</v>
      </c>
      <c r="AB129" s="90">
        <f>AB116+AB128</f>
        <v>989310.14079999994</v>
      </c>
      <c r="AC129" s="90">
        <f t="shared" ref="AC129" si="313">AC116+AC128</f>
        <v>41040</v>
      </c>
      <c r="AD129" s="90">
        <f>AD116+AD128</f>
        <v>6556415.147760001</v>
      </c>
      <c r="AF129" s="90">
        <f>AF116+AF128</f>
        <v>1665380</v>
      </c>
      <c r="AG129" s="90">
        <f>AG116+AG128</f>
        <v>65000</v>
      </c>
      <c r="AH129" s="90">
        <f>AH116+AH128</f>
        <v>166260</v>
      </c>
      <c r="AI129" s="90">
        <f t="shared" ref="AI129" si="314">AI116+AI128</f>
        <v>20520</v>
      </c>
      <c r="AJ129" s="90">
        <f>AJ116+AJ128</f>
        <v>1917160</v>
      </c>
      <c r="AL129" s="90">
        <f>AL116+AL128</f>
        <v>148569.12</v>
      </c>
      <c r="AM129" s="90">
        <f>AM116+AM128</f>
        <v>26400.149999999998</v>
      </c>
      <c r="AN129" s="90">
        <f>AN116+AN128</f>
        <v>0</v>
      </c>
      <c r="AO129" s="90">
        <f t="shared" ref="AO129" si="315">AO116+AO128</f>
        <v>0</v>
      </c>
      <c r="AP129" s="90">
        <f>AP116+AP128</f>
        <v>174969.27</v>
      </c>
      <c r="AR129" s="90">
        <f>AR116+AR128</f>
        <v>219300</v>
      </c>
      <c r="AS129" s="90">
        <f>AS116+AS128</f>
        <v>0</v>
      </c>
      <c r="AT129" s="90">
        <f>AT116+AT128</f>
        <v>20160</v>
      </c>
      <c r="AU129" s="90">
        <f t="shared" ref="AU129" si="316">AU116+AU128</f>
        <v>0</v>
      </c>
      <c r="AV129" s="90">
        <f>AV116+AV128</f>
        <v>239460</v>
      </c>
      <c r="AX129" s="90">
        <f>AX116+AX128</f>
        <v>22196598.228232779</v>
      </c>
      <c r="AY129" s="90">
        <f>AY116+AY128</f>
        <v>789764.56244000001</v>
      </c>
      <c r="AZ129" s="90">
        <f>AZ116+AZ128</f>
        <v>3534231.7884</v>
      </c>
      <c r="BA129" s="90">
        <f t="shared" ref="BA129" si="317">BA116+BA128</f>
        <v>186120</v>
      </c>
      <c r="BB129" s="90">
        <f>BB116+BB128</f>
        <v>26706714.579072781</v>
      </c>
    </row>
    <row r="130" spans="1:54" x14ac:dyDescent="0.25">
      <c r="A130" s="62" t="s">
        <v>104</v>
      </c>
      <c r="B130" s="80">
        <f>B129*0.2975</f>
        <v>774869.27245794074</v>
      </c>
      <c r="C130" s="61">
        <f t="shared" ref="C130:E130" si="318">C129*0.2975</f>
        <v>38193.6154761</v>
      </c>
      <c r="D130" s="61">
        <f t="shared" si="318"/>
        <v>102403.560161</v>
      </c>
      <c r="E130" s="61">
        <f t="shared" si="318"/>
        <v>6104.7</v>
      </c>
      <c r="F130" s="61">
        <f>SUM(B130:E130)</f>
        <v>921571.1480950407</v>
      </c>
      <c r="H130" s="61">
        <f>H129*0.2975</f>
        <v>1836643.5107721314</v>
      </c>
      <c r="I130" s="61">
        <f t="shared" ref="I130:K130" si="319">I129*0.2975</f>
        <v>37985.445848700001</v>
      </c>
      <c r="J130" s="61">
        <f t="shared" si="319"/>
        <v>346427.29624999996</v>
      </c>
      <c r="K130" s="61">
        <f t="shared" si="319"/>
        <v>18635.399999999998</v>
      </c>
      <c r="L130" s="61">
        <f>SUM(H130:K130)</f>
        <v>2239691.6528708311</v>
      </c>
      <c r="N130" s="61">
        <f>N129*0.2975</f>
        <v>794683.05064029002</v>
      </c>
      <c r="O130" s="61">
        <f t="shared" ref="O130:Q130" si="320">O129*0.2975</f>
        <v>53169.301376099997</v>
      </c>
      <c r="P130" s="61">
        <f t="shared" si="320"/>
        <v>112359.79999999999</v>
      </c>
      <c r="Q130" s="61">
        <f t="shared" si="320"/>
        <v>6211.7999999999993</v>
      </c>
      <c r="R130" s="61">
        <f>SUM(N130:Q130)</f>
        <v>966423.95201639016</v>
      </c>
      <c r="T130" s="61">
        <f>T129*0.2975</f>
        <v>981909.56125828996</v>
      </c>
      <c r="U130" s="61">
        <f t="shared" ref="U130:W130" si="321">U129*0.2975</f>
        <v>44901.674999999996</v>
      </c>
      <c r="V130" s="61">
        <f t="shared" si="321"/>
        <v>140463.58374999999</v>
      </c>
      <c r="W130" s="61">
        <f t="shared" si="321"/>
        <v>6104.7</v>
      </c>
      <c r="X130" s="61">
        <f>SUM(T130:W130)</f>
        <v>1173379.52000829</v>
      </c>
      <c r="Z130" s="61">
        <f>Z129*0.2975</f>
        <v>1610490.9645706001</v>
      </c>
      <c r="AA130" s="61">
        <f t="shared" ref="AA130:AC130" si="322">AA129*0.2975</f>
        <v>33513.375</v>
      </c>
      <c r="AB130" s="61">
        <f t="shared" si="322"/>
        <v>294319.76688799995</v>
      </c>
      <c r="AC130" s="61">
        <f t="shared" si="322"/>
        <v>12209.4</v>
      </c>
      <c r="AD130" s="61">
        <f>SUM(Z130:AC130)</f>
        <v>1950533.5064586001</v>
      </c>
      <c r="AF130" s="61">
        <f>AF129*0.2975</f>
        <v>495450.55</v>
      </c>
      <c r="AG130" s="61">
        <f t="shared" ref="AG130:AI130" si="323">AG129*0.2975</f>
        <v>19337.5</v>
      </c>
      <c r="AH130" s="61">
        <f t="shared" si="323"/>
        <v>49462.35</v>
      </c>
      <c r="AI130" s="61">
        <f t="shared" si="323"/>
        <v>6104.7</v>
      </c>
      <c r="AJ130" s="61">
        <f>SUM(AF130:AI130)</f>
        <v>570355.1</v>
      </c>
      <c r="AL130" s="61">
        <f>AL129*0.2975</f>
        <v>44199.313199999997</v>
      </c>
      <c r="AM130" s="61">
        <f t="shared" ref="AM130:AO130" si="324">AM129*0.2975</f>
        <v>7854.0446249999986</v>
      </c>
      <c r="AN130" s="61">
        <f t="shared" si="324"/>
        <v>0</v>
      </c>
      <c r="AO130" s="61">
        <f t="shared" si="324"/>
        <v>0</v>
      </c>
      <c r="AP130" s="61">
        <f>SUM(AL130:AO130)</f>
        <v>52053.357824999999</v>
      </c>
      <c r="AR130" s="61">
        <f>AR129*0.2975</f>
        <v>65241.75</v>
      </c>
      <c r="AS130" s="61">
        <f t="shared" ref="AS130:AU130" si="325">AS129*0.2975</f>
        <v>0</v>
      </c>
      <c r="AT130" s="61">
        <f t="shared" si="325"/>
        <v>5997.5999999999995</v>
      </c>
      <c r="AU130" s="61">
        <f t="shared" si="325"/>
        <v>0</v>
      </c>
      <c r="AV130" s="61">
        <f>SUM(AR130:AU130)</f>
        <v>71239.350000000006</v>
      </c>
      <c r="AX130" s="7">
        <f>B130+H130+N130+T130+Z130+AF130+AL130+AR130</f>
        <v>6603487.9728992525</v>
      </c>
      <c r="AY130" s="7">
        <f t="shared" ref="AY130:BA137" si="326">C130+I130+O130+U130+AA130+AG130+AM130+AS130</f>
        <v>234954.9573259</v>
      </c>
      <c r="AZ130" s="7">
        <f t="shared" si="326"/>
        <v>1051433.9570489998</v>
      </c>
      <c r="BA130" s="7">
        <f t="shared" si="326"/>
        <v>55370.7</v>
      </c>
      <c r="BB130" s="61">
        <f>SUM(AX130:BA130)</f>
        <v>7945247.5872741528</v>
      </c>
    </row>
    <row r="131" spans="1:54" x14ac:dyDescent="0.25">
      <c r="A131" s="62" t="s">
        <v>105</v>
      </c>
      <c r="B131" s="14">
        <f>B129*0.18</f>
        <v>468828.46736951038</v>
      </c>
      <c r="C131" s="14">
        <f t="shared" ref="C131:E131" si="327">C129*0.18</f>
        <v>23108.7421368</v>
      </c>
      <c r="D131" s="14">
        <f t="shared" si="327"/>
        <v>61958.456568000001</v>
      </c>
      <c r="E131" s="14">
        <f t="shared" si="327"/>
        <v>3693.6</v>
      </c>
      <c r="F131" s="61">
        <f t="shared" ref="F131:F137" si="328">SUM(B131:E131)</f>
        <v>557589.26607431041</v>
      </c>
      <c r="H131" s="14">
        <f>H129*0.18</f>
        <v>1111246.4939125502</v>
      </c>
      <c r="I131" s="14">
        <f t="shared" ref="I131:K131" si="329">I129*0.18</f>
        <v>22982.790765599999</v>
      </c>
      <c r="J131" s="14">
        <f t="shared" si="329"/>
        <v>209603.06999999998</v>
      </c>
      <c r="K131" s="14">
        <f t="shared" si="329"/>
        <v>11275.199999999999</v>
      </c>
      <c r="L131" s="61">
        <f t="shared" ref="L131:L137" si="330">SUM(H131:K131)</f>
        <v>1355107.5546781502</v>
      </c>
      <c r="N131" s="14">
        <f>N129*0.18</f>
        <v>480816.63568151998</v>
      </c>
      <c r="O131" s="14">
        <f t="shared" ref="O131:Q131" si="331">O129*0.18</f>
        <v>32169.661336799996</v>
      </c>
      <c r="P131" s="14">
        <f t="shared" si="331"/>
        <v>67982.399999999994</v>
      </c>
      <c r="Q131" s="14">
        <f t="shared" si="331"/>
        <v>3758.3999999999996</v>
      </c>
      <c r="R131" s="61">
        <f t="shared" ref="R131:R137" si="332">SUM(N131:Q131)</f>
        <v>584727.09701832</v>
      </c>
      <c r="T131" s="14">
        <f>T129*0.18</f>
        <v>594096.54126551992</v>
      </c>
      <c r="U131" s="14">
        <f t="shared" ref="U131:W131" si="333">U129*0.18</f>
        <v>27167.399999999998</v>
      </c>
      <c r="V131" s="14">
        <f t="shared" si="333"/>
        <v>84986.37</v>
      </c>
      <c r="W131" s="14">
        <f t="shared" si="333"/>
        <v>3693.6</v>
      </c>
      <c r="X131" s="61">
        <f t="shared" ref="X131:X137" si="334">SUM(T131:W131)</f>
        <v>709943.91126551991</v>
      </c>
      <c r="Z131" s="14">
        <f>Z129*0.18</f>
        <v>974414.70125280006</v>
      </c>
      <c r="AA131" s="14">
        <f t="shared" ref="AA131:AC131" si="335">AA129*0.18</f>
        <v>20277</v>
      </c>
      <c r="AB131" s="14">
        <f t="shared" si="335"/>
        <v>178075.82534399998</v>
      </c>
      <c r="AC131" s="14">
        <f t="shared" si="335"/>
        <v>7387.2</v>
      </c>
      <c r="AD131" s="61">
        <f t="shared" ref="AD131:AD137" si="336">SUM(Z131:AC131)</f>
        <v>1180154.7265967999</v>
      </c>
      <c r="AF131" s="14">
        <f>AF129*0.18</f>
        <v>299768.39999999997</v>
      </c>
      <c r="AG131" s="14">
        <f t="shared" ref="AG131:AI131" si="337">AG129*0.18</f>
        <v>11700</v>
      </c>
      <c r="AH131" s="14">
        <f t="shared" si="337"/>
        <v>29926.799999999999</v>
      </c>
      <c r="AI131" s="14">
        <f t="shared" si="337"/>
        <v>3693.6</v>
      </c>
      <c r="AJ131" s="61">
        <f t="shared" ref="AJ131:AJ135" si="338">SUM(AF131:AI131)</f>
        <v>345088.79999999993</v>
      </c>
      <c r="AL131" s="14">
        <f>AL129*0.18</f>
        <v>26742.441599999998</v>
      </c>
      <c r="AM131" s="14">
        <f t="shared" ref="AM131:AO131" si="339">AM129*0.18</f>
        <v>4752.0269999999991</v>
      </c>
      <c r="AN131" s="14">
        <f t="shared" si="339"/>
        <v>0</v>
      </c>
      <c r="AO131" s="14">
        <f t="shared" si="339"/>
        <v>0</v>
      </c>
      <c r="AP131" s="61">
        <f t="shared" ref="AP131:AP137" si="340">SUM(AL131:AO131)</f>
        <v>31494.468599999997</v>
      </c>
      <c r="AR131" s="14">
        <f>AR129*0.18</f>
        <v>39474</v>
      </c>
      <c r="AS131" s="14">
        <f t="shared" ref="AS131:AU131" si="341">AS129*0.18</f>
        <v>0</v>
      </c>
      <c r="AT131" s="14">
        <f t="shared" si="341"/>
        <v>3628.7999999999997</v>
      </c>
      <c r="AU131" s="14">
        <f t="shared" si="341"/>
        <v>0</v>
      </c>
      <c r="AV131" s="61">
        <f t="shared" ref="AV131:AV137" si="342">SUM(AR131:AU131)</f>
        <v>43102.8</v>
      </c>
      <c r="AX131" s="7">
        <f t="shared" ref="AX131:AX137" si="343">B131+H131+N131+T131+Z131+AF131+AL131+AR131</f>
        <v>3995387.6810819004</v>
      </c>
      <c r="AY131" s="7">
        <f t="shared" si="326"/>
        <v>142157.6212392</v>
      </c>
      <c r="AZ131" s="7">
        <f t="shared" si="326"/>
        <v>636161.7219120001</v>
      </c>
      <c r="BA131" s="7">
        <f t="shared" si="326"/>
        <v>33501.599999999999</v>
      </c>
      <c r="BB131" s="61">
        <f t="shared" ref="BB131:BB137" si="344">SUM(AX131:BA131)</f>
        <v>4807208.6242331006</v>
      </c>
    </row>
    <row r="132" spans="1:54" x14ac:dyDescent="0.25">
      <c r="A132" s="62" t="s">
        <v>249</v>
      </c>
      <c r="B132" s="11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1">
        <f t="shared" ref="C132:E132" si="345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1">
        <f t="shared" si="345"/>
        <v>5456</v>
      </c>
      <c r="E132" s="11">
        <f t="shared" si="345"/>
        <v>264</v>
      </c>
      <c r="F132" s="61">
        <f t="shared" si="328"/>
        <v>52404</v>
      </c>
      <c r="H132" s="11">
        <f>(((H42*2000)+(H43*1500)+(H44*1200)+(H45*1200)+(H46*1200)+(H47*1000)+(H48*1000)+(H49*300)+(H50*300)+(H51*300)+(H52*300)+(H53*300)+(H55*1000)+(H56*1000)+(H57*1000)+(H58*1000)+(H59*1000)+(H60*1000)+(H39*1000)+(1000*H54)))*0.9</f>
        <v>107010</v>
      </c>
      <c r="I132" s="11">
        <f t="shared" ref="I132:K132" si="346">(((I42*2000)+(I43*1500)+(I44*1200)+(I45*1200)+(I46*1200)+(I47*1000)+(I48*1000)+(I49*300)+(I50*300)+(I51*300)+(I52*300)+(I53*300)+(I55*1000)+(I56*1000)+(I57*1000)+(I58*1000)+(I59*1000)+(I60*1000)+(I39*1000)+(1000*I54)))*0.9</f>
        <v>3060</v>
      </c>
      <c r="J132" s="11">
        <f t="shared" si="346"/>
        <v>17910</v>
      </c>
      <c r="K132" s="11">
        <f t="shared" si="346"/>
        <v>810</v>
      </c>
      <c r="L132" s="61">
        <f t="shared" si="330"/>
        <v>128790</v>
      </c>
      <c r="N132" s="11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1">
        <f t="shared" ref="O132:Q132" si="347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1">
        <f t="shared" si="347"/>
        <v>4977</v>
      </c>
      <c r="Q132" s="11">
        <f t="shared" si="347"/>
        <v>270</v>
      </c>
      <c r="R132" s="61">
        <f t="shared" ref="R132:R135" si="348">SUM(N132:Q132)</f>
        <v>55152</v>
      </c>
      <c r="T132" s="11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1">
        <f t="shared" ref="U132:W132" si="349">(((U42*2000)+(U43*1500)+(U44*1200)+(U45*1200)+(U46*1200)+(U47*1000)+(U48*1000)+(U49*300)+(U50*300)+(U51*300)+(U52*300)+(U53*300)+(U55*1000)+(U56*1000)+(U57*1000)+(U58*1000)+(U59*1000)+(U60*1000)+(U39*1000)+(1000*U54)))*0.9</f>
        <v>2430</v>
      </c>
      <c r="V132" s="11">
        <f t="shared" si="349"/>
        <v>8856</v>
      </c>
      <c r="W132" s="11">
        <f t="shared" si="349"/>
        <v>270</v>
      </c>
      <c r="X132" s="61">
        <f t="shared" si="334"/>
        <v>70281</v>
      </c>
      <c r="Z132" s="11">
        <f>(((Z42*2000)+(Z43*1500)+(Z44*1200)+(Z45*1200)+(Z46*1200)+(Z47*1000)+(Z48*1000)+(Z49*300)+(Z50*300)+(Z51*300)+(Z52*300)+(Z53*300)+(Z55*1000)+(Z56*1000)+(Z57*1000)+(Z58*1000)+(Z59*1000)+(Z60*1000)+(Z39*1000)+(1000*Z54)))*0.88</f>
        <v>95656</v>
      </c>
      <c r="AA132" s="11">
        <f t="shared" ref="AA132:AC132" si="350">(((AA42*2000)+(AA43*1500)+(AA44*1200)+(AA45*1200)+(AA46*1200)+(AA47*1000)+(AA48*1000)+(AA49*300)+(AA50*300)+(AA51*300)+(AA52*300)+(AA53*300)+(AA55*1000)+(AA56*1000)+(AA57*1000)+(AA58*1000)+(AA59*1000)+(AA60*1000)+(AA39*1000)+(1000*AA54)))*0.88</f>
        <v>1848</v>
      </c>
      <c r="AB132" s="11">
        <f t="shared" si="350"/>
        <v>14370.4</v>
      </c>
      <c r="AC132" s="11">
        <f t="shared" si="350"/>
        <v>528</v>
      </c>
      <c r="AD132" s="61">
        <f t="shared" si="336"/>
        <v>112402.4</v>
      </c>
      <c r="AF132" s="11">
        <v>0</v>
      </c>
      <c r="AG132" s="11">
        <v>0</v>
      </c>
      <c r="AH132" s="11">
        <v>0</v>
      </c>
      <c r="AI132" s="11">
        <v>0</v>
      </c>
      <c r="AJ132" s="61">
        <f t="shared" si="338"/>
        <v>0</v>
      </c>
      <c r="AL132" s="11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1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1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1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61">
        <f t="shared" si="340"/>
        <v>4137.5</v>
      </c>
      <c r="AR132" s="11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1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1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395</v>
      </c>
      <c r="AU132" s="11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61">
        <f t="shared" si="342"/>
        <v>2420</v>
      </c>
      <c r="AX132" s="7">
        <f t="shared" si="343"/>
        <v>359809</v>
      </c>
      <c r="AY132" s="7">
        <f t="shared" si="326"/>
        <v>11671.5</v>
      </c>
      <c r="AZ132" s="7">
        <f t="shared" si="326"/>
        <v>51964.4</v>
      </c>
      <c r="BA132" s="7">
        <f t="shared" si="326"/>
        <v>2142</v>
      </c>
      <c r="BB132" s="61">
        <f t="shared" si="344"/>
        <v>425586.9</v>
      </c>
    </row>
    <row r="133" spans="1:54" x14ac:dyDescent="0.25">
      <c r="A133" s="62" t="s">
        <v>250</v>
      </c>
      <c r="B133" s="11">
        <f>125*B66+2500</f>
        <v>8812.5</v>
      </c>
      <c r="C133" s="11">
        <f t="shared" ref="C133:E133" si="351">125*C66</f>
        <v>375</v>
      </c>
      <c r="D133" s="11">
        <f t="shared" si="351"/>
        <v>1125</v>
      </c>
      <c r="E133" s="11">
        <f t="shared" si="351"/>
        <v>125</v>
      </c>
      <c r="F133" s="61">
        <f t="shared" si="328"/>
        <v>10437.5</v>
      </c>
      <c r="H133" s="11">
        <f>125*H66+3000</f>
        <v>18125</v>
      </c>
      <c r="I133" s="11">
        <f t="shared" ref="I133:K133" si="352">125*I66</f>
        <v>750</v>
      </c>
      <c r="J133" s="11">
        <f t="shared" si="352"/>
        <v>3625</v>
      </c>
      <c r="K133" s="11">
        <f t="shared" si="352"/>
        <v>375</v>
      </c>
      <c r="L133" s="61">
        <f t="shared" si="330"/>
        <v>22875</v>
      </c>
      <c r="N133" s="11">
        <f>125*N66+2500</f>
        <v>9250</v>
      </c>
      <c r="O133" s="11">
        <f t="shared" ref="O133:Q133" si="353">125*O66</f>
        <v>625</v>
      </c>
      <c r="P133" s="11">
        <f t="shared" si="353"/>
        <v>1041.25</v>
      </c>
      <c r="Q133" s="11">
        <f t="shared" si="353"/>
        <v>125</v>
      </c>
      <c r="R133" s="61">
        <f t="shared" si="348"/>
        <v>11041.25</v>
      </c>
      <c r="T133" s="11">
        <f>125*T66+2500</f>
        <v>10812.5</v>
      </c>
      <c r="U133" s="11">
        <f t="shared" ref="U133:W133" si="354">125*U66</f>
        <v>687.5</v>
      </c>
      <c r="V133" s="11">
        <f t="shared" si="354"/>
        <v>1667.5</v>
      </c>
      <c r="W133" s="11">
        <f t="shared" si="354"/>
        <v>125</v>
      </c>
      <c r="X133" s="61">
        <f t="shared" si="334"/>
        <v>13292.5</v>
      </c>
      <c r="Z133" s="11">
        <f>125*Z66+3000</f>
        <v>16875</v>
      </c>
      <c r="AA133" s="11">
        <f t="shared" ref="AA133:AC133" si="355">125*AA66</f>
        <v>437.5</v>
      </c>
      <c r="AB133" s="11">
        <f t="shared" si="355"/>
        <v>2853.75</v>
      </c>
      <c r="AC133" s="11">
        <f t="shared" si="355"/>
        <v>250</v>
      </c>
      <c r="AD133" s="61">
        <f t="shared" si="336"/>
        <v>20416.25</v>
      </c>
      <c r="AF133" s="11">
        <f>125*AF66+3000</f>
        <v>7125</v>
      </c>
      <c r="AG133" s="11">
        <f t="shared" ref="AG133:AI133" si="356">125*AG66</f>
        <v>125</v>
      </c>
      <c r="AH133" s="11">
        <f t="shared" si="356"/>
        <v>500</v>
      </c>
      <c r="AI133" s="11">
        <f t="shared" si="356"/>
        <v>125</v>
      </c>
      <c r="AJ133" s="61">
        <f t="shared" si="338"/>
        <v>7875</v>
      </c>
      <c r="AL133" s="11"/>
      <c r="AM133" s="11"/>
      <c r="AN133" s="11"/>
      <c r="AO133" s="11"/>
      <c r="AP133" s="61">
        <f t="shared" si="340"/>
        <v>0</v>
      </c>
      <c r="AR133" s="11"/>
      <c r="AS133" s="11"/>
      <c r="AT133" s="11"/>
      <c r="AU133" s="11"/>
      <c r="AV133" s="61"/>
      <c r="AX133" s="7">
        <f t="shared" si="343"/>
        <v>71000</v>
      </c>
      <c r="AY133" s="7">
        <f t="shared" si="326"/>
        <v>3000</v>
      </c>
      <c r="AZ133" s="7">
        <f t="shared" si="326"/>
        <v>10812.5</v>
      </c>
      <c r="BA133" s="7">
        <f t="shared" si="326"/>
        <v>1125</v>
      </c>
      <c r="BB133" s="61">
        <f t="shared" si="344"/>
        <v>85937.5</v>
      </c>
    </row>
    <row r="134" spans="1:54" x14ac:dyDescent="0.25">
      <c r="A134" s="62" t="s">
        <v>107</v>
      </c>
      <c r="B134" s="14">
        <v>2500</v>
      </c>
      <c r="C134" s="14"/>
      <c r="D134" s="14"/>
      <c r="E134" s="14"/>
      <c r="F134" s="61">
        <f t="shared" si="328"/>
        <v>2500</v>
      </c>
      <c r="H134" s="14">
        <v>2500</v>
      </c>
      <c r="I134" s="14"/>
      <c r="J134" s="14"/>
      <c r="K134" s="14"/>
      <c r="L134" s="61">
        <f t="shared" si="330"/>
        <v>2500</v>
      </c>
      <c r="N134" s="14">
        <v>2500</v>
      </c>
      <c r="O134" s="14"/>
      <c r="P134" s="14"/>
      <c r="Q134" s="14"/>
      <c r="R134" s="61">
        <f t="shared" si="348"/>
        <v>2500</v>
      </c>
      <c r="T134" s="14">
        <f>2500+15000</f>
        <v>17500</v>
      </c>
      <c r="U134" s="14"/>
      <c r="V134" s="14"/>
      <c r="W134" s="14"/>
      <c r="X134" s="61">
        <f t="shared" si="334"/>
        <v>17500</v>
      </c>
      <c r="Z134" s="14">
        <v>15000</v>
      </c>
      <c r="AA134" s="14"/>
      <c r="AB134" s="14"/>
      <c r="AC134" s="14"/>
      <c r="AD134" s="61">
        <f t="shared" si="336"/>
        <v>15000</v>
      </c>
      <c r="AF134" s="14"/>
      <c r="AG134" s="14"/>
      <c r="AH134" s="14"/>
      <c r="AI134" s="14"/>
      <c r="AJ134" s="61">
        <f t="shared" si="338"/>
        <v>0</v>
      </c>
      <c r="AL134" s="14"/>
      <c r="AM134" s="14"/>
      <c r="AN134" s="14"/>
      <c r="AO134" s="14"/>
      <c r="AP134" s="61">
        <f t="shared" si="340"/>
        <v>0</v>
      </c>
      <c r="AR134" s="14"/>
      <c r="AS134" s="14"/>
      <c r="AT134" s="14"/>
      <c r="AU134" s="14"/>
      <c r="AV134" s="61">
        <f t="shared" si="342"/>
        <v>0</v>
      </c>
      <c r="AX134" s="7">
        <f t="shared" si="343"/>
        <v>40000</v>
      </c>
      <c r="AY134" s="7">
        <f t="shared" si="326"/>
        <v>0</v>
      </c>
      <c r="AZ134" s="7">
        <f t="shared" si="326"/>
        <v>0</v>
      </c>
      <c r="BA134" s="7">
        <f t="shared" si="326"/>
        <v>0</v>
      </c>
      <c r="BB134" s="61">
        <f t="shared" si="344"/>
        <v>40000</v>
      </c>
    </row>
    <row r="135" spans="1:54" x14ac:dyDescent="0.25">
      <c r="A135" s="62" t="s">
        <v>251</v>
      </c>
      <c r="B135" s="14">
        <f>(500*B39)+((500*(B42+B43+B44+B45+B46+B47+B48))+((250*(B49+B50+B51+B52+B53+B54))+((500*(B55+B56+B57+B58+B59+B60+B61)))))</f>
        <v>24500</v>
      </c>
      <c r="C135" s="14">
        <f t="shared" ref="C135:E135" si="357">(500*C39)+((500*(C42+C43+C44+C45+C46+C47+C48))+((250*(C49+C50+C51+C52+C53+C54))+((500*(C55+C56+C57+C58+C59+C60+C61)))))</f>
        <v>1125</v>
      </c>
      <c r="D135" s="14">
        <f t="shared" si="357"/>
        <v>3500</v>
      </c>
      <c r="E135" s="14">
        <f t="shared" si="357"/>
        <v>250</v>
      </c>
      <c r="F135" s="61">
        <f t="shared" si="328"/>
        <v>29375</v>
      </c>
      <c r="H135" s="14">
        <f>(500*H39)+((500*(H42+H43+H44+H45+H46+H47+H48))+((250*(H49+H50+H51+H52+H53+H54))+((500*(H55+H56+H57+H58+H59+H60+H61)))))</f>
        <v>58250</v>
      </c>
      <c r="I135" s="14">
        <f t="shared" ref="I135:K135" si="358">(1000*I39)+((1000*(I42+I43+I44+I45+I46+I47+I48))+((500*(I49+I50+I51+I52+I53+I54))+((1000*(I55+I56+I57+I58+I59+I60+I61)))))</f>
        <v>4000</v>
      </c>
      <c r="J135" s="14">
        <f t="shared" si="358"/>
        <v>22500</v>
      </c>
      <c r="K135" s="14">
        <f t="shared" si="358"/>
        <v>1500</v>
      </c>
      <c r="L135" s="61">
        <f t="shared" si="330"/>
        <v>86250</v>
      </c>
      <c r="N135" s="14">
        <f>(500*N39)+((500*(N42+N43+N44+N45+N46+N47+N48))+((250*(N49+N50+N51+N52+N53+N54))+((500*(N55+N56+N57+N58+N59+N60+N61)))))</f>
        <v>26000</v>
      </c>
      <c r="O135" s="14">
        <f t="shared" ref="O135:Q135" si="359">(500*O39)+((500*(O42+O43+O44+O45+O46+O47+O48))+((250*(O49+O50+O51+O52+O53+O54))+((500*(O55+O56+O57+O58+O59+O60+O61)))))</f>
        <v>1375</v>
      </c>
      <c r="P135" s="14">
        <f t="shared" si="359"/>
        <v>3165</v>
      </c>
      <c r="Q135" s="14">
        <f t="shared" si="359"/>
        <v>250</v>
      </c>
      <c r="R135" s="61">
        <f t="shared" si="348"/>
        <v>30790</v>
      </c>
      <c r="T135" s="14">
        <f>(500*T39)+((500*(T42+T43+T44+T45+T46+T47+T48))+((250*(T49+T50+T51+T52+T53+T54))+((500*(T55+T56+T57+T58+T59+T60+T61)))))</f>
        <v>31875</v>
      </c>
      <c r="U135" s="14">
        <f t="shared" ref="U135:W135" si="360">(500*U39)+((500*(U42+U43+U44+U45+U46+U47+U48))+((250*(U49+U50+U51+U52+U53+U54))+((500*(U55+U56+U57+U58+U59+U60+U61)))))</f>
        <v>1750</v>
      </c>
      <c r="V135" s="14">
        <f t="shared" si="360"/>
        <v>5420</v>
      </c>
      <c r="W135" s="14">
        <f t="shared" si="360"/>
        <v>250</v>
      </c>
      <c r="X135" s="61">
        <f t="shared" si="334"/>
        <v>39295</v>
      </c>
      <c r="Z135" s="14">
        <f>(500*Z39)+((500*(Z42+Z43+Z44+Z45+Z46+Z47+Z48))+((250*(Z49+Z50+Z51+Z52+Z53+Z54))+((500*(Z55+Z56+Z57+Z58+Z59+Z60+Z61)))))</f>
        <v>53500</v>
      </c>
      <c r="AA135" s="14">
        <f t="shared" ref="AA135:AC135" si="361">(500*AA39)+((500*(AA42+AA43+AA44+AA45+AA46+AA47+AA48))+((250*(AA49+AA50+AA51+AA52+AA53+AA54))+((500*(AA55+AA56+AA57+AA58+AA59+AA60+AA61)))))</f>
        <v>1250</v>
      </c>
      <c r="AB135" s="14">
        <f t="shared" si="361"/>
        <v>8915</v>
      </c>
      <c r="AC135" s="14">
        <f t="shared" si="361"/>
        <v>500</v>
      </c>
      <c r="AD135" s="61">
        <f t="shared" si="336"/>
        <v>64165</v>
      </c>
      <c r="AF135" s="14"/>
      <c r="AG135" s="14"/>
      <c r="AH135" s="14"/>
      <c r="AI135" s="14"/>
      <c r="AJ135" s="61">
        <f t="shared" si="338"/>
        <v>0</v>
      </c>
      <c r="AL135" s="14"/>
      <c r="AM135" s="14"/>
      <c r="AN135" s="14"/>
      <c r="AO135" s="14"/>
      <c r="AP135" s="61">
        <f t="shared" si="340"/>
        <v>0</v>
      </c>
      <c r="AR135" s="14"/>
      <c r="AS135" s="14"/>
      <c r="AT135" s="14"/>
      <c r="AU135" s="14"/>
      <c r="AV135" s="61"/>
      <c r="AX135" s="7">
        <f t="shared" si="343"/>
        <v>194125</v>
      </c>
      <c r="AY135" s="7">
        <f t="shared" si="326"/>
        <v>9500</v>
      </c>
      <c r="AZ135" s="7">
        <f t="shared" si="326"/>
        <v>43500</v>
      </c>
      <c r="BA135" s="7">
        <f t="shared" si="326"/>
        <v>2750</v>
      </c>
      <c r="BB135" s="61">
        <f t="shared" si="344"/>
        <v>249875</v>
      </c>
    </row>
    <row r="136" spans="1:54" x14ac:dyDescent="0.25">
      <c r="A136" s="62" t="s">
        <v>108</v>
      </c>
      <c r="B136" s="7">
        <v>7500</v>
      </c>
      <c r="C136" s="7"/>
      <c r="D136" s="7"/>
      <c r="E136" s="7"/>
      <c r="F136" s="61">
        <f t="shared" si="328"/>
        <v>7500</v>
      </c>
      <c r="H136" s="7">
        <v>12000</v>
      </c>
      <c r="I136" s="7"/>
      <c r="J136" s="7"/>
      <c r="K136" s="7"/>
      <c r="L136" s="61">
        <f t="shared" si="330"/>
        <v>12000</v>
      </c>
      <c r="N136" s="7">
        <v>12000</v>
      </c>
      <c r="O136" s="7"/>
      <c r="P136" s="7"/>
      <c r="Q136" s="7"/>
      <c r="R136" s="61">
        <f t="shared" si="332"/>
        <v>12000</v>
      </c>
      <c r="T136" s="7">
        <v>12000</v>
      </c>
      <c r="U136" s="7"/>
      <c r="V136" s="7"/>
      <c r="W136" s="7"/>
      <c r="X136" s="61">
        <f t="shared" si="334"/>
        <v>12000</v>
      </c>
      <c r="Z136" s="7">
        <v>12000</v>
      </c>
      <c r="AA136" s="7"/>
      <c r="AB136" s="7"/>
      <c r="AC136" s="7"/>
      <c r="AD136" s="61">
        <f t="shared" si="336"/>
        <v>12000</v>
      </c>
      <c r="AF136" s="7">
        <v>0</v>
      </c>
      <c r="AG136" s="7"/>
      <c r="AH136" s="7"/>
      <c r="AI136" s="7"/>
      <c r="AJ136" s="61">
        <f t="shared" ref="AJ136:AJ137" si="362">SUM(AF136:AI136)</f>
        <v>0</v>
      </c>
      <c r="AL136" s="7">
        <v>0</v>
      </c>
      <c r="AM136" s="7"/>
      <c r="AN136" s="7"/>
      <c r="AO136" s="7"/>
      <c r="AP136" s="61">
        <f t="shared" si="340"/>
        <v>0</v>
      </c>
      <c r="AR136" s="7">
        <v>0</v>
      </c>
      <c r="AS136" s="7"/>
      <c r="AT136" s="7"/>
      <c r="AU136" s="7"/>
      <c r="AV136" s="61">
        <f t="shared" si="342"/>
        <v>0</v>
      </c>
      <c r="AX136" s="7">
        <f t="shared" si="343"/>
        <v>55500</v>
      </c>
      <c r="AY136" s="7">
        <f t="shared" si="326"/>
        <v>0</v>
      </c>
      <c r="AZ136" s="7">
        <f t="shared" si="326"/>
        <v>0</v>
      </c>
      <c r="BA136" s="7">
        <f t="shared" si="326"/>
        <v>0</v>
      </c>
      <c r="BB136" s="61">
        <f t="shared" si="344"/>
        <v>55500</v>
      </c>
    </row>
    <row r="137" spans="1:54" x14ac:dyDescent="0.25">
      <c r="A137" s="62" t="s">
        <v>109</v>
      </c>
      <c r="B137" s="37">
        <f>(175*10*B39)-B127</f>
        <v>48325</v>
      </c>
      <c r="C137" s="37">
        <f t="shared" ref="C137:E137" si="363">(175*10*C39)-C127</f>
        <v>0</v>
      </c>
      <c r="D137" s="37">
        <f t="shared" si="363"/>
        <v>7000</v>
      </c>
      <c r="E137" s="37">
        <f t="shared" si="363"/>
        <v>0</v>
      </c>
      <c r="F137" s="61">
        <f t="shared" si="328"/>
        <v>55325</v>
      </c>
      <c r="H137" s="37">
        <f>(175*10*H39)-H127</f>
        <v>121150</v>
      </c>
      <c r="I137" s="37">
        <f t="shared" ref="I137:K137" si="364">(175*10*I39)-I127</f>
        <v>0</v>
      </c>
      <c r="J137" s="37">
        <f t="shared" si="364"/>
        <v>22750</v>
      </c>
      <c r="K137" s="37">
        <f t="shared" si="364"/>
        <v>0</v>
      </c>
      <c r="L137" s="61">
        <f t="shared" si="330"/>
        <v>143900</v>
      </c>
      <c r="N137" s="37">
        <f>(175*10*N39)-N127</f>
        <v>52750</v>
      </c>
      <c r="O137" s="37">
        <f t="shared" ref="O137:Q137" si="365">(175*10*O39)-O127</f>
        <v>0</v>
      </c>
      <c r="P137" s="37">
        <f t="shared" si="365"/>
        <v>7000</v>
      </c>
      <c r="Q137" s="37">
        <f t="shared" si="365"/>
        <v>0</v>
      </c>
      <c r="R137" s="61">
        <f t="shared" si="332"/>
        <v>59750</v>
      </c>
      <c r="T137" s="37">
        <f>(175*10*T39)-T127</f>
        <v>70250</v>
      </c>
      <c r="U137" s="37">
        <f t="shared" ref="U137:W137" si="366">(175*10*U39)-U127</f>
        <v>0</v>
      </c>
      <c r="V137" s="37">
        <f t="shared" si="366"/>
        <v>8750</v>
      </c>
      <c r="W137" s="37">
        <f t="shared" si="366"/>
        <v>0</v>
      </c>
      <c r="X137" s="61">
        <f t="shared" si="334"/>
        <v>79000</v>
      </c>
      <c r="Z137" s="37">
        <f>(175*10*Z39)-Z127</f>
        <v>135825</v>
      </c>
      <c r="AA137" s="37">
        <f t="shared" ref="AA137:AC137" si="367">(175*10*AA39)-AA127</f>
        <v>0</v>
      </c>
      <c r="AB137" s="37">
        <f t="shared" si="367"/>
        <v>17500</v>
      </c>
      <c r="AC137" s="37">
        <f t="shared" si="367"/>
        <v>0</v>
      </c>
      <c r="AD137" s="61">
        <f t="shared" si="336"/>
        <v>153325</v>
      </c>
      <c r="AF137" s="37">
        <f>(175*10*AF39)-AF127</f>
        <v>26500</v>
      </c>
      <c r="AG137" s="37">
        <f t="shared" ref="AG137:AI137" si="368">(175*10*AG39)-AG127</f>
        <v>0</v>
      </c>
      <c r="AH137" s="37">
        <f t="shared" si="368"/>
        <v>5250</v>
      </c>
      <c r="AI137" s="37">
        <f t="shared" si="368"/>
        <v>0</v>
      </c>
      <c r="AJ137" s="61">
        <f t="shared" si="362"/>
        <v>31750</v>
      </c>
      <c r="AL137" s="37">
        <f>(165*10*AL39)-AL127</f>
        <v>0</v>
      </c>
      <c r="AM137" s="37">
        <v>0</v>
      </c>
      <c r="AN137" s="37">
        <f t="shared" ref="AN137:AO137" si="369">(165*10*AN39)-AN127</f>
        <v>0</v>
      </c>
      <c r="AO137" s="37">
        <f t="shared" si="369"/>
        <v>0</v>
      </c>
      <c r="AP137" s="61">
        <f t="shared" si="340"/>
        <v>0</v>
      </c>
      <c r="AR137" s="37">
        <f>(165*10*AR39)-AR127</f>
        <v>0</v>
      </c>
      <c r="AS137" s="37">
        <v>0</v>
      </c>
      <c r="AT137" s="37">
        <f t="shared" ref="AT137:AU137" si="370">(165*10*AT39)-AT127</f>
        <v>0</v>
      </c>
      <c r="AU137" s="37">
        <f t="shared" si="370"/>
        <v>0</v>
      </c>
      <c r="AV137" s="61">
        <f t="shared" si="342"/>
        <v>0</v>
      </c>
      <c r="AX137" s="7">
        <f t="shared" si="343"/>
        <v>454800</v>
      </c>
      <c r="AY137" s="7">
        <f t="shared" si="326"/>
        <v>0</v>
      </c>
      <c r="AZ137" s="7">
        <f t="shared" si="326"/>
        <v>68250</v>
      </c>
      <c r="BA137" s="7">
        <f t="shared" si="326"/>
        <v>0</v>
      </c>
      <c r="BB137" s="61">
        <f t="shared" si="344"/>
        <v>523050</v>
      </c>
    </row>
    <row r="138" spans="1:54" ht="15.75" thickBot="1" x14ac:dyDescent="0.3">
      <c r="A138" s="91" t="s">
        <v>110</v>
      </c>
      <c r="B138" s="87">
        <f>SUM(B130:B137)</f>
        <v>1379863.2398274511</v>
      </c>
      <c r="C138" s="87">
        <f>SUM(C130:C137)</f>
        <v>64958.357612899999</v>
      </c>
      <c r="D138" s="87">
        <f>SUM(D130:D137)</f>
        <v>181443.016729</v>
      </c>
      <c r="E138" s="87">
        <f t="shared" ref="E138:F138" si="371">SUM(E130:E137)</f>
        <v>10437.299999999999</v>
      </c>
      <c r="F138" s="87">
        <f t="shared" si="371"/>
        <v>1636701.9141693511</v>
      </c>
      <c r="H138" s="87">
        <f>SUM(H130:H137)</f>
        <v>3266925.0046846815</v>
      </c>
      <c r="I138" s="87">
        <f>SUM(I130:I137)</f>
        <v>68778.236614299996</v>
      </c>
      <c r="J138" s="87">
        <f>SUM(J130:J137)</f>
        <v>622815.36624999996</v>
      </c>
      <c r="K138" s="87">
        <f t="shared" ref="K138:L138" si="372">SUM(K130:K137)</f>
        <v>32595.599999999999</v>
      </c>
      <c r="L138" s="87">
        <f t="shared" si="372"/>
        <v>3991114.2075489815</v>
      </c>
      <c r="N138" s="87">
        <f>SUM(N130:N137)</f>
        <v>1426239.6863218099</v>
      </c>
      <c r="O138" s="87">
        <f>SUM(O130:O137)</f>
        <v>89003.962712899985</v>
      </c>
      <c r="P138" s="87">
        <f>SUM(P130:P137)</f>
        <v>196525.44999999998</v>
      </c>
      <c r="Q138" s="87">
        <f t="shared" ref="Q138:R138" si="373">SUM(Q130:Q137)</f>
        <v>10615.199999999999</v>
      </c>
      <c r="R138" s="87">
        <f t="shared" si="373"/>
        <v>1722384.29903471</v>
      </c>
      <c r="T138" s="87">
        <f>SUM(T130:T137)</f>
        <v>1777168.6025238098</v>
      </c>
      <c r="U138" s="87">
        <f>SUM(U130:U137)</f>
        <v>76936.574999999997</v>
      </c>
      <c r="V138" s="87">
        <f>SUM(V130:V137)</f>
        <v>250143.45374999999</v>
      </c>
      <c r="W138" s="87">
        <f t="shared" ref="W138:X138" si="374">SUM(W130:W137)</f>
        <v>10443.299999999999</v>
      </c>
      <c r="X138" s="87">
        <f t="shared" si="374"/>
        <v>2114691.9312738096</v>
      </c>
      <c r="Z138" s="87">
        <f>SUM(Z130:Z137)</f>
        <v>2913761.6658234</v>
      </c>
      <c r="AA138" s="87">
        <f>SUM(AA130:AA137)</f>
        <v>57325.875</v>
      </c>
      <c r="AB138" s="87">
        <f>SUM(AB130:AB137)</f>
        <v>516034.74223199999</v>
      </c>
      <c r="AC138" s="87">
        <f t="shared" ref="AC138:AD138" si="375">SUM(AC130:AC137)</f>
        <v>20874.599999999999</v>
      </c>
      <c r="AD138" s="87">
        <f t="shared" si="375"/>
        <v>3507996.8830553996</v>
      </c>
      <c r="AF138" s="87">
        <f>SUM(AF130:AF137)</f>
        <v>828843.95</v>
      </c>
      <c r="AG138" s="87">
        <f>SUM(AG130:AG137)</f>
        <v>31162.5</v>
      </c>
      <c r="AH138" s="87">
        <f>SUM(AH130:AH137)</f>
        <v>85139.15</v>
      </c>
      <c r="AI138" s="87">
        <f t="shared" ref="AI138:AJ138" si="376">SUM(AI130:AI137)</f>
        <v>9923.2999999999993</v>
      </c>
      <c r="AJ138" s="87">
        <f t="shared" si="376"/>
        <v>955068.89999999991</v>
      </c>
      <c r="AL138" s="87">
        <f>SUM(AL130:AL137)</f>
        <v>74566.754799999995</v>
      </c>
      <c r="AM138" s="87">
        <f>SUM(AM130:AM137)</f>
        <v>13118.571624999997</v>
      </c>
      <c r="AN138" s="87">
        <f>SUM(AN130:AN137)</f>
        <v>0</v>
      </c>
      <c r="AO138" s="87">
        <f t="shared" ref="AO138:AP138" si="377">SUM(AO130:AO137)</f>
        <v>0</v>
      </c>
      <c r="AP138" s="87">
        <f t="shared" si="377"/>
        <v>87685.326424999992</v>
      </c>
      <c r="AR138" s="87">
        <f>SUM(AR130:AR137)</f>
        <v>106740.75</v>
      </c>
      <c r="AS138" s="87">
        <f>SUM(AS130:AS137)</f>
        <v>0</v>
      </c>
      <c r="AT138" s="87">
        <f>SUM(AT130:AT137)</f>
        <v>10021.4</v>
      </c>
      <c r="AU138" s="87">
        <f t="shared" ref="AU138:AV138" si="378">SUM(AU130:AU137)</f>
        <v>0</v>
      </c>
      <c r="AV138" s="87">
        <f t="shared" si="378"/>
        <v>116762.15000000001</v>
      </c>
      <c r="AX138" s="87">
        <f>SUM(AX130:AX137)</f>
        <v>11774109.653981153</v>
      </c>
      <c r="AY138" s="87">
        <f>SUM(AY130:AY137)</f>
        <v>401284.07856509998</v>
      </c>
      <c r="AZ138" s="87">
        <f>SUM(AZ130:AZ137)</f>
        <v>1862122.5789609998</v>
      </c>
      <c r="BA138" s="87">
        <f t="shared" ref="BA138:BB138" si="379">SUM(BA130:BA137)</f>
        <v>94889.299999999988</v>
      </c>
      <c r="BB138" s="87">
        <f t="shared" si="379"/>
        <v>14132405.611507254</v>
      </c>
    </row>
    <row r="139" spans="1:54" ht="15.75" thickBot="1" x14ac:dyDescent="0.3">
      <c r="A139" s="95" t="s">
        <v>111</v>
      </c>
      <c r="B139" s="90">
        <f>B129+B138</f>
        <v>3984465.8363247309</v>
      </c>
      <c r="C139" s="90">
        <f>C129+C138</f>
        <v>193340.25837290002</v>
      </c>
      <c r="D139" s="90">
        <f>D129+D138</f>
        <v>525656.66432900005</v>
      </c>
      <c r="E139" s="90">
        <f t="shared" ref="E139:F139" si="380">E129+E138</f>
        <v>30957.3</v>
      </c>
      <c r="F139" s="90">
        <f t="shared" si="380"/>
        <v>4734420.0590266306</v>
      </c>
      <c r="H139" s="90">
        <f>H129+H138</f>
        <v>9440516.637532182</v>
      </c>
      <c r="I139" s="90">
        <f>I129+I138</f>
        <v>196460.4075343</v>
      </c>
      <c r="J139" s="90">
        <f>J129+J138</f>
        <v>1787276.86625</v>
      </c>
      <c r="K139" s="90">
        <f t="shared" ref="K139:L139" si="381">K129+K138</f>
        <v>95235.6</v>
      </c>
      <c r="L139" s="90">
        <f t="shared" si="381"/>
        <v>11519489.511316482</v>
      </c>
      <c r="N139" s="90">
        <f>N129+N138</f>
        <v>4097443.21788581</v>
      </c>
      <c r="O139" s="90">
        <f>O129+O138</f>
        <v>267724.30347289995</v>
      </c>
      <c r="P139" s="90">
        <f>P129+P138</f>
        <v>574205.44999999995</v>
      </c>
      <c r="Q139" s="90">
        <f t="shared" ref="Q139:R139" si="382">Q129+Q138</f>
        <v>31495.199999999997</v>
      </c>
      <c r="R139" s="90">
        <f t="shared" si="382"/>
        <v>4970868.1713587102</v>
      </c>
      <c r="T139" s="90">
        <f>T129+T138</f>
        <v>5077704.9428878091</v>
      </c>
      <c r="U139" s="90">
        <f>U129+U138</f>
        <v>227866.57500000001</v>
      </c>
      <c r="V139" s="90">
        <f>V129+V138</f>
        <v>722289.95374999999</v>
      </c>
      <c r="W139" s="90">
        <f t="shared" ref="W139:X139" si="383">W129+W138</f>
        <v>30963.3</v>
      </c>
      <c r="X139" s="90">
        <f t="shared" si="383"/>
        <v>6058824.7716378095</v>
      </c>
      <c r="Z139" s="90">
        <f>Z129+Z138</f>
        <v>8327176.6727834009</v>
      </c>
      <c r="AA139" s="90">
        <f>AA129+AA138</f>
        <v>169975.875</v>
      </c>
      <c r="AB139" s="90">
        <f>AB129+AB138</f>
        <v>1505344.8830319999</v>
      </c>
      <c r="AC139" s="90">
        <f t="shared" ref="AC139:AD139" si="384">AC129+AC138</f>
        <v>61914.6</v>
      </c>
      <c r="AD139" s="90">
        <f t="shared" si="384"/>
        <v>10064412.0308154</v>
      </c>
      <c r="AF139" s="90">
        <f>AF129+AF138</f>
        <v>2494223.9500000002</v>
      </c>
      <c r="AG139" s="90">
        <f>AG129+AG138</f>
        <v>96162.5</v>
      </c>
      <c r="AH139" s="90">
        <f>AH129+AH138</f>
        <v>251399.15</v>
      </c>
      <c r="AI139" s="90">
        <f t="shared" ref="AI139:AJ139" si="385">AI129+AI138</f>
        <v>30443.3</v>
      </c>
      <c r="AJ139" s="90">
        <f t="shared" si="385"/>
        <v>2872228.9</v>
      </c>
      <c r="AL139" s="90">
        <f>AL129+AL138</f>
        <v>223135.87479999999</v>
      </c>
      <c r="AM139" s="90">
        <f>AM129+AM138</f>
        <v>39518.721624999991</v>
      </c>
      <c r="AN139" s="90">
        <f>AN129+AN138</f>
        <v>0</v>
      </c>
      <c r="AO139" s="90">
        <f t="shared" ref="AO139:AP139" si="386">AO129+AO138</f>
        <v>0</v>
      </c>
      <c r="AP139" s="90">
        <f t="shared" si="386"/>
        <v>262654.596425</v>
      </c>
      <c r="AR139" s="90">
        <f>AR129+AR138</f>
        <v>326040.75</v>
      </c>
      <c r="AS139" s="90">
        <f>AS129+AS138</f>
        <v>0</v>
      </c>
      <c r="AT139" s="90">
        <f>AT129+AT138</f>
        <v>30181.4</v>
      </c>
      <c r="AU139" s="90">
        <f t="shared" ref="AU139:AV139" si="387">AU129+AU138</f>
        <v>0</v>
      </c>
      <c r="AV139" s="90">
        <f t="shared" si="387"/>
        <v>356222.15</v>
      </c>
      <c r="AX139" s="90">
        <f>AX129+AX138</f>
        <v>33970707.882213935</v>
      </c>
      <c r="AY139" s="90">
        <f>AY129+AY138</f>
        <v>1191048.6410051</v>
      </c>
      <c r="AZ139" s="90">
        <f>AZ129+AZ138</f>
        <v>5396354.3673609998</v>
      </c>
      <c r="BA139" s="90">
        <f t="shared" ref="BA139:BB139" si="388">BA129+BA138</f>
        <v>281009.3</v>
      </c>
      <c r="BB139" s="90">
        <f t="shared" si="388"/>
        <v>40839120.190580033</v>
      </c>
    </row>
    <row r="140" spans="1:54" x14ac:dyDescent="0.25">
      <c r="A140" s="97" t="s">
        <v>112</v>
      </c>
      <c r="B140" s="149" t="str">
        <f>B1</f>
        <v>Operating</v>
      </c>
      <c r="C140" s="149" t="str">
        <f>C1</f>
        <v>Weights</v>
      </c>
      <c r="D140" s="149" t="str">
        <f>D1</f>
        <v>SPED</v>
      </c>
      <c r="E140" s="149" t="str">
        <f t="shared" ref="E140:F140" si="389">E1</f>
        <v>NSLP</v>
      </c>
      <c r="F140" s="149" t="str">
        <f t="shared" si="389"/>
        <v>Horizon</v>
      </c>
      <c r="H140" s="149" t="str">
        <f>H1</f>
        <v>Operating</v>
      </c>
      <c r="I140" s="149" t="str">
        <f>I1</f>
        <v>Weights</v>
      </c>
      <c r="J140" s="149" t="str">
        <f>J1</f>
        <v>SPED</v>
      </c>
      <c r="K140" s="149" t="str">
        <f t="shared" ref="K140:L140" si="390">K1</f>
        <v>NSLP</v>
      </c>
      <c r="L140" s="149" t="str">
        <f t="shared" si="390"/>
        <v>Cadence</v>
      </c>
      <c r="N140" s="149" t="str">
        <f>N1</f>
        <v>Operating</v>
      </c>
      <c r="O140" s="149" t="str">
        <f>O1</f>
        <v>Weights</v>
      </c>
      <c r="P140" s="149" t="str">
        <f>P1</f>
        <v>SPED</v>
      </c>
      <c r="Q140" s="149" t="str">
        <f t="shared" ref="Q140:R140" si="391">Q1</f>
        <v>NSLP</v>
      </c>
      <c r="R140" s="149" t="str">
        <f t="shared" si="391"/>
        <v>St. Rose</v>
      </c>
      <c r="T140" s="149" t="str">
        <f>T1</f>
        <v>Operating</v>
      </c>
      <c r="U140" s="149" t="str">
        <f>U1</f>
        <v>Weights</v>
      </c>
      <c r="V140" s="149" t="str">
        <f>V1</f>
        <v>SPED</v>
      </c>
      <c r="W140" s="149" t="str">
        <f t="shared" ref="W140:X140" si="392">W1</f>
        <v>NSLP</v>
      </c>
      <c r="X140" s="149" t="str">
        <f t="shared" si="392"/>
        <v>Inspirada</v>
      </c>
      <c r="Z140" s="149" t="str">
        <f>Z1</f>
        <v>Operating</v>
      </c>
      <c r="AA140" s="149" t="str">
        <f>AA1</f>
        <v>Weights</v>
      </c>
      <c r="AB140" s="149" t="str">
        <f>AB1</f>
        <v>SPED</v>
      </c>
      <c r="AC140" s="149" t="str">
        <f t="shared" ref="AC140:AD140" si="393">AC1</f>
        <v>NSLP</v>
      </c>
      <c r="AD140" s="149" t="str">
        <f t="shared" si="393"/>
        <v>Sloan Canyon</v>
      </c>
      <c r="AF140" s="149" t="str">
        <f>AF1</f>
        <v>Operating</v>
      </c>
      <c r="AG140" s="149" t="str">
        <f>AG1</f>
        <v>Weights</v>
      </c>
      <c r="AH140" s="149" t="str">
        <f>AH1</f>
        <v>SPED</v>
      </c>
      <c r="AI140" s="149" t="str">
        <f t="shared" ref="AI140:AJ140" si="394">AI1</f>
        <v>NSLP</v>
      </c>
      <c r="AJ140" s="149" t="str">
        <f t="shared" si="394"/>
        <v>Springs</v>
      </c>
      <c r="AL140" s="149" t="str">
        <f>AL1</f>
        <v>Operating</v>
      </c>
      <c r="AM140" s="149" t="str">
        <f>AM1</f>
        <v>Weights</v>
      </c>
      <c r="AN140" s="149" t="str">
        <f>AN1</f>
        <v>SPED</v>
      </c>
      <c r="AO140" s="149" t="str">
        <f t="shared" ref="AO140:AP140" si="395">AO1</f>
        <v>NSLP</v>
      </c>
      <c r="AP140" s="149" t="str">
        <f t="shared" si="395"/>
        <v>System Wide</v>
      </c>
      <c r="AR140" s="149" t="str">
        <f>AR1</f>
        <v>Operating</v>
      </c>
      <c r="AS140" s="149" t="str">
        <f>AS1</f>
        <v>Weights</v>
      </c>
      <c r="AT140" s="149" t="str">
        <f>AT1</f>
        <v>SPED</v>
      </c>
      <c r="AU140" s="149" t="str">
        <f t="shared" ref="AU140:AV140" si="396">AU1</f>
        <v>NSLP</v>
      </c>
      <c r="AV140" s="149" t="str">
        <f t="shared" si="396"/>
        <v>Virtual</v>
      </c>
      <c r="AX140" s="149" t="str">
        <f>AX1</f>
        <v>Operating</v>
      </c>
      <c r="AY140" s="149" t="str">
        <f>AY1</f>
        <v>Weights</v>
      </c>
      <c r="AZ140" s="149" t="str">
        <f>AZ1</f>
        <v>SPED</v>
      </c>
      <c r="BA140" s="149" t="str">
        <f t="shared" ref="BA140:BB140" si="397">BA1</f>
        <v>NSLP</v>
      </c>
      <c r="BB140" s="149" t="str">
        <f t="shared" si="397"/>
        <v>Pinecrest System</v>
      </c>
    </row>
    <row r="141" spans="1:54" x14ac:dyDescent="0.25">
      <c r="A141" s="98" t="s">
        <v>113</v>
      </c>
      <c r="B141" s="15">
        <f>B19*150</f>
        <v>140400</v>
      </c>
      <c r="C141" s="15"/>
      <c r="D141" s="15"/>
      <c r="E141" s="15"/>
      <c r="F141" s="15">
        <f>SUM(B141:E141)</f>
        <v>140400</v>
      </c>
      <c r="H141" s="15">
        <f>H19*150</f>
        <v>356850</v>
      </c>
      <c r="I141" s="15"/>
      <c r="J141" s="15"/>
      <c r="K141" s="15"/>
      <c r="L141" s="15">
        <f>SUM(H141:K141)</f>
        <v>356850</v>
      </c>
      <c r="N141" s="15">
        <f>N19*150</f>
        <v>152400</v>
      </c>
      <c r="O141" s="15"/>
      <c r="P141" s="15"/>
      <c r="Q141" s="15"/>
      <c r="R141" s="15">
        <f>SUM(N141:Q141)</f>
        <v>152400</v>
      </c>
      <c r="T141" s="15">
        <f>T19*150</f>
        <v>182250</v>
      </c>
      <c r="U141" s="15"/>
      <c r="V141" s="15"/>
      <c r="W141" s="15"/>
      <c r="X141" s="15">
        <f>SUM(T141:W141)</f>
        <v>182250</v>
      </c>
      <c r="Z141" s="15">
        <f>Z19*150</f>
        <v>338100</v>
      </c>
      <c r="AA141" s="15"/>
      <c r="AB141" s="15"/>
      <c r="AC141" s="15"/>
      <c r="AD141" s="15">
        <f>SUM(Z141:AC141)</f>
        <v>338100</v>
      </c>
      <c r="AF141" s="15">
        <f>AF19*150*0.3</f>
        <v>29025</v>
      </c>
      <c r="AG141" s="15"/>
      <c r="AH141" s="15"/>
      <c r="AI141" s="15"/>
      <c r="AJ141" s="15">
        <f>SUM(AF141:AI141)</f>
        <v>29025</v>
      </c>
      <c r="AL141" s="15">
        <f>AL19*150</f>
        <v>0</v>
      </c>
      <c r="AM141" s="15"/>
      <c r="AN141" s="15"/>
      <c r="AO141" s="15"/>
      <c r="AP141" s="15">
        <f>SUM(AL141:AO141)</f>
        <v>0</v>
      </c>
      <c r="AR141" s="15">
        <f>AR19*325</f>
        <v>55250</v>
      </c>
      <c r="AS141" s="15"/>
      <c r="AT141" s="15"/>
      <c r="AU141" s="15"/>
      <c r="AV141" s="15">
        <f>SUM(AR141:AU141)</f>
        <v>55250</v>
      </c>
      <c r="AX141" s="7">
        <f>B141+H141+N141+T141+Z141+AF141+AL141+AR141</f>
        <v>1254275</v>
      </c>
      <c r="AY141" s="7">
        <f t="shared" ref="AY141:BA150" si="398">C141+I141+O141+U141+AA141+AG141+AM141+AS141</f>
        <v>0</v>
      </c>
      <c r="AZ141" s="7">
        <f t="shared" si="398"/>
        <v>0</v>
      </c>
      <c r="BA141" s="7">
        <f t="shared" si="398"/>
        <v>0</v>
      </c>
      <c r="BB141" s="15">
        <f>SUM(AX141:BA141)</f>
        <v>1254275</v>
      </c>
    </row>
    <row r="142" spans="1:54" x14ac:dyDescent="0.25">
      <c r="A142" s="99" t="s">
        <v>252</v>
      </c>
      <c r="B142" s="15">
        <v>0</v>
      </c>
      <c r="C142" s="7"/>
      <c r="D142" s="7"/>
      <c r="E142" s="7"/>
      <c r="F142" s="15">
        <f t="shared" ref="F142:F147" si="399">SUM(B142:E142)</f>
        <v>0</v>
      </c>
      <c r="H142" s="15">
        <v>235000</v>
      </c>
      <c r="I142" s="7"/>
      <c r="J142" s="7"/>
      <c r="K142" s="7"/>
      <c r="L142" s="15">
        <f t="shared" ref="L142:L147" si="400">SUM(H142:K142)</f>
        <v>235000</v>
      </c>
      <c r="N142" s="15">
        <v>0</v>
      </c>
      <c r="O142" s="7"/>
      <c r="P142" s="7"/>
      <c r="Q142" s="7"/>
      <c r="R142" s="15">
        <f t="shared" ref="R142:R147" si="401">SUM(N142:Q142)</f>
        <v>0</v>
      </c>
      <c r="T142" s="15">
        <v>0</v>
      </c>
      <c r="U142" s="7"/>
      <c r="V142" s="7"/>
      <c r="W142" s="7"/>
      <c r="X142" s="15">
        <f t="shared" ref="X142:X147" si="402">SUM(T142:W142)</f>
        <v>0</v>
      </c>
      <c r="Z142" s="15">
        <v>175000</v>
      </c>
      <c r="AA142" s="7"/>
      <c r="AB142" s="7"/>
      <c r="AC142" s="7"/>
      <c r="AD142" s="15">
        <f t="shared" ref="AD142:AD147" si="403">SUM(Z142:AC142)</f>
        <v>175000</v>
      </c>
      <c r="AF142" s="15">
        <v>0</v>
      </c>
      <c r="AG142" s="7"/>
      <c r="AH142" s="7"/>
      <c r="AI142" s="7"/>
      <c r="AJ142" s="15">
        <f t="shared" ref="AJ142:AJ150" si="404">SUM(AF142:AI142)</f>
        <v>0</v>
      </c>
      <c r="AL142" s="15">
        <v>0</v>
      </c>
      <c r="AM142" s="7"/>
      <c r="AN142" s="7"/>
      <c r="AO142" s="7"/>
      <c r="AP142" s="15">
        <f t="shared" ref="AP142:AP147" si="405">SUM(AL142:AO142)</f>
        <v>0</v>
      </c>
      <c r="AR142" s="197">
        <f>(120*3)*(12*5)+2720</f>
        <v>24320</v>
      </c>
      <c r="AS142" s="7"/>
      <c r="AT142" s="7"/>
      <c r="AU142" s="7"/>
      <c r="AV142" s="15">
        <f t="shared" ref="AV142:AV147" si="406">SUM(AR142:AU142)</f>
        <v>24320</v>
      </c>
      <c r="AX142" s="7">
        <f t="shared" ref="AX142:AX150" si="407">B142+H142+N142+T142+Z142+AF142+AL142+AR142</f>
        <v>434320</v>
      </c>
      <c r="AY142" s="7">
        <f t="shared" si="398"/>
        <v>0</v>
      </c>
      <c r="AZ142" s="7">
        <f t="shared" si="398"/>
        <v>0</v>
      </c>
      <c r="BA142" s="7">
        <f t="shared" si="398"/>
        <v>0</v>
      </c>
      <c r="BB142" s="15">
        <f t="shared" ref="BB142:BB150" si="408">SUM(AX142:BA142)</f>
        <v>434320</v>
      </c>
    </row>
    <row r="143" spans="1:54" x14ac:dyDescent="0.25">
      <c r="A143" s="62" t="s">
        <v>115</v>
      </c>
      <c r="B143" s="11">
        <v>9000</v>
      </c>
      <c r="C143" s="11"/>
      <c r="D143" s="11"/>
      <c r="E143" s="11"/>
      <c r="F143" s="15">
        <f t="shared" si="399"/>
        <v>9000</v>
      </c>
      <c r="H143" s="198">
        <v>190000</v>
      </c>
      <c r="I143" s="11"/>
      <c r="J143" s="11"/>
      <c r="K143" s="11"/>
      <c r="L143" s="15">
        <f t="shared" si="400"/>
        <v>190000</v>
      </c>
      <c r="N143" s="198">
        <v>0</v>
      </c>
      <c r="O143" s="11"/>
      <c r="P143" s="11"/>
      <c r="Q143" s="11"/>
      <c r="R143" s="15">
        <f t="shared" si="401"/>
        <v>0</v>
      </c>
      <c r="T143" s="198">
        <v>0</v>
      </c>
      <c r="U143" s="11"/>
      <c r="V143" s="11"/>
      <c r="W143" s="11"/>
      <c r="X143" s="15">
        <f t="shared" si="402"/>
        <v>0</v>
      </c>
      <c r="Z143" s="11">
        <v>0</v>
      </c>
      <c r="AA143" s="11"/>
      <c r="AB143" s="11"/>
      <c r="AC143" s="11"/>
      <c r="AD143" s="15">
        <f t="shared" si="403"/>
        <v>0</v>
      </c>
      <c r="AF143" s="11">
        <v>131000</v>
      </c>
      <c r="AG143" s="11"/>
      <c r="AH143" s="11"/>
      <c r="AI143" s="11"/>
      <c r="AJ143" s="15">
        <f t="shared" si="404"/>
        <v>131000</v>
      </c>
      <c r="AL143" s="11">
        <v>0</v>
      </c>
      <c r="AM143" s="11"/>
      <c r="AN143" s="11"/>
      <c r="AO143" s="11"/>
      <c r="AP143" s="15">
        <f t="shared" si="405"/>
        <v>0</v>
      </c>
      <c r="AR143" s="11">
        <v>0</v>
      </c>
      <c r="AS143" s="11"/>
      <c r="AT143" s="11"/>
      <c r="AU143" s="11"/>
      <c r="AV143" s="15">
        <f t="shared" si="406"/>
        <v>0</v>
      </c>
      <c r="AX143" s="7">
        <f t="shared" si="407"/>
        <v>330000</v>
      </c>
      <c r="AY143" s="7">
        <f t="shared" si="398"/>
        <v>0</v>
      </c>
      <c r="AZ143" s="7">
        <f t="shared" si="398"/>
        <v>0</v>
      </c>
      <c r="BA143" s="7">
        <f t="shared" si="398"/>
        <v>0</v>
      </c>
      <c r="BB143" s="15">
        <f t="shared" si="408"/>
        <v>330000</v>
      </c>
    </row>
    <row r="144" spans="1:54" x14ac:dyDescent="0.25">
      <c r="A144" s="62" t="s">
        <v>116</v>
      </c>
      <c r="B144" s="7">
        <v>0</v>
      </c>
      <c r="C144" s="7">
        <v>0</v>
      </c>
      <c r="D144" s="7"/>
      <c r="E144" s="7"/>
      <c r="F144" s="15">
        <f t="shared" si="399"/>
        <v>0</v>
      </c>
      <c r="H144" s="7">
        <v>75000</v>
      </c>
      <c r="I144" s="7">
        <v>0</v>
      </c>
      <c r="J144" s="7"/>
      <c r="K144" s="7"/>
      <c r="L144" s="15">
        <f t="shared" si="400"/>
        <v>75000</v>
      </c>
      <c r="N144" s="7">
        <v>0</v>
      </c>
      <c r="O144" s="7">
        <v>0</v>
      </c>
      <c r="P144" s="7"/>
      <c r="Q144" s="7"/>
      <c r="R144" s="15">
        <f t="shared" si="401"/>
        <v>0</v>
      </c>
      <c r="T144" s="7">
        <v>0</v>
      </c>
      <c r="U144" s="7">
        <v>0</v>
      </c>
      <c r="V144" s="7"/>
      <c r="W144" s="7"/>
      <c r="X144" s="15">
        <f t="shared" si="402"/>
        <v>0</v>
      </c>
      <c r="Z144" s="7">
        <v>0</v>
      </c>
      <c r="AA144" s="7">
        <v>0</v>
      </c>
      <c r="AB144" s="7"/>
      <c r="AC144" s="7"/>
      <c r="AD144" s="15">
        <f t="shared" si="403"/>
        <v>0</v>
      </c>
      <c r="AF144" s="7">
        <v>0</v>
      </c>
      <c r="AG144" s="7">
        <v>0</v>
      </c>
      <c r="AH144" s="7"/>
      <c r="AI144" s="7"/>
      <c r="AJ144" s="15">
        <f t="shared" si="404"/>
        <v>0</v>
      </c>
      <c r="AL144" s="7">
        <v>0</v>
      </c>
      <c r="AM144" s="7">
        <v>0</v>
      </c>
      <c r="AN144" s="7"/>
      <c r="AO144" s="7"/>
      <c r="AP144" s="15">
        <f t="shared" si="405"/>
        <v>0</v>
      </c>
      <c r="AR144" s="7">
        <f>275*70</f>
        <v>19250</v>
      </c>
      <c r="AS144" s="7">
        <v>0</v>
      </c>
      <c r="AT144" s="7"/>
      <c r="AU144" s="7"/>
      <c r="AV144" s="15">
        <f t="shared" si="406"/>
        <v>19250</v>
      </c>
      <c r="AX144" s="7">
        <f t="shared" si="407"/>
        <v>94250</v>
      </c>
      <c r="AY144" s="7">
        <f t="shared" si="398"/>
        <v>0</v>
      </c>
      <c r="AZ144" s="7">
        <f t="shared" si="398"/>
        <v>0</v>
      </c>
      <c r="BA144" s="7">
        <f t="shared" si="398"/>
        <v>0</v>
      </c>
      <c r="BB144" s="15">
        <f t="shared" si="408"/>
        <v>94250</v>
      </c>
    </row>
    <row r="145" spans="1:54" x14ac:dyDescent="0.25">
      <c r="A145" s="62" t="s">
        <v>117</v>
      </c>
      <c r="B145" s="7">
        <f>14*B19</f>
        <v>13104</v>
      </c>
      <c r="C145" s="7">
        <f>13*C19</f>
        <v>0</v>
      </c>
      <c r="D145" s="7"/>
      <c r="E145" s="7">
        <v>0</v>
      </c>
      <c r="F145" s="15">
        <f t="shared" si="399"/>
        <v>13104</v>
      </c>
      <c r="H145" s="7">
        <f>14*H19</f>
        <v>33306</v>
      </c>
      <c r="I145" s="7">
        <f>13*I19</f>
        <v>0</v>
      </c>
      <c r="J145" s="7"/>
      <c r="K145" s="7">
        <v>0</v>
      </c>
      <c r="L145" s="15">
        <f t="shared" si="400"/>
        <v>33306</v>
      </c>
      <c r="N145" s="7">
        <f>14*N19</f>
        <v>14224</v>
      </c>
      <c r="O145" s="7">
        <f>13*O19</f>
        <v>0</v>
      </c>
      <c r="P145" s="7"/>
      <c r="Q145" s="7">
        <v>0</v>
      </c>
      <c r="R145" s="15">
        <f t="shared" si="401"/>
        <v>14224</v>
      </c>
      <c r="T145" s="7">
        <f>14*T19</f>
        <v>17010</v>
      </c>
      <c r="U145" s="7">
        <f>13*U19</f>
        <v>0</v>
      </c>
      <c r="V145" s="7"/>
      <c r="W145" s="7">
        <v>0</v>
      </c>
      <c r="X145" s="15">
        <f t="shared" si="402"/>
        <v>17010</v>
      </c>
      <c r="Z145" s="7">
        <f>14*Z19</f>
        <v>31556</v>
      </c>
      <c r="AA145" s="7">
        <f>13*AA19</f>
        <v>0</v>
      </c>
      <c r="AB145" s="7"/>
      <c r="AC145" s="7">
        <v>0</v>
      </c>
      <c r="AD145" s="15">
        <f t="shared" si="403"/>
        <v>31556</v>
      </c>
      <c r="AF145" s="7">
        <f>14*AF19</f>
        <v>9030</v>
      </c>
      <c r="AG145" s="7">
        <f>13*AG19</f>
        <v>0</v>
      </c>
      <c r="AH145" s="7"/>
      <c r="AI145" s="7">
        <v>0</v>
      </c>
      <c r="AJ145" s="15">
        <f t="shared" si="404"/>
        <v>9030</v>
      </c>
      <c r="AL145" s="7">
        <v>1000</v>
      </c>
      <c r="AM145" s="7">
        <f>13*AM19</f>
        <v>0</v>
      </c>
      <c r="AN145" s="7"/>
      <c r="AO145" s="7">
        <v>0</v>
      </c>
      <c r="AP145" s="15">
        <f t="shared" si="405"/>
        <v>1000</v>
      </c>
      <c r="AR145" s="7">
        <f>13*AR19</f>
        <v>2210</v>
      </c>
      <c r="AS145" s="7">
        <f>13*AS19</f>
        <v>0</v>
      </c>
      <c r="AT145" s="7"/>
      <c r="AU145" s="7">
        <v>0</v>
      </c>
      <c r="AV145" s="15">
        <f t="shared" si="406"/>
        <v>2210</v>
      </c>
      <c r="AX145" s="7">
        <f t="shared" si="407"/>
        <v>121440</v>
      </c>
      <c r="AY145" s="7">
        <f t="shared" si="398"/>
        <v>0</v>
      </c>
      <c r="AZ145" s="7">
        <f t="shared" si="398"/>
        <v>0</v>
      </c>
      <c r="BA145" s="7">
        <f t="shared" si="398"/>
        <v>0</v>
      </c>
      <c r="BB145" s="15">
        <f t="shared" si="408"/>
        <v>121440</v>
      </c>
    </row>
    <row r="146" spans="1:54" x14ac:dyDescent="0.25">
      <c r="A146" s="62" t="s">
        <v>118</v>
      </c>
      <c r="B146" s="7">
        <f>(29*B19)</f>
        <v>27144</v>
      </c>
      <c r="C146" s="7">
        <v>0</v>
      </c>
      <c r="D146" s="7"/>
      <c r="E146" s="7"/>
      <c r="F146" s="15">
        <f t="shared" si="399"/>
        <v>27144</v>
      </c>
      <c r="H146" s="7">
        <f>(29*H19)</f>
        <v>68991</v>
      </c>
      <c r="I146" s="7">
        <v>0</v>
      </c>
      <c r="J146" s="7"/>
      <c r="K146" s="7"/>
      <c r="L146" s="15">
        <f t="shared" si="400"/>
        <v>68991</v>
      </c>
      <c r="N146" s="7">
        <f>(29*N19)</f>
        <v>29464</v>
      </c>
      <c r="O146" s="7">
        <v>0</v>
      </c>
      <c r="P146" s="7"/>
      <c r="Q146" s="7"/>
      <c r="R146" s="15">
        <f t="shared" si="401"/>
        <v>29464</v>
      </c>
      <c r="T146" s="7">
        <f>(29*T19)</f>
        <v>35235</v>
      </c>
      <c r="U146" s="7">
        <v>0</v>
      </c>
      <c r="V146" s="7"/>
      <c r="W146" s="7"/>
      <c r="X146" s="15">
        <f t="shared" si="402"/>
        <v>35235</v>
      </c>
      <c r="Z146" s="7">
        <f>(29*Z19)</f>
        <v>65366</v>
      </c>
      <c r="AA146" s="7">
        <v>0</v>
      </c>
      <c r="AB146" s="7"/>
      <c r="AC146" s="7"/>
      <c r="AD146" s="15">
        <f t="shared" si="403"/>
        <v>65366</v>
      </c>
      <c r="AF146" s="7">
        <f>(29*AF19)</f>
        <v>18705</v>
      </c>
      <c r="AG146" s="7">
        <v>0</v>
      </c>
      <c r="AH146" s="7"/>
      <c r="AI146" s="7"/>
      <c r="AJ146" s="15">
        <f t="shared" si="404"/>
        <v>18705</v>
      </c>
      <c r="AL146" s="7">
        <f>(27*AL19)</f>
        <v>0</v>
      </c>
      <c r="AM146" s="7">
        <v>0</v>
      </c>
      <c r="AN146" s="7"/>
      <c r="AO146" s="7"/>
      <c r="AP146" s="15">
        <f t="shared" si="405"/>
        <v>0</v>
      </c>
      <c r="AR146" s="7">
        <f>(27*AR19)</f>
        <v>4590</v>
      </c>
      <c r="AS146" s="7">
        <v>0</v>
      </c>
      <c r="AT146" s="7"/>
      <c r="AU146" s="7"/>
      <c r="AV146" s="15">
        <f t="shared" si="406"/>
        <v>4590</v>
      </c>
      <c r="AX146" s="7">
        <f t="shared" si="407"/>
        <v>249495</v>
      </c>
      <c r="AY146" s="7">
        <f t="shared" si="398"/>
        <v>0</v>
      </c>
      <c r="AZ146" s="7">
        <f t="shared" si="398"/>
        <v>0</v>
      </c>
      <c r="BA146" s="7">
        <f t="shared" si="398"/>
        <v>0</v>
      </c>
      <c r="BB146" s="15">
        <f t="shared" si="408"/>
        <v>249495</v>
      </c>
    </row>
    <row r="147" spans="1:54" x14ac:dyDescent="0.25">
      <c r="A147" s="62" t="s">
        <v>119</v>
      </c>
      <c r="B147" s="7">
        <f>4.25*B19</f>
        <v>3978</v>
      </c>
      <c r="C147" s="7">
        <f>4*C19</f>
        <v>0</v>
      </c>
      <c r="D147" s="7"/>
      <c r="E147" s="7"/>
      <c r="F147" s="15">
        <f t="shared" si="399"/>
        <v>3978</v>
      </c>
      <c r="H147" s="7">
        <f>4.25*H19</f>
        <v>10110.75</v>
      </c>
      <c r="I147" s="7">
        <f>4*I19</f>
        <v>0</v>
      </c>
      <c r="J147" s="7"/>
      <c r="K147" s="7"/>
      <c r="L147" s="15">
        <f t="shared" si="400"/>
        <v>10110.75</v>
      </c>
      <c r="N147" s="7">
        <f>4.25*N19</f>
        <v>4318</v>
      </c>
      <c r="O147" s="7">
        <f>4*O19</f>
        <v>0</v>
      </c>
      <c r="P147" s="7"/>
      <c r="Q147" s="7"/>
      <c r="R147" s="15">
        <f t="shared" si="401"/>
        <v>4318</v>
      </c>
      <c r="T147" s="7">
        <f>4.25*T19</f>
        <v>5163.75</v>
      </c>
      <c r="U147" s="7">
        <f>4*U19</f>
        <v>0</v>
      </c>
      <c r="V147" s="7"/>
      <c r="W147" s="7"/>
      <c r="X147" s="15">
        <f t="shared" si="402"/>
        <v>5163.75</v>
      </c>
      <c r="Z147" s="7">
        <f>4.25*Z19</f>
        <v>9579.5</v>
      </c>
      <c r="AA147" s="7">
        <f>4*AA19</f>
        <v>0</v>
      </c>
      <c r="AB147" s="7"/>
      <c r="AC147" s="7"/>
      <c r="AD147" s="15">
        <f t="shared" si="403"/>
        <v>9579.5</v>
      </c>
      <c r="AF147" s="7">
        <f>4.25*AF19</f>
        <v>2741.25</v>
      </c>
      <c r="AG147" s="7">
        <f>4*AG19</f>
        <v>0</v>
      </c>
      <c r="AH147" s="7"/>
      <c r="AI147" s="7"/>
      <c r="AJ147" s="15">
        <f t="shared" si="404"/>
        <v>2741.25</v>
      </c>
      <c r="AL147" s="7">
        <f>4*AL19</f>
        <v>0</v>
      </c>
      <c r="AM147" s="7">
        <f>4*AM19</f>
        <v>0</v>
      </c>
      <c r="AN147" s="7"/>
      <c r="AO147" s="7"/>
      <c r="AP147" s="15">
        <f t="shared" si="405"/>
        <v>0</v>
      </c>
      <c r="AR147" s="142">
        <v>0</v>
      </c>
      <c r="AS147" s="7">
        <f>4*AS19</f>
        <v>0</v>
      </c>
      <c r="AT147" s="7"/>
      <c r="AU147" s="7"/>
      <c r="AV147" s="15">
        <f t="shared" si="406"/>
        <v>0</v>
      </c>
      <c r="AX147" s="7">
        <f t="shared" si="407"/>
        <v>35891.25</v>
      </c>
      <c r="AY147" s="7">
        <f t="shared" si="398"/>
        <v>0</v>
      </c>
      <c r="AZ147" s="7">
        <f t="shared" si="398"/>
        <v>0</v>
      </c>
      <c r="BA147" s="7">
        <f t="shared" si="398"/>
        <v>0</v>
      </c>
      <c r="BB147" s="15">
        <f t="shared" si="408"/>
        <v>35891.25</v>
      </c>
    </row>
    <row r="148" spans="1:54" x14ac:dyDescent="0.25">
      <c r="A148" s="62" t="s">
        <v>120</v>
      </c>
      <c r="B148" s="7">
        <f>3.25*B19</f>
        <v>3042</v>
      </c>
      <c r="C148" s="7">
        <f>3*C19</f>
        <v>0</v>
      </c>
      <c r="D148" s="7"/>
      <c r="E148" s="7"/>
      <c r="F148" s="15">
        <f t="shared" ref="F148:F150" si="409">SUM(B148:E148)</f>
        <v>3042</v>
      </c>
      <c r="H148" s="7">
        <f>3.25*H19</f>
        <v>7731.75</v>
      </c>
      <c r="I148" s="7">
        <f>3*I19</f>
        <v>0</v>
      </c>
      <c r="J148" s="7"/>
      <c r="K148" s="7"/>
      <c r="L148" s="15">
        <f t="shared" ref="L148:L150" si="410">SUM(H148:K148)</f>
        <v>7731.75</v>
      </c>
      <c r="N148" s="7">
        <f>3.25*N19</f>
        <v>3302</v>
      </c>
      <c r="O148" s="7">
        <f>3*O19</f>
        <v>0</v>
      </c>
      <c r="P148" s="7"/>
      <c r="Q148" s="7"/>
      <c r="R148" s="15">
        <f t="shared" ref="R148:R150" si="411">SUM(N148:Q148)</f>
        <v>3302</v>
      </c>
      <c r="T148" s="7">
        <f>3.25*T19</f>
        <v>3948.75</v>
      </c>
      <c r="U148" s="7">
        <f>3*U19</f>
        <v>0</v>
      </c>
      <c r="V148" s="7"/>
      <c r="W148" s="7"/>
      <c r="X148" s="15">
        <f t="shared" ref="X148:X150" si="412">SUM(T148:W148)</f>
        <v>3948.75</v>
      </c>
      <c r="Z148" s="7">
        <f>3.25*Z19</f>
        <v>7325.5</v>
      </c>
      <c r="AA148" s="7">
        <f>3*AA19</f>
        <v>0</v>
      </c>
      <c r="AB148" s="7"/>
      <c r="AC148" s="7"/>
      <c r="AD148" s="15">
        <f t="shared" ref="AD148:AD150" si="413">SUM(Z148:AC148)</f>
        <v>7325.5</v>
      </c>
      <c r="AF148" s="7">
        <f>3.25*AF19</f>
        <v>2096.25</v>
      </c>
      <c r="AG148" s="7">
        <f>3*AG19</f>
        <v>0</v>
      </c>
      <c r="AH148" s="7"/>
      <c r="AI148" s="7"/>
      <c r="AJ148" s="15">
        <f t="shared" si="404"/>
        <v>2096.25</v>
      </c>
      <c r="AL148" s="7">
        <f>3*AL19</f>
        <v>0</v>
      </c>
      <c r="AM148" s="7">
        <f>3*AM19</f>
        <v>0</v>
      </c>
      <c r="AN148" s="7"/>
      <c r="AO148" s="7"/>
      <c r="AP148" s="15">
        <f t="shared" ref="AP148:AP150" si="414">SUM(AL148:AO148)</f>
        <v>0</v>
      </c>
      <c r="AR148" s="142">
        <v>0</v>
      </c>
      <c r="AS148" s="7">
        <f>3*AS19</f>
        <v>0</v>
      </c>
      <c r="AT148" s="7"/>
      <c r="AU148" s="7"/>
      <c r="AV148" s="15">
        <f t="shared" ref="AV148:AV150" si="415">SUM(AR148:AU148)</f>
        <v>0</v>
      </c>
      <c r="AX148" s="7">
        <f t="shared" si="407"/>
        <v>27446.25</v>
      </c>
      <c r="AY148" s="7">
        <f t="shared" si="398"/>
        <v>0</v>
      </c>
      <c r="AZ148" s="7">
        <f t="shared" si="398"/>
        <v>0</v>
      </c>
      <c r="BA148" s="7">
        <f t="shared" si="398"/>
        <v>0</v>
      </c>
      <c r="BB148" s="15">
        <f t="shared" si="408"/>
        <v>27446.25</v>
      </c>
    </row>
    <row r="149" spans="1:54" x14ac:dyDescent="0.25">
      <c r="A149" s="62" t="s">
        <v>121</v>
      </c>
      <c r="B149" s="7">
        <f>120*B22</f>
        <v>0</v>
      </c>
      <c r="C149" s="7">
        <f>120*C22</f>
        <v>0</v>
      </c>
      <c r="D149" s="7">
        <f>129*D22</f>
        <v>13027.995550611791</v>
      </c>
      <c r="E149" s="7"/>
      <c r="F149" s="15">
        <f t="shared" si="409"/>
        <v>13027.995550611791</v>
      </c>
      <c r="H149" s="7">
        <f>120*H22</f>
        <v>0</v>
      </c>
      <c r="I149" s="7">
        <f>120*I22</f>
        <v>0</v>
      </c>
      <c r="J149" s="7">
        <f>129*J22</f>
        <v>38976.798128342249</v>
      </c>
      <c r="K149" s="7"/>
      <c r="L149" s="15">
        <f t="shared" si="410"/>
        <v>38976.798128342249</v>
      </c>
      <c r="N149" s="7">
        <f>120*N22</f>
        <v>0</v>
      </c>
      <c r="O149" s="7">
        <f>120*O22</f>
        <v>0</v>
      </c>
      <c r="P149" s="7">
        <f>129*P22</f>
        <v>9546</v>
      </c>
      <c r="Q149" s="7"/>
      <c r="R149" s="15">
        <f t="shared" si="411"/>
        <v>9546</v>
      </c>
      <c r="T149" s="7">
        <f>120*T22</f>
        <v>0</v>
      </c>
      <c r="U149" s="7">
        <f>120*U22</f>
        <v>0</v>
      </c>
      <c r="V149" s="7">
        <f>129*V22</f>
        <v>14117.91492910759</v>
      </c>
      <c r="W149" s="7"/>
      <c r="X149" s="15">
        <f t="shared" si="412"/>
        <v>14117.91492910759</v>
      </c>
      <c r="Z149" s="7">
        <f>120*Z22</f>
        <v>0</v>
      </c>
      <c r="AA149" s="7">
        <f>120*AA22</f>
        <v>0</v>
      </c>
      <c r="AB149" s="7">
        <f>129*AB22</f>
        <v>23789.945454545454</v>
      </c>
      <c r="AC149" s="7"/>
      <c r="AD149" s="15">
        <f t="shared" si="413"/>
        <v>23789.945454545454</v>
      </c>
      <c r="AF149" s="7">
        <f>120*AF22</f>
        <v>0</v>
      </c>
      <c r="AG149" s="7">
        <f>120*AG22</f>
        <v>0</v>
      </c>
      <c r="AH149" s="7">
        <f>129*AH22</f>
        <v>9984.5999999999985</v>
      </c>
      <c r="AI149" s="7"/>
      <c r="AJ149" s="15">
        <f t="shared" si="404"/>
        <v>9984.5999999999985</v>
      </c>
      <c r="AL149" s="7">
        <f>120*AL22</f>
        <v>0</v>
      </c>
      <c r="AM149" s="7">
        <f>120*AM22</f>
        <v>0</v>
      </c>
      <c r="AN149" s="7">
        <f>120*AN22</f>
        <v>0</v>
      </c>
      <c r="AO149" s="7"/>
      <c r="AP149" s="15">
        <f t="shared" si="414"/>
        <v>0</v>
      </c>
      <c r="AR149" s="7">
        <f>120*AR22</f>
        <v>0</v>
      </c>
      <c r="AS149" s="7">
        <f>120*AS22</f>
        <v>0</v>
      </c>
      <c r="AT149" s="7">
        <f>150*AT22</f>
        <v>1500</v>
      </c>
      <c r="AU149" s="7"/>
      <c r="AV149" s="15">
        <f t="shared" si="415"/>
        <v>1500</v>
      </c>
      <c r="AX149" s="7">
        <f t="shared" si="407"/>
        <v>0</v>
      </c>
      <c r="AY149" s="7">
        <f t="shared" si="398"/>
        <v>0</v>
      </c>
      <c r="AZ149" s="7">
        <f t="shared" si="398"/>
        <v>110943.25406260707</v>
      </c>
      <c r="BA149" s="7">
        <f t="shared" si="398"/>
        <v>0</v>
      </c>
      <c r="BB149" s="15">
        <f t="shared" si="408"/>
        <v>110943.25406260707</v>
      </c>
    </row>
    <row r="150" spans="1:54" ht="15.75" thickBot="1" x14ac:dyDescent="0.3">
      <c r="A150" s="62" t="s">
        <v>122</v>
      </c>
      <c r="B150" s="37">
        <v>0</v>
      </c>
      <c r="C150" s="37">
        <v>0</v>
      </c>
      <c r="D150" s="37"/>
      <c r="E150" s="37"/>
      <c r="F150" s="15">
        <f t="shared" si="409"/>
        <v>0</v>
      </c>
      <c r="H150" s="7">
        <f>'FY23'!H150+10000</f>
        <v>60000</v>
      </c>
      <c r="I150" s="37">
        <v>0</v>
      </c>
      <c r="J150" s="37"/>
      <c r="K150" s="37"/>
      <c r="L150" s="15">
        <f t="shared" si="410"/>
        <v>60000</v>
      </c>
      <c r="N150" s="37">
        <v>0</v>
      </c>
      <c r="O150" s="37">
        <v>0</v>
      </c>
      <c r="P150" s="37"/>
      <c r="Q150" s="37"/>
      <c r="R150" s="15">
        <f t="shared" si="411"/>
        <v>0</v>
      </c>
      <c r="T150" s="37">
        <v>0</v>
      </c>
      <c r="U150" s="37">
        <v>0</v>
      </c>
      <c r="V150" s="37"/>
      <c r="W150" s="37"/>
      <c r="X150" s="15">
        <f t="shared" si="412"/>
        <v>0</v>
      </c>
      <c r="Z150" s="37">
        <v>40000</v>
      </c>
      <c r="AA150" s="37">
        <v>0</v>
      </c>
      <c r="AB150" s="37"/>
      <c r="AC150" s="37"/>
      <c r="AD150" s="15">
        <f t="shared" si="413"/>
        <v>40000</v>
      </c>
      <c r="AF150" s="37">
        <v>0</v>
      </c>
      <c r="AG150" s="37">
        <v>0</v>
      </c>
      <c r="AH150" s="37"/>
      <c r="AI150" s="37"/>
      <c r="AJ150" s="15">
        <f t="shared" si="404"/>
        <v>0</v>
      </c>
      <c r="AL150" s="37">
        <v>0</v>
      </c>
      <c r="AM150" s="37">
        <v>0</v>
      </c>
      <c r="AN150" s="37"/>
      <c r="AO150" s="37"/>
      <c r="AP150" s="15">
        <f t="shared" si="414"/>
        <v>0</v>
      </c>
      <c r="AR150" s="37">
        <v>0</v>
      </c>
      <c r="AS150" s="37">
        <v>0</v>
      </c>
      <c r="AT150" s="37"/>
      <c r="AU150" s="37"/>
      <c r="AV150" s="15">
        <f t="shared" si="415"/>
        <v>0</v>
      </c>
      <c r="AX150" s="7">
        <f t="shared" si="407"/>
        <v>100000</v>
      </c>
      <c r="AY150" s="7">
        <f t="shared" si="398"/>
        <v>0</v>
      </c>
      <c r="AZ150" s="7">
        <f t="shared" si="398"/>
        <v>0</v>
      </c>
      <c r="BA150" s="7">
        <f t="shared" si="398"/>
        <v>0</v>
      </c>
      <c r="BB150" s="15">
        <f t="shared" si="408"/>
        <v>100000</v>
      </c>
    </row>
    <row r="151" spans="1:54" ht="15.75" thickBot="1" x14ac:dyDescent="0.3">
      <c r="A151" s="95" t="s">
        <v>123</v>
      </c>
      <c r="B151" s="92">
        <f>SUM(B141:B150)</f>
        <v>196668</v>
      </c>
      <c r="C151" s="92">
        <f>SUM(C141:C150)</f>
        <v>0</v>
      </c>
      <c r="D151" s="92">
        <f>SUM(D141:D150)</f>
        <v>13027.995550611791</v>
      </c>
      <c r="E151" s="92">
        <f>SUM(E141:E150)</f>
        <v>0</v>
      </c>
      <c r="F151" s="92">
        <f>SUM(F141:F150)</f>
        <v>209695.99555061178</v>
      </c>
      <c r="H151" s="92">
        <f>SUM(H141:H150)</f>
        <v>1036989.5</v>
      </c>
      <c r="I151" s="92">
        <f>SUM(I141:I150)</f>
        <v>0</v>
      </c>
      <c r="J151" s="92">
        <f>SUM(J141:J150)</f>
        <v>38976.798128342249</v>
      </c>
      <c r="K151" s="92">
        <f>SUM(K141:K150)</f>
        <v>0</v>
      </c>
      <c r="L151" s="92">
        <f>SUM(L141:L150)</f>
        <v>1075966.2981283423</v>
      </c>
      <c r="N151" s="92">
        <f>SUM(N141:N150)</f>
        <v>203708</v>
      </c>
      <c r="O151" s="92">
        <f>SUM(O141:O150)</f>
        <v>0</v>
      </c>
      <c r="P151" s="92">
        <f>SUM(P141:P150)</f>
        <v>9546</v>
      </c>
      <c r="Q151" s="92">
        <f>SUM(Q141:Q150)</f>
        <v>0</v>
      </c>
      <c r="R151" s="92">
        <f>SUM(R141:R150)</f>
        <v>213254</v>
      </c>
      <c r="T151" s="92">
        <f>SUM(T141:T150)</f>
        <v>243607.5</v>
      </c>
      <c r="U151" s="92">
        <f>SUM(U141:U150)</f>
        <v>0</v>
      </c>
      <c r="V151" s="92">
        <f>SUM(V141:V150)</f>
        <v>14117.91492910759</v>
      </c>
      <c r="W151" s="92">
        <f>SUM(W141:W150)</f>
        <v>0</v>
      </c>
      <c r="X151" s="92">
        <f>SUM(X141:X150)</f>
        <v>257725.41492910759</v>
      </c>
      <c r="Z151" s="92">
        <f>SUM(Z141:Z150)</f>
        <v>666927</v>
      </c>
      <c r="AA151" s="92">
        <f>SUM(AA141:AA150)</f>
        <v>0</v>
      </c>
      <c r="AB151" s="92">
        <f>SUM(AB141:AB150)</f>
        <v>23789.945454545454</v>
      </c>
      <c r="AC151" s="92">
        <f>SUM(AC141:AC150)</f>
        <v>0</v>
      </c>
      <c r="AD151" s="92">
        <f>SUM(AD141:AD150)</f>
        <v>690716.94545454544</v>
      </c>
      <c r="AF151" s="92">
        <f>SUM(AF141:AF150)</f>
        <v>192597.5</v>
      </c>
      <c r="AG151" s="92">
        <f>SUM(AG141:AG150)</f>
        <v>0</v>
      </c>
      <c r="AH151" s="92">
        <f>SUM(AH141:AH150)</f>
        <v>9984.5999999999985</v>
      </c>
      <c r="AI151" s="92">
        <f>SUM(AI141:AI150)</f>
        <v>0</v>
      </c>
      <c r="AJ151" s="92">
        <f>SUM(AJ141:AJ150)</f>
        <v>202582.1</v>
      </c>
      <c r="AL151" s="92">
        <f>SUM(AL141:AL150)</f>
        <v>1000</v>
      </c>
      <c r="AM151" s="92">
        <f>SUM(AM141:AM150)</f>
        <v>0</v>
      </c>
      <c r="AN151" s="92">
        <f>SUM(AN141:AN150)</f>
        <v>0</v>
      </c>
      <c r="AO151" s="92">
        <f>SUM(AO141:AO150)</f>
        <v>0</v>
      </c>
      <c r="AP151" s="92">
        <f>SUM(AP141:AP150)</f>
        <v>1000</v>
      </c>
      <c r="AR151" s="92">
        <f>SUM(AR141:AR150)</f>
        <v>105620</v>
      </c>
      <c r="AS151" s="92">
        <f>SUM(AS141:AS150)</f>
        <v>0</v>
      </c>
      <c r="AT151" s="92">
        <f>SUM(AT141:AT150)</f>
        <v>1500</v>
      </c>
      <c r="AU151" s="92">
        <f>SUM(AU141:AU150)</f>
        <v>0</v>
      </c>
      <c r="AV151" s="92">
        <f>SUM(AV141:AV150)</f>
        <v>107120</v>
      </c>
      <c r="AX151" s="92">
        <f>SUM(AX141:AX150)</f>
        <v>2647117.5</v>
      </c>
      <c r="AY151" s="92">
        <f>SUM(AY141:AY150)</f>
        <v>0</v>
      </c>
      <c r="AZ151" s="92">
        <f>SUM(AZ141:AZ150)</f>
        <v>110943.25406260707</v>
      </c>
      <c r="BA151" s="92">
        <f>SUM(BA141:BA150)</f>
        <v>0</v>
      </c>
      <c r="BB151" s="92">
        <f>SUM(BB141:BB150)</f>
        <v>2758060.754062607</v>
      </c>
    </row>
    <row r="152" spans="1:54" x14ac:dyDescent="0.25">
      <c r="A152" s="101" t="s">
        <v>124</v>
      </c>
      <c r="B152" s="149" t="str">
        <f>B1</f>
        <v>Operating</v>
      </c>
      <c r="C152" s="149" t="str">
        <f>C1</f>
        <v>Weights</v>
      </c>
      <c r="D152" s="149" t="str">
        <f>D1</f>
        <v>SPED</v>
      </c>
      <c r="E152" s="149" t="str">
        <f>E1</f>
        <v>NSLP</v>
      </c>
      <c r="F152" s="149" t="str">
        <f>F1</f>
        <v>Horizon</v>
      </c>
      <c r="H152" s="149" t="str">
        <f>H1</f>
        <v>Operating</v>
      </c>
      <c r="I152" s="149" t="str">
        <f>I1</f>
        <v>Weights</v>
      </c>
      <c r="J152" s="149" t="str">
        <f>J1</f>
        <v>SPED</v>
      </c>
      <c r="K152" s="149" t="str">
        <f>K1</f>
        <v>NSLP</v>
      </c>
      <c r="L152" s="149" t="str">
        <f>L1</f>
        <v>Cadence</v>
      </c>
      <c r="N152" s="149" t="str">
        <f>N1</f>
        <v>Operating</v>
      </c>
      <c r="O152" s="149" t="str">
        <f>O1</f>
        <v>Weights</v>
      </c>
      <c r="P152" s="149" t="str">
        <f>P1</f>
        <v>SPED</v>
      </c>
      <c r="Q152" s="149" t="str">
        <f>Q1</f>
        <v>NSLP</v>
      </c>
      <c r="R152" s="149" t="str">
        <f>R1</f>
        <v>St. Rose</v>
      </c>
      <c r="T152" s="149" t="str">
        <f>T1</f>
        <v>Operating</v>
      </c>
      <c r="U152" s="149" t="str">
        <f>U1</f>
        <v>Weights</v>
      </c>
      <c r="V152" s="149" t="str">
        <f>V1</f>
        <v>SPED</v>
      </c>
      <c r="W152" s="149" t="str">
        <f>W1</f>
        <v>NSLP</v>
      </c>
      <c r="X152" s="149" t="str">
        <f>X1</f>
        <v>Inspirada</v>
      </c>
      <c r="Z152" s="149" t="str">
        <f>Z1</f>
        <v>Operating</v>
      </c>
      <c r="AA152" s="149" t="str">
        <f>AA1</f>
        <v>Weights</v>
      </c>
      <c r="AB152" s="149" t="str">
        <f>AB1</f>
        <v>SPED</v>
      </c>
      <c r="AC152" s="149" t="str">
        <f>AC1</f>
        <v>NSLP</v>
      </c>
      <c r="AD152" s="149" t="str">
        <f>AD1</f>
        <v>Sloan Canyon</v>
      </c>
      <c r="AF152" s="149" t="str">
        <f>AF1</f>
        <v>Operating</v>
      </c>
      <c r="AG152" s="149" t="str">
        <f>AG1</f>
        <v>Weights</v>
      </c>
      <c r="AH152" s="149" t="str">
        <f>AH1</f>
        <v>SPED</v>
      </c>
      <c r="AI152" s="149" t="str">
        <f>AI1</f>
        <v>NSLP</v>
      </c>
      <c r="AJ152" s="149" t="str">
        <f>AJ1</f>
        <v>Springs</v>
      </c>
      <c r="AL152" s="149" t="str">
        <f>AL1</f>
        <v>Operating</v>
      </c>
      <c r="AM152" s="149" t="str">
        <f>AM1</f>
        <v>Weights</v>
      </c>
      <c r="AN152" s="149" t="str">
        <f>AN1</f>
        <v>SPED</v>
      </c>
      <c r="AO152" s="149" t="str">
        <f>AO1</f>
        <v>NSLP</v>
      </c>
      <c r="AP152" s="149" t="str">
        <f>AP1</f>
        <v>System Wide</v>
      </c>
      <c r="AR152" s="149" t="str">
        <f>AR1</f>
        <v>Operating</v>
      </c>
      <c r="AS152" s="149" t="str">
        <f>AS1</f>
        <v>Weights</v>
      </c>
      <c r="AT152" s="149" t="str">
        <f>AT1</f>
        <v>SPED</v>
      </c>
      <c r="AU152" s="149" t="str">
        <f>AU1</f>
        <v>NSLP</v>
      </c>
      <c r="AV152" s="149" t="str">
        <f>AV1</f>
        <v>Virtual</v>
      </c>
      <c r="AX152" s="149" t="str">
        <f>AX1</f>
        <v>Operating</v>
      </c>
      <c r="AY152" s="149" t="str">
        <f>AY1</f>
        <v>Weights</v>
      </c>
      <c r="AZ152" s="149" t="str">
        <f>AZ1</f>
        <v>SPED</v>
      </c>
      <c r="BA152" s="149" t="str">
        <f>BA1</f>
        <v>NSLP</v>
      </c>
      <c r="BB152" s="149" t="str">
        <f>BB1</f>
        <v>Pinecrest System</v>
      </c>
    </row>
    <row r="153" spans="1:54" x14ac:dyDescent="0.25">
      <c r="A153" s="62" t="s">
        <v>125</v>
      </c>
      <c r="B153" s="80">
        <v>0</v>
      </c>
      <c r="C153" s="7">
        <f>'FY23'!C153*1.03</f>
        <v>8755</v>
      </c>
      <c r="D153" s="80"/>
      <c r="E153" s="80"/>
      <c r="F153" s="80">
        <f>SUM(B153:E153)</f>
        <v>8755</v>
      </c>
      <c r="H153" s="80">
        <v>0</v>
      </c>
      <c r="I153" s="7">
        <f>'FY23'!I153*1.03</f>
        <v>18540</v>
      </c>
      <c r="J153" s="80"/>
      <c r="K153" s="80"/>
      <c r="L153" s="80">
        <f>SUM(H153:K153)</f>
        <v>18540</v>
      </c>
      <c r="N153" s="80">
        <v>0</v>
      </c>
      <c r="O153" s="7">
        <f>'FY23'!O153*1.03</f>
        <v>12360</v>
      </c>
      <c r="P153" s="80"/>
      <c r="Q153" s="80"/>
      <c r="R153" s="80">
        <f>SUM(N153:Q153)</f>
        <v>12360</v>
      </c>
      <c r="T153" s="80">
        <v>0</v>
      </c>
      <c r="U153" s="7">
        <f>'FY23'!U153*1.03</f>
        <v>12360</v>
      </c>
      <c r="V153" s="80"/>
      <c r="W153" s="80"/>
      <c r="X153" s="80">
        <f>SUM(T153:W153)</f>
        <v>12360</v>
      </c>
      <c r="Z153" s="80">
        <v>0</v>
      </c>
      <c r="AA153" s="7">
        <f>'FY23'!AA153*1.03</f>
        <v>18540</v>
      </c>
      <c r="AB153" s="80"/>
      <c r="AC153" s="80"/>
      <c r="AD153" s="80">
        <f>SUM(Z153:AC153)</f>
        <v>18540</v>
      </c>
      <c r="AF153" s="80">
        <v>0</v>
      </c>
      <c r="AG153" s="7">
        <v>0</v>
      </c>
      <c r="AH153" s="80"/>
      <c r="AI153" s="80"/>
      <c r="AJ153" s="80">
        <f>SUM(AF153:AI153)</f>
        <v>0</v>
      </c>
      <c r="AL153" s="80">
        <v>0</v>
      </c>
      <c r="AM153" s="80">
        <v>0</v>
      </c>
      <c r="AN153" s="80"/>
      <c r="AO153" s="80"/>
      <c r="AP153" s="80">
        <f>SUM(AL153:AO153)</f>
        <v>0</v>
      </c>
      <c r="AR153" s="80">
        <v>0</v>
      </c>
      <c r="AS153" s="80">
        <f>7500*1.03</f>
        <v>7725</v>
      </c>
      <c r="AT153" s="80"/>
      <c r="AU153" s="80"/>
      <c r="AV153" s="80">
        <f>SUM(AR153:AU153)</f>
        <v>7725</v>
      </c>
      <c r="AX153" s="7">
        <f>B153+H153+N153+T153+Z153+AF153+AL153+AR153</f>
        <v>0</v>
      </c>
      <c r="AY153" s="7">
        <f t="shared" ref="AY153:BA166" si="416">C153+I153+O153+U153+AA153+AG153+AM153+AS153</f>
        <v>78280</v>
      </c>
      <c r="AZ153" s="7">
        <f t="shared" si="416"/>
        <v>0</v>
      </c>
      <c r="BA153" s="7">
        <f t="shared" si="416"/>
        <v>0</v>
      </c>
      <c r="BB153" s="80">
        <f>SUM(AX153:BA153)</f>
        <v>78280</v>
      </c>
    </row>
    <row r="154" spans="1:54" x14ac:dyDescent="0.25">
      <c r="A154" s="62" t="s">
        <v>126</v>
      </c>
      <c r="B154" s="14">
        <v>0</v>
      </c>
      <c r="C154" s="142"/>
      <c r="D154" s="14">
        <f>310*B19</f>
        <v>290160</v>
      </c>
      <c r="E154" s="142"/>
      <c r="F154" s="80">
        <f t="shared" ref="F154:F165" si="417">SUM(B154:E154)</f>
        <v>290160</v>
      </c>
      <c r="H154" s="14">
        <v>0</v>
      </c>
      <c r="I154" s="142"/>
      <c r="J154" s="14">
        <f>165*H19</f>
        <v>392535</v>
      </c>
      <c r="K154" s="142"/>
      <c r="L154" s="80">
        <f t="shared" ref="L154:L165" si="418">SUM(H154:K154)</f>
        <v>392535</v>
      </c>
      <c r="N154" s="14">
        <v>0</v>
      </c>
      <c r="O154" s="142"/>
      <c r="P154" s="14">
        <f>160*N19</f>
        <v>162560</v>
      </c>
      <c r="Q154" s="142"/>
      <c r="R154" s="80">
        <f t="shared" ref="R154:R165" si="419">SUM(N154:Q154)</f>
        <v>162560</v>
      </c>
      <c r="T154" s="14">
        <v>0</v>
      </c>
      <c r="U154" s="142"/>
      <c r="V154" s="14">
        <f>125*T19</f>
        <v>151875</v>
      </c>
      <c r="W154" s="142"/>
      <c r="X154" s="80">
        <f t="shared" ref="X154:X165" si="420">SUM(T154:W154)</f>
        <v>151875</v>
      </c>
      <c r="Z154" s="14">
        <v>0</v>
      </c>
      <c r="AA154" s="142"/>
      <c r="AB154" s="14">
        <f>105*Z19</f>
        <v>236670</v>
      </c>
      <c r="AC154" s="142"/>
      <c r="AD154" s="80">
        <f t="shared" ref="AD154:AD165" si="421">SUM(Z154:AC154)</f>
        <v>236670</v>
      </c>
      <c r="AF154" s="14">
        <v>0</v>
      </c>
      <c r="AG154" s="142"/>
      <c r="AH154" s="14">
        <f>125*AF19</f>
        <v>80625</v>
      </c>
      <c r="AI154" s="142"/>
      <c r="AJ154" s="80">
        <f t="shared" ref="AJ154:AJ165" si="422">SUM(AF154:AI154)</f>
        <v>80625</v>
      </c>
      <c r="AL154" s="14">
        <v>0</v>
      </c>
      <c r="AM154" s="142"/>
      <c r="AN154" s="14">
        <f>105*AL19</f>
        <v>0</v>
      </c>
      <c r="AO154" s="142"/>
      <c r="AP154" s="80">
        <f t="shared" ref="AP154:AP165" si="423">SUM(AL154:AO154)</f>
        <v>0</v>
      </c>
      <c r="AR154" s="14">
        <v>0</v>
      </c>
      <c r="AS154" s="142"/>
      <c r="AT154" s="14">
        <f>200*AR19</f>
        <v>34000</v>
      </c>
      <c r="AU154" s="142"/>
      <c r="AV154" s="80">
        <f t="shared" ref="AV154:AV165" si="424">SUM(AR154:AU154)</f>
        <v>34000</v>
      </c>
      <c r="AX154" s="7">
        <f t="shared" ref="AX154:AX165" si="425">B154+H154+N154+T154+Z154+AF154+AL154+AR154</f>
        <v>0</v>
      </c>
      <c r="AY154" s="7">
        <f t="shared" si="416"/>
        <v>0</v>
      </c>
      <c r="AZ154" s="7">
        <f t="shared" si="416"/>
        <v>1348425</v>
      </c>
      <c r="BA154" s="7">
        <f t="shared" si="416"/>
        <v>0</v>
      </c>
      <c r="BB154" s="80">
        <f t="shared" ref="BB154:BB165" si="426">SUM(AX154:BA154)</f>
        <v>1348425</v>
      </c>
    </row>
    <row r="155" spans="1:54" x14ac:dyDescent="0.25">
      <c r="A155" s="62" t="s">
        <v>253</v>
      </c>
      <c r="B155" s="11">
        <v>0</v>
      </c>
      <c r="C155" s="142"/>
      <c r="D155" s="14"/>
      <c r="E155" s="142"/>
      <c r="F155" s="80">
        <f t="shared" si="417"/>
        <v>0</v>
      </c>
      <c r="H155" s="11">
        <v>0</v>
      </c>
      <c r="I155" s="142"/>
      <c r="J155" s="14"/>
      <c r="K155" s="142"/>
      <c r="L155" s="80">
        <f t="shared" si="418"/>
        <v>0</v>
      </c>
      <c r="N155" s="11">
        <v>0</v>
      </c>
      <c r="O155" s="142"/>
      <c r="P155" s="14"/>
      <c r="Q155" s="142"/>
      <c r="R155" s="80">
        <f t="shared" si="419"/>
        <v>0</v>
      </c>
      <c r="T155" s="11">
        <v>0</v>
      </c>
      <c r="U155" s="142"/>
      <c r="V155" s="14"/>
      <c r="W155" s="142"/>
      <c r="X155" s="80">
        <f t="shared" si="420"/>
        <v>0</v>
      </c>
      <c r="Z155" s="11">
        <v>0</v>
      </c>
      <c r="AA155" s="142"/>
      <c r="AB155" s="14"/>
      <c r="AC155" s="142"/>
      <c r="AD155" s="80">
        <f t="shared" si="421"/>
        <v>0</v>
      </c>
      <c r="AF155" s="11">
        <v>0</v>
      </c>
      <c r="AG155" s="142"/>
      <c r="AH155" s="14"/>
      <c r="AI155" s="142"/>
      <c r="AJ155" s="80">
        <f t="shared" si="422"/>
        <v>0</v>
      </c>
      <c r="AL155" s="11">
        <v>0</v>
      </c>
      <c r="AM155" s="142"/>
      <c r="AN155" s="14"/>
      <c r="AO155" s="142"/>
      <c r="AP155" s="80">
        <f t="shared" si="423"/>
        <v>0</v>
      </c>
      <c r="AR155" s="11">
        <f>(100*10)*AR19</f>
        <v>170000</v>
      </c>
      <c r="AS155" s="142"/>
      <c r="AT155" s="14"/>
      <c r="AU155" s="142"/>
      <c r="AV155" s="80">
        <f t="shared" si="424"/>
        <v>170000</v>
      </c>
      <c r="AX155" s="7">
        <f t="shared" si="425"/>
        <v>170000</v>
      </c>
      <c r="AY155" s="7">
        <f t="shared" si="416"/>
        <v>0</v>
      </c>
      <c r="AZ155" s="7">
        <f t="shared" si="416"/>
        <v>0</v>
      </c>
      <c r="BA155" s="7">
        <f t="shared" si="416"/>
        <v>0</v>
      </c>
      <c r="BB155" s="80">
        <f t="shared" si="426"/>
        <v>170000</v>
      </c>
    </row>
    <row r="156" spans="1:54" x14ac:dyDescent="0.25">
      <c r="A156" s="62" t="s">
        <v>254</v>
      </c>
      <c r="B156" s="11">
        <v>0</v>
      </c>
      <c r="C156" s="142"/>
      <c r="D156" s="14"/>
      <c r="E156" s="142"/>
      <c r="F156" s="80">
        <f t="shared" si="417"/>
        <v>0</v>
      </c>
      <c r="H156" s="11">
        <v>0</v>
      </c>
      <c r="I156" s="142"/>
      <c r="J156" s="14"/>
      <c r="K156" s="142"/>
      <c r="L156" s="80">
        <f t="shared" si="418"/>
        <v>0</v>
      </c>
      <c r="N156" s="11">
        <v>0</v>
      </c>
      <c r="O156" s="142"/>
      <c r="P156" s="14"/>
      <c r="Q156" s="142"/>
      <c r="R156" s="80">
        <f t="shared" si="419"/>
        <v>0</v>
      </c>
      <c r="T156" s="11">
        <v>0</v>
      </c>
      <c r="U156" s="142"/>
      <c r="V156" s="14"/>
      <c r="W156" s="142"/>
      <c r="X156" s="80">
        <f t="shared" si="420"/>
        <v>0</v>
      </c>
      <c r="Z156" s="11">
        <v>0</v>
      </c>
      <c r="AA156" s="142"/>
      <c r="AB156" s="14"/>
      <c r="AC156" s="142"/>
      <c r="AD156" s="80">
        <f t="shared" si="421"/>
        <v>0</v>
      </c>
      <c r="AF156" s="11">
        <v>0</v>
      </c>
      <c r="AG156" s="142"/>
      <c r="AH156" s="14"/>
      <c r="AI156" s="142"/>
      <c r="AJ156" s="80">
        <f t="shared" si="422"/>
        <v>0</v>
      </c>
      <c r="AL156" s="11">
        <v>0</v>
      </c>
      <c r="AM156" s="142"/>
      <c r="AN156" s="14"/>
      <c r="AO156" s="142"/>
      <c r="AP156" s="80">
        <f t="shared" si="423"/>
        <v>0</v>
      </c>
      <c r="AR156" s="11">
        <f>(1500*AR19)</f>
        <v>255000</v>
      </c>
      <c r="AS156" s="142"/>
      <c r="AT156" s="14"/>
      <c r="AU156" s="142"/>
      <c r="AV156" s="80">
        <f t="shared" si="424"/>
        <v>255000</v>
      </c>
      <c r="AX156" s="7">
        <f t="shared" si="425"/>
        <v>255000</v>
      </c>
      <c r="AY156" s="7">
        <f t="shared" si="416"/>
        <v>0</v>
      </c>
      <c r="AZ156" s="7">
        <f t="shared" si="416"/>
        <v>0</v>
      </c>
      <c r="BA156" s="7">
        <f t="shared" si="416"/>
        <v>0</v>
      </c>
      <c r="BB156" s="80">
        <f t="shared" si="426"/>
        <v>255000</v>
      </c>
    </row>
    <row r="157" spans="1:54" x14ac:dyDescent="0.25">
      <c r="A157" s="62" t="s">
        <v>128</v>
      </c>
      <c r="B157" s="7">
        <f>(450*B19)</f>
        <v>421200</v>
      </c>
      <c r="C157" s="7"/>
      <c r="D157" s="7"/>
      <c r="E157" s="7"/>
      <c r="F157" s="80">
        <f t="shared" si="417"/>
        <v>421200</v>
      </c>
      <c r="H157" s="7">
        <f>(450*H19)</f>
        <v>1070550</v>
      </c>
      <c r="I157" s="7"/>
      <c r="J157" s="7"/>
      <c r="K157" s="7"/>
      <c r="L157" s="80">
        <f t="shared" si="418"/>
        <v>1070550</v>
      </c>
      <c r="N157" s="7">
        <f>(450*N19)</f>
        <v>457200</v>
      </c>
      <c r="O157" s="7"/>
      <c r="P157" s="7"/>
      <c r="Q157" s="7"/>
      <c r="R157" s="80">
        <f t="shared" si="419"/>
        <v>457200</v>
      </c>
      <c r="T157" s="7">
        <f>(450*T19)</f>
        <v>546750</v>
      </c>
      <c r="U157" s="7"/>
      <c r="V157" s="7"/>
      <c r="W157" s="7"/>
      <c r="X157" s="80">
        <f t="shared" si="420"/>
        <v>546750</v>
      </c>
      <c r="Z157" s="7">
        <f>(450*Z19)</f>
        <v>1014300</v>
      </c>
      <c r="AA157" s="7"/>
      <c r="AB157" s="7"/>
      <c r="AC157" s="7"/>
      <c r="AD157" s="80">
        <f t="shared" si="421"/>
        <v>1014300</v>
      </c>
      <c r="AF157" s="357">
        <f>(250*AF19)</f>
        <v>161250</v>
      </c>
      <c r="AG157" s="7"/>
      <c r="AH157" s="7"/>
      <c r="AI157" s="7"/>
      <c r="AJ157" s="80">
        <f t="shared" si="422"/>
        <v>161250</v>
      </c>
      <c r="AL157" s="7">
        <f>(450*AL19)</f>
        <v>0</v>
      </c>
      <c r="AM157" s="7"/>
      <c r="AN157" s="7"/>
      <c r="AO157" s="7"/>
      <c r="AP157" s="80">
        <f t="shared" si="423"/>
        <v>0</v>
      </c>
      <c r="AR157" s="7">
        <f>(450*AR19)</f>
        <v>76500</v>
      </c>
      <c r="AS157" s="7"/>
      <c r="AT157" s="7"/>
      <c r="AU157" s="7"/>
      <c r="AV157" s="80">
        <f t="shared" si="424"/>
        <v>76500</v>
      </c>
      <c r="AX157" s="7">
        <f t="shared" si="425"/>
        <v>3747750</v>
      </c>
      <c r="AY157" s="7">
        <f t="shared" si="416"/>
        <v>0</v>
      </c>
      <c r="AZ157" s="7">
        <f t="shared" si="416"/>
        <v>0</v>
      </c>
      <c r="BA157" s="7">
        <f t="shared" si="416"/>
        <v>0</v>
      </c>
      <c r="BB157" s="80">
        <f t="shared" si="426"/>
        <v>3747750</v>
      </c>
    </row>
    <row r="158" spans="1:54" x14ac:dyDescent="0.25">
      <c r="A158" s="62" t="s">
        <v>129</v>
      </c>
      <c r="B158" s="7">
        <f>(240*B66)+2000</f>
        <v>14120</v>
      </c>
      <c r="C158" s="7">
        <f>(240*C66)</f>
        <v>720</v>
      </c>
      <c r="D158" s="7">
        <f>(240*D66)</f>
        <v>2160</v>
      </c>
      <c r="E158" s="7">
        <f>(240*E66)</f>
        <v>240</v>
      </c>
      <c r="F158" s="80">
        <f t="shared" si="417"/>
        <v>17240</v>
      </c>
      <c r="H158" s="7">
        <f>(240*H66)+2000</f>
        <v>31040</v>
      </c>
      <c r="I158" s="7">
        <f>(240*I66)</f>
        <v>1440</v>
      </c>
      <c r="J158" s="7">
        <f>(240*J66)</f>
        <v>6960</v>
      </c>
      <c r="K158" s="7">
        <f>(240*K66)</f>
        <v>720</v>
      </c>
      <c r="L158" s="80">
        <f t="shared" si="418"/>
        <v>40160</v>
      </c>
      <c r="N158" s="7">
        <f>(240*N66)+2000</f>
        <v>14960</v>
      </c>
      <c r="O158" s="7">
        <f>(240*O66)</f>
        <v>1200</v>
      </c>
      <c r="P158" s="7">
        <f>(240*P66)</f>
        <v>1999.2</v>
      </c>
      <c r="Q158" s="7">
        <f>(240*Q66)</f>
        <v>240</v>
      </c>
      <c r="R158" s="80">
        <f t="shared" si="419"/>
        <v>18399.2</v>
      </c>
      <c r="T158" s="7">
        <f>(240*T66)+2000</f>
        <v>17960</v>
      </c>
      <c r="U158" s="7">
        <f>(240*U66)</f>
        <v>1320</v>
      </c>
      <c r="V158" s="7">
        <f>(240*V66)</f>
        <v>3201.6</v>
      </c>
      <c r="W158" s="7">
        <f>(240*W66)</f>
        <v>240</v>
      </c>
      <c r="X158" s="80">
        <f t="shared" si="420"/>
        <v>22721.599999999999</v>
      </c>
      <c r="Z158" s="7">
        <f>(240*Z66)+2000</f>
        <v>28640</v>
      </c>
      <c r="AA158" s="7">
        <f>(240*AA66)</f>
        <v>840</v>
      </c>
      <c r="AB158" s="7">
        <f>(240*AB66)</f>
        <v>5479.2</v>
      </c>
      <c r="AC158" s="7">
        <f>(240*AC66)</f>
        <v>480</v>
      </c>
      <c r="AD158" s="80">
        <f t="shared" si="421"/>
        <v>35439.199999999997</v>
      </c>
      <c r="AF158" s="7">
        <f>(240*AF66)+2000</f>
        <v>9920</v>
      </c>
      <c r="AG158" s="7">
        <f>(240*AG66)</f>
        <v>240</v>
      </c>
      <c r="AH158" s="7">
        <f>(240*AH66)</f>
        <v>960</v>
      </c>
      <c r="AI158" s="7">
        <f>(240*AI66)</f>
        <v>240</v>
      </c>
      <c r="AJ158" s="80">
        <f t="shared" si="422"/>
        <v>11360</v>
      </c>
      <c r="AL158" s="7">
        <f>(240*AL66)+2000</f>
        <v>2720</v>
      </c>
      <c r="AM158" s="7">
        <f>(240*AM66)</f>
        <v>120</v>
      </c>
      <c r="AN158" s="7">
        <f>(240*AN66)</f>
        <v>0</v>
      </c>
      <c r="AO158" s="7">
        <f>(240*AO66)</f>
        <v>0</v>
      </c>
      <c r="AP158" s="80">
        <f t="shared" si="423"/>
        <v>2840</v>
      </c>
      <c r="AR158" s="7">
        <f>(240*AR66)+2000</f>
        <v>2240</v>
      </c>
      <c r="AS158" s="7">
        <f>(240*AS66)</f>
        <v>0</v>
      </c>
      <c r="AT158" s="7">
        <f>(240*AT66)</f>
        <v>240</v>
      </c>
      <c r="AU158" s="7">
        <f>(240*AU66)</f>
        <v>0</v>
      </c>
      <c r="AV158" s="80">
        <f t="shared" si="424"/>
        <v>2480</v>
      </c>
      <c r="AX158" s="7">
        <f t="shared" si="425"/>
        <v>121600</v>
      </c>
      <c r="AY158" s="7">
        <f t="shared" si="416"/>
        <v>5880</v>
      </c>
      <c r="AZ158" s="7">
        <f t="shared" si="416"/>
        <v>21000</v>
      </c>
      <c r="BA158" s="7">
        <f t="shared" si="416"/>
        <v>2160</v>
      </c>
      <c r="BB158" s="80">
        <f t="shared" si="426"/>
        <v>150640</v>
      </c>
    </row>
    <row r="159" spans="1:54" s="212" customFormat="1" x14ac:dyDescent="0.25">
      <c r="A159" s="62" t="s">
        <v>130</v>
      </c>
      <c r="B159" s="7">
        <f>'FY23'!B159*1.03</f>
        <v>11845</v>
      </c>
      <c r="C159" s="15"/>
      <c r="D159" s="15"/>
      <c r="E159" s="15"/>
      <c r="F159" s="80">
        <f t="shared" si="417"/>
        <v>11845</v>
      </c>
      <c r="G159" s="211"/>
      <c r="H159" s="7">
        <f>'FY23'!H159*1.03</f>
        <v>11845</v>
      </c>
      <c r="I159" s="15"/>
      <c r="J159" s="15"/>
      <c r="K159" s="15"/>
      <c r="L159" s="80">
        <f t="shared" si="418"/>
        <v>11845</v>
      </c>
      <c r="M159" s="211"/>
      <c r="N159" s="7">
        <f>'FY23'!N159*1.03</f>
        <v>11845</v>
      </c>
      <c r="O159" s="15"/>
      <c r="P159" s="15"/>
      <c r="Q159" s="15"/>
      <c r="R159" s="80">
        <f t="shared" si="419"/>
        <v>11845</v>
      </c>
      <c r="S159" s="211"/>
      <c r="T159" s="7">
        <f>'FY23'!T159*1.03</f>
        <v>11845</v>
      </c>
      <c r="U159" s="15"/>
      <c r="V159" s="15"/>
      <c r="W159" s="15"/>
      <c r="X159" s="80">
        <f t="shared" si="420"/>
        <v>11845</v>
      </c>
      <c r="Y159" s="211"/>
      <c r="Z159" s="7">
        <f>'FY23'!Z159*1.03</f>
        <v>11845</v>
      </c>
      <c r="AA159" s="15"/>
      <c r="AB159" s="15"/>
      <c r="AC159" s="15"/>
      <c r="AD159" s="80">
        <f t="shared" si="421"/>
        <v>11845</v>
      </c>
      <c r="AE159" s="211"/>
      <c r="AF159" s="7">
        <f>'FY23'!AF159*1.03</f>
        <v>0</v>
      </c>
      <c r="AG159" s="15"/>
      <c r="AH159" s="15"/>
      <c r="AI159" s="15"/>
      <c r="AJ159" s="80">
        <f t="shared" si="422"/>
        <v>0</v>
      </c>
      <c r="AK159" s="211"/>
      <c r="AL159" s="15">
        <v>0</v>
      </c>
      <c r="AM159" s="15"/>
      <c r="AN159" s="15"/>
      <c r="AO159" s="15"/>
      <c r="AP159" s="80">
        <f t="shared" si="423"/>
        <v>0</v>
      </c>
      <c r="AQ159" s="211"/>
      <c r="AR159" s="15">
        <f>12500*1.03</f>
        <v>12875</v>
      </c>
      <c r="AS159" s="15"/>
      <c r="AT159" s="15"/>
      <c r="AU159" s="15"/>
      <c r="AV159" s="80">
        <f t="shared" si="424"/>
        <v>12875</v>
      </c>
      <c r="AX159" s="7">
        <f t="shared" si="425"/>
        <v>72100</v>
      </c>
      <c r="AY159" s="7">
        <f t="shared" si="416"/>
        <v>0</v>
      </c>
      <c r="AZ159" s="7">
        <f t="shared" si="416"/>
        <v>0</v>
      </c>
      <c r="BA159" s="7">
        <f t="shared" si="416"/>
        <v>0</v>
      </c>
      <c r="BB159" s="80">
        <f t="shared" si="426"/>
        <v>72100</v>
      </c>
    </row>
    <row r="160" spans="1:54" x14ac:dyDescent="0.25">
      <c r="A160" s="62" t="s">
        <v>131</v>
      </c>
      <c r="B160" s="7">
        <v>6000</v>
      </c>
      <c r="C160" s="7"/>
      <c r="D160" s="7"/>
      <c r="E160" s="7"/>
      <c r="F160" s="80">
        <f t="shared" si="417"/>
        <v>6000</v>
      </c>
      <c r="H160" s="7">
        <v>6000</v>
      </c>
      <c r="I160" s="7"/>
      <c r="J160" s="7"/>
      <c r="K160" s="7"/>
      <c r="L160" s="80">
        <f t="shared" si="418"/>
        <v>6000</v>
      </c>
      <c r="N160" s="7">
        <v>6000</v>
      </c>
      <c r="O160" s="7"/>
      <c r="P160" s="7"/>
      <c r="Q160" s="7"/>
      <c r="R160" s="80">
        <f t="shared" si="419"/>
        <v>6000</v>
      </c>
      <c r="T160" s="7">
        <v>6000</v>
      </c>
      <c r="U160" s="7"/>
      <c r="V160" s="7"/>
      <c r="W160" s="7"/>
      <c r="X160" s="80">
        <f t="shared" si="420"/>
        <v>6000</v>
      </c>
      <c r="Z160" s="7">
        <v>6000</v>
      </c>
      <c r="AA160" s="7"/>
      <c r="AB160" s="7"/>
      <c r="AC160" s="7"/>
      <c r="AD160" s="80">
        <f t="shared" si="421"/>
        <v>6000</v>
      </c>
      <c r="AF160" s="7">
        <v>6000</v>
      </c>
      <c r="AG160" s="7"/>
      <c r="AH160" s="7"/>
      <c r="AI160" s="7"/>
      <c r="AJ160" s="80">
        <f t="shared" si="422"/>
        <v>6000</v>
      </c>
      <c r="AL160" s="7">
        <v>0</v>
      </c>
      <c r="AM160" s="7"/>
      <c r="AN160" s="7"/>
      <c r="AO160" s="7"/>
      <c r="AP160" s="80">
        <f t="shared" si="423"/>
        <v>0</v>
      </c>
      <c r="AR160" s="7">
        <v>1500</v>
      </c>
      <c r="AS160" s="7"/>
      <c r="AT160" s="7"/>
      <c r="AU160" s="7"/>
      <c r="AV160" s="80">
        <f t="shared" si="424"/>
        <v>1500</v>
      </c>
      <c r="AX160" s="7">
        <f t="shared" si="425"/>
        <v>37500</v>
      </c>
      <c r="AY160" s="7">
        <f t="shared" si="416"/>
        <v>0</v>
      </c>
      <c r="AZ160" s="7">
        <f t="shared" si="416"/>
        <v>0</v>
      </c>
      <c r="BA160" s="7">
        <f t="shared" si="416"/>
        <v>0</v>
      </c>
      <c r="BB160" s="80">
        <f t="shared" si="426"/>
        <v>37500</v>
      </c>
    </row>
    <row r="161" spans="1:54" x14ac:dyDescent="0.25">
      <c r="A161" s="62" t="s">
        <v>132</v>
      </c>
      <c r="B161" s="7">
        <f>45*B19</f>
        <v>42120</v>
      </c>
      <c r="C161" s="7"/>
      <c r="D161" s="7"/>
      <c r="E161" s="7"/>
      <c r="F161" s="80">
        <f t="shared" si="417"/>
        <v>42120</v>
      </c>
      <c r="H161" s="7">
        <f>45*H19</f>
        <v>107055</v>
      </c>
      <c r="I161" s="7"/>
      <c r="J161" s="7"/>
      <c r="K161" s="7"/>
      <c r="L161" s="80">
        <f t="shared" si="418"/>
        <v>107055</v>
      </c>
      <c r="N161" s="7">
        <f>45*N19</f>
        <v>45720</v>
      </c>
      <c r="O161" s="7"/>
      <c r="P161" s="7"/>
      <c r="Q161" s="7"/>
      <c r="R161" s="80">
        <f t="shared" si="419"/>
        <v>45720</v>
      </c>
      <c r="T161" s="7">
        <f>45*T19</f>
        <v>54675</v>
      </c>
      <c r="U161" s="7"/>
      <c r="V161" s="7"/>
      <c r="W161" s="7"/>
      <c r="X161" s="80">
        <f t="shared" si="420"/>
        <v>54675</v>
      </c>
      <c r="Z161" s="7">
        <f>45*Z19</f>
        <v>101430</v>
      </c>
      <c r="AA161" s="7"/>
      <c r="AB161" s="7"/>
      <c r="AC161" s="7"/>
      <c r="AD161" s="80">
        <f t="shared" si="421"/>
        <v>101430</v>
      </c>
      <c r="AF161" s="7">
        <f>45*AF19</f>
        <v>29025</v>
      </c>
      <c r="AG161" s="7"/>
      <c r="AH161" s="7"/>
      <c r="AI161" s="7"/>
      <c r="AJ161" s="80">
        <f t="shared" si="422"/>
        <v>29025</v>
      </c>
      <c r="AL161" s="7">
        <f>42*AL19</f>
        <v>0</v>
      </c>
      <c r="AM161" s="7"/>
      <c r="AN161" s="7"/>
      <c r="AO161" s="7"/>
      <c r="AP161" s="80">
        <f t="shared" si="423"/>
        <v>0</v>
      </c>
      <c r="AR161" s="7">
        <f>42*AR19</f>
        <v>7140</v>
      </c>
      <c r="AS161" s="7"/>
      <c r="AT161" s="7"/>
      <c r="AU161" s="7"/>
      <c r="AV161" s="80">
        <f t="shared" si="424"/>
        <v>7140</v>
      </c>
      <c r="AX161" s="7">
        <f t="shared" si="425"/>
        <v>387165</v>
      </c>
      <c r="AY161" s="7">
        <f t="shared" si="416"/>
        <v>0</v>
      </c>
      <c r="AZ161" s="7">
        <f t="shared" si="416"/>
        <v>0</v>
      </c>
      <c r="BA161" s="7">
        <f t="shared" si="416"/>
        <v>0</v>
      </c>
      <c r="BB161" s="80">
        <f t="shared" si="426"/>
        <v>387165</v>
      </c>
    </row>
    <row r="162" spans="1:54" x14ac:dyDescent="0.25">
      <c r="A162" s="62" t="s">
        <v>133</v>
      </c>
      <c r="B162" s="7">
        <v>7500</v>
      </c>
      <c r="C162" s="7"/>
      <c r="D162" s="7"/>
      <c r="E162" s="7"/>
      <c r="F162" s="80">
        <f t="shared" si="417"/>
        <v>7500</v>
      </c>
      <c r="H162" s="7">
        <v>9000</v>
      </c>
      <c r="I162" s="7"/>
      <c r="J162" s="7"/>
      <c r="K162" s="7"/>
      <c r="L162" s="80">
        <f t="shared" si="418"/>
        <v>9000</v>
      </c>
      <c r="N162" s="7">
        <v>7500</v>
      </c>
      <c r="O162" s="7"/>
      <c r="P162" s="7"/>
      <c r="Q162" s="7"/>
      <c r="R162" s="80">
        <f t="shared" si="419"/>
        <v>7500</v>
      </c>
      <c r="T162" s="7">
        <v>7500</v>
      </c>
      <c r="U162" s="7"/>
      <c r="V162" s="7"/>
      <c r="W162" s="7"/>
      <c r="X162" s="80">
        <f t="shared" si="420"/>
        <v>7500</v>
      </c>
      <c r="Z162" s="7">
        <v>12500</v>
      </c>
      <c r="AA162" s="7"/>
      <c r="AB162" s="7"/>
      <c r="AC162" s="7"/>
      <c r="AD162" s="80">
        <f t="shared" si="421"/>
        <v>12500</v>
      </c>
      <c r="AF162" s="7">
        <v>12500</v>
      </c>
      <c r="AG162" s="7"/>
      <c r="AH162" s="7"/>
      <c r="AI162" s="7"/>
      <c r="AJ162" s="80">
        <f t="shared" si="422"/>
        <v>12500</v>
      </c>
      <c r="AL162" s="7">
        <v>0</v>
      </c>
      <c r="AM162" s="7"/>
      <c r="AN162" s="7"/>
      <c r="AO162" s="7"/>
      <c r="AP162" s="80">
        <f t="shared" si="423"/>
        <v>0</v>
      </c>
      <c r="AR162" s="7">
        <v>10000</v>
      </c>
      <c r="AS162" s="7"/>
      <c r="AT162" s="7"/>
      <c r="AU162" s="7"/>
      <c r="AV162" s="80">
        <f t="shared" si="424"/>
        <v>10000</v>
      </c>
      <c r="AX162" s="7">
        <f t="shared" si="425"/>
        <v>66500</v>
      </c>
      <c r="AY162" s="7">
        <f t="shared" si="416"/>
        <v>0</v>
      </c>
      <c r="AZ162" s="7">
        <f t="shared" si="416"/>
        <v>0</v>
      </c>
      <c r="BA162" s="7">
        <f t="shared" si="416"/>
        <v>0</v>
      </c>
      <c r="BB162" s="80">
        <f t="shared" si="426"/>
        <v>66500</v>
      </c>
    </row>
    <row r="163" spans="1:54" x14ac:dyDescent="0.25">
      <c r="A163" s="62" t="s">
        <v>134</v>
      </c>
      <c r="B163" s="7">
        <f>(B87+B88)*0.0125</f>
        <v>86437.365300000005</v>
      </c>
      <c r="C163" s="7"/>
      <c r="D163" s="7"/>
      <c r="E163" s="7"/>
      <c r="F163" s="80">
        <f t="shared" si="417"/>
        <v>86437.365300000005</v>
      </c>
      <c r="H163" s="7">
        <f>(H87+H88)*0.0125</f>
        <v>219694.97013749997</v>
      </c>
      <c r="I163" s="7"/>
      <c r="J163" s="7"/>
      <c r="K163" s="7"/>
      <c r="L163" s="80">
        <f t="shared" si="418"/>
        <v>219694.97013749997</v>
      </c>
      <c r="N163" s="7">
        <f>(N87+N88)*0.0125</f>
        <v>93825.174299999999</v>
      </c>
      <c r="O163" s="7"/>
      <c r="P163" s="7"/>
      <c r="Q163" s="7"/>
      <c r="R163" s="80">
        <f t="shared" si="419"/>
        <v>93825.174299999999</v>
      </c>
      <c r="T163" s="7">
        <f>(T87+T88)*0.0125</f>
        <v>112202.34918749999</v>
      </c>
      <c r="U163" s="7"/>
      <c r="V163" s="7"/>
      <c r="W163" s="7"/>
      <c r="X163" s="80">
        <f t="shared" si="420"/>
        <v>112202.34918749999</v>
      </c>
      <c r="Z163" s="7">
        <f>(Z87+Z88)*0.0125</f>
        <v>208151.51857499999</v>
      </c>
      <c r="AA163" s="7"/>
      <c r="AB163" s="7"/>
      <c r="AC163" s="7"/>
      <c r="AD163" s="80">
        <f t="shared" si="421"/>
        <v>208151.51857499999</v>
      </c>
      <c r="AF163" s="7">
        <f>(AF87+AF88)*0.0125</f>
        <v>59564.210062500002</v>
      </c>
      <c r="AG163" s="7"/>
      <c r="AH163" s="7"/>
      <c r="AI163" s="7"/>
      <c r="AJ163" s="80">
        <f t="shared" si="422"/>
        <v>59564.210062500002</v>
      </c>
      <c r="AL163" s="7">
        <f>(AL87+AL88)*0.0125</f>
        <v>0</v>
      </c>
      <c r="AM163" s="7"/>
      <c r="AN163" s="7"/>
      <c r="AO163" s="7"/>
      <c r="AP163" s="80">
        <f t="shared" si="423"/>
        <v>0</v>
      </c>
      <c r="AR163" s="7">
        <f>(AR87+AR88)*0.0125</f>
        <v>15331.875</v>
      </c>
      <c r="AS163" s="7"/>
      <c r="AT163" s="7"/>
      <c r="AU163" s="7"/>
      <c r="AV163" s="80">
        <f t="shared" si="424"/>
        <v>15331.875</v>
      </c>
      <c r="AX163" s="7">
        <f t="shared" si="425"/>
        <v>795207.46256249992</v>
      </c>
      <c r="AY163" s="7">
        <f t="shared" si="416"/>
        <v>0</v>
      </c>
      <c r="AZ163" s="7">
        <f t="shared" si="416"/>
        <v>0</v>
      </c>
      <c r="BA163" s="7">
        <f t="shared" si="416"/>
        <v>0</v>
      </c>
      <c r="BB163" s="80">
        <f t="shared" si="426"/>
        <v>795207.46256249992</v>
      </c>
    </row>
    <row r="164" spans="1:54" x14ac:dyDescent="0.25">
      <c r="A164" s="62" t="s">
        <v>135</v>
      </c>
      <c r="B164" s="7">
        <f>(B87+B88)*0.005</f>
        <v>34574.946120000001</v>
      </c>
      <c r="C164" s="7"/>
      <c r="D164" s="7"/>
      <c r="E164" s="7"/>
      <c r="F164" s="80">
        <f t="shared" si="417"/>
        <v>34574.946120000001</v>
      </c>
      <c r="H164" s="7">
        <f>(H87+H88)*0.005</f>
        <v>87877.988054999994</v>
      </c>
      <c r="I164" s="7"/>
      <c r="J164" s="7"/>
      <c r="K164" s="7"/>
      <c r="L164" s="80">
        <f t="shared" si="418"/>
        <v>87877.988054999994</v>
      </c>
      <c r="N164" s="7">
        <f>(N87+N88)*0.005</f>
        <v>37530.06972</v>
      </c>
      <c r="O164" s="7"/>
      <c r="P164" s="7"/>
      <c r="Q164" s="7"/>
      <c r="R164" s="80">
        <f t="shared" si="419"/>
        <v>37530.06972</v>
      </c>
      <c r="T164" s="7">
        <f>(T87+T88)*0.005</f>
        <v>44880.939674999994</v>
      </c>
      <c r="U164" s="7"/>
      <c r="V164" s="7"/>
      <c r="W164" s="7"/>
      <c r="X164" s="80">
        <f t="shared" si="420"/>
        <v>44880.939674999994</v>
      </c>
      <c r="Z164" s="7">
        <f>(Z87+Z88)*0.005</f>
        <v>83260.607429999989</v>
      </c>
      <c r="AA164" s="7"/>
      <c r="AB164" s="7"/>
      <c r="AC164" s="7"/>
      <c r="AD164" s="80">
        <f t="shared" si="421"/>
        <v>83260.607429999989</v>
      </c>
      <c r="AF164" s="7">
        <f>(AF87+AF88)*0.005</f>
        <v>23825.684024999999</v>
      </c>
      <c r="AG164" s="7"/>
      <c r="AH164" s="7"/>
      <c r="AI164" s="7"/>
      <c r="AJ164" s="80">
        <f t="shared" si="422"/>
        <v>23825.684024999999</v>
      </c>
      <c r="AL164" s="7">
        <f>(AL87+AL88)*0.005</f>
        <v>0</v>
      </c>
      <c r="AM164" s="7"/>
      <c r="AN164" s="7"/>
      <c r="AO164" s="7"/>
      <c r="AP164" s="80">
        <f t="shared" si="423"/>
        <v>0</v>
      </c>
      <c r="AR164" s="7">
        <f>(AR87+AR88)*0.005</f>
        <v>6132.75</v>
      </c>
      <c r="AS164" s="7"/>
      <c r="AT164" s="7"/>
      <c r="AU164" s="7"/>
      <c r="AV164" s="80">
        <f t="shared" si="424"/>
        <v>6132.75</v>
      </c>
      <c r="AX164" s="7">
        <f t="shared" si="425"/>
        <v>318082.985025</v>
      </c>
      <c r="AY164" s="7">
        <f t="shared" si="416"/>
        <v>0</v>
      </c>
      <c r="AZ164" s="7">
        <f t="shared" si="416"/>
        <v>0</v>
      </c>
      <c r="BA164" s="7">
        <f t="shared" si="416"/>
        <v>0</v>
      </c>
      <c r="BB164" s="80">
        <f t="shared" si="426"/>
        <v>318082.985025</v>
      </c>
    </row>
    <row r="165" spans="1:54" x14ac:dyDescent="0.25">
      <c r="A165" s="62" t="s">
        <v>136</v>
      </c>
      <c r="B165" s="7">
        <f>(B87+B88)*0.005</f>
        <v>34574.946120000001</v>
      </c>
      <c r="C165" s="7"/>
      <c r="D165" s="7"/>
      <c r="E165" s="7"/>
      <c r="F165" s="80">
        <f t="shared" si="417"/>
        <v>34574.946120000001</v>
      </c>
      <c r="H165" s="7">
        <f>(H87+H88)*0.005</f>
        <v>87877.988054999994</v>
      </c>
      <c r="I165" s="7"/>
      <c r="J165" s="7"/>
      <c r="K165" s="7"/>
      <c r="L165" s="80">
        <f t="shared" si="418"/>
        <v>87877.988054999994</v>
      </c>
      <c r="N165" s="7">
        <f>(N87+N88)*0.005</f>
        <v>37530.06972</v>
      </c>
      <c r="O165" s="7"/>
      <c r="P165" s="7"/>
      <c r="Q165" s="7"/>
      <c r="R165" s="80">
        <f t="shared" si="419"/>
        <v>37530.06972</v>
      </c>
      <c r="T165" s="7">
        <f>(T87+T88)*0.005</f>
        <v>44880.939674999994</v>
      </c>
      <c r="U165" s="7"/>
      <c r="V165" s="7"/>
      <c r="W165" s="7"/>
      <c r="X165" s="80">
        <f t="shared" si="420"/>
        <v>44880.939674999994</v>
      </c>
      <c r="Z165" s="7">
        <f>(Z87+Z88)*0.005</f>
        <v>83260.607429999989</v>
      </c>
      <c r="AA165" s="7"/>
      <c r="AB165" s="7"/>
      <c r="AC165" s="7"/>
      <c r="AD165" s="80">
        <f t="shared" si="421"/>
        <v>83260.607429999989</v>
      </c>
      <c r="AF165" s="7">
        <f>(AF87+AF88)*0.005</f>
        <v>23825.684024999999</v>
      </c>
      <c r="AG165" s="7"/>
      <c r="AH165" s="7"/>
      <c r="AI165" s="7"/>
      <c r="AJ165" s="80">
        <f t="shared" si="422"/>
        <v>23825.684024999999</v>
      </c>
      <c r="AL165" s="7">
        <f>(AL87+AL88)*0.005</f>
        <v>0</v>
      </c>
      <c r="AM165" s="7"/>
      <c r="AN165" s="7"/>
      <c r="AO165" s="7"/>
      <c r="AP165" s="80">
        <f t="shared" si="423"/>
        <v>0</v>
      </c>
      <c r="AR165" s="7">
        <f>(AR87+AR88)*0.005</f>
        <v>6132.75</v>
      </c>
      <c r="AS165" s="7"/>
      <c r="AT165" s="7"/>
      <c r="AU165" s="7"/>
      <c r="AV165" s="80">
        <f t="shared" si="424"/>
        <v>6132.75</v>
      </c>
      <c r="AX165" s="7">
        <f t="shared" si="425"/>
        <v>318082.985025</v>
      </c>
      <c r="AY165" s="7">
        <f t="shared" si="416"/>
        <v>0</v>
      </c>
      <c r="AZ165" s="7">
        <f t="shared" si="416"/>
        <v>0</v>
      </c>
      <c r="BA165" s="7">
        <f t="shared" si="416"/>
        <v>0</v>
      </c>
      <c r="BB165" s="80">
        <f t="shared" si="426"/>
        <v>318082.985025</v>
      </c>
    </row>
    <row r="166" spans="1:54" ht="15.75" thickBot="1" x14ac:dyDescent="0.3">
      <c r="A166" s="62" t="s">
        <v>137</v>
      </c>
      <c r="B166" s="81"/>
      <c r="C166" s="81"/>
      <c r="D166" s="81"/>
      <c r="E166" s="81"/>
      <c r="F166" s="81"/>
      <c r="H166" s="81"/>
      <c r="I166" s="81"/>
      <c r="J166" s="81"/>
      <c r="K166" s="81"/>
      <c r="L166" s="81"/>
      <c r="N166" s="81"/>
      <c r="O166" s="81"/>
      <c r="P166" s="81"/>
      <c r="Q166" s="81"/>
      <c r="R166" s="81"/>
      <c r="T166" s="81"/>
      <c r="U166" s="81"/>
      <c r="V166" s="81"/>
      <c r="W166" s="81"/>
      <c r="X166" s="81"/>
      <c r="Z166" s="81"/>
      <c r="AA166" s="81"/>
      <c r="AB166" s="81"/>
      <c r="AC166" s="81"/>
      <c r="AD166" s="81"/>
      <c r="AF166" s="81"/>
      <c r="AG166" s="81"/>
      <c r="AH166" s="81"/>
      <c r="AI166" s="81"/>
      <c r="AJ166" s="81"/>
      <c r="AL166" s="81"/>
      <c r="AM166" s="81"/>
      <c r="AN166" s="81"/>
      <c r="AO166" s="81"/>
      <c r="AP166" s="81"/>
      <c r="AR166" s="81"/>
      <c r="AS166" s="81"/>
      <c r="AT166" s="81"/>
      <c r="AU166" s="81"/>
      <c r="AV166" s="81"/>
      <c r="AX166" s="7">
        <f>B166+H166+N166+T166+Z166+AF166+AL166+AR166</f>
        <v>0</v>
      </c>
      <c r="AY166" s="7">
        <f t="shared" si="416"/>
        <v>0</v>
      </c>
      <c r="AZ166" s="7">
        <f t="shared" si="416"/>
        <v>0</v>
      </c>
      <c r="BA166" s="7">
        <f t="shared" si="416"/>
        <v>0</v>
      </c>
      <c r="BB166" s="81"/>
    </row>
    <row r="167" spans="1:54" ht="15.75" thickBot="1" x14ac:dyDescent="0.3">
      <c r="A167" s="95" t="s">
        <v>138</v>
      </c>
      <c r="B167" s="92">
        <f>SUM(B153:B166)</f>
        <v>658372.2575399999</v>
      </c>
      <c r="C167" s="92">
        <f>SUM(C153:C166)</f>
        <v>9475</v>
      </c>
      <c r="D167" s="92">
        <f>SUM(D153:D166)</f>
        <v>292320</v>
      </c>
      <c r="E167" s="92">
        <f t="shared" ref="E167:F167" si="427">SUM(E153:E166)</f>
        <v>240</v>
      </c>
      <c r="F167" s="92">
        <f t="shared" si="427"/>
        <v>960407.2575399999</v>
      </c>
      <c r="H167" s="92">
        <f>SUM(H153:H166)</f>
        <v>1630940.9462475001</v>
      </c>
      <c r="I167" s="92">
        <f>SUM(I153:I166)</f>
        <v>19980</v>
      </c>
      <c r="J167" s="92">
        <f>SUM(J153:J166)</f>
        <v>399495</v>
      </c>
      <c r="K167" s="92">
        <f t="shared" ref="K167:L167" si="428">SUM(K153:K166)</f>
        <v>720</v>
      </c>
      <c r="L167" s="92">
        <f t="shared" si="428"/>
        <v>2051135.9462475001</v>
      </c>
      <c r="N167" s="92">
        <f>SUM(N153:N166)</f>
        <v>712110.31374000001</v>
      </c>
      <c r="O167" s="92">
        <f>SUM(O153:O166)</f>
        <v>13560</v>
      </c>
      <c r="P167" s="92">
        <f>SUM(P153:P166)</f>
        <v>164559.20000000001</v>
      </c>
      <c r="Q167" s="92">
        <f t="shared" ref="Q167:R167" si="429">SUM(Q153:Q166)</f>
        <v>240</v>
      </c>
      <c r="R167" s="92">
        <f t="shared" si="429"/>
        <v>890469.51373999997</v>
      </c>
      <c r="T167" s="92">
        <f>SUM(T153:T166)</f>
        <v>846694.22853750002</v>
      </c>
      <c r="U167" s="92">
        <f>SUM(U153:U166)</f>
        <v>13680</v>
      </c>
      <c r="V167" s="92">
        <f>SUM(V153:V166)</f>
        <v>155076.6</v>
      </c>
      <c r="W167" s="92">
        <f t="shared" ref="W167:X167" si="430">SUM(W153:W166)</f>
        <v>240</v>
      </c>
      <c r="X167" s="92">
        <f t="shared" si="430"/>
        <v>1015690.8285375</v>
      </c>
      <c r="Z167" s="92">
        <f>SUM(Z153:Z166)</f>
        <v>1549387.7334350003</v>
      </c>
      <c r="AA167" s="92">
        <f>SUM(AA153:AA166)</f>
        <v>19380</v>
      </c>
      <c r="AB167" s="92">
        <f>SUM(AB153:AB166)</f>
        <v>242149.2</v>
      </c>
      <c r="AC167" s="92">
        <f t="shared" ref="AC167:AD167" si="431">SUM(AC153:AC166)</f>
        <v>480</v>
      </c>
      <c r="AD167" s="92">
        <f t="shared" si="431"/>
        <v>1811396.933435</v>
      </c>
      <c r="AF167" s="92">
        <f>SUM(AF153:AF166)</f>
        <v>325910.57811250002</v>
      </c>
      <c r="AG167" s="92">
        <f>SUM(AG153:AG166)</f>
        <v>240</v>
      </c>
      <c r="AH167" s="92">
        <f>SUM(AH153:AH166)</f>
        <v>81585</v>
      </c>
      <c r="AI167" s="92">
        <f t="shared" ref="AI167:AJ167" si="432">SUM(AI153:AI166)</f>
        <v>240</v>
      </c>
      <c r="AJ167" s="92">
        <f t="shared" si="432"/>
        <v>407975.57811250002</v>
      </c>
      <c r="AL167" s="92">
        <f>SUM(AL153:AL166)</f>
        <v>2720</v>
      </c>
      <c r="AM167" s="92">
        <f>SUM(AM153:AM166)</f>
        <v>120</v>
      </c>
      <c r="AN167" s="92">
        <f>SUM(AN153:AN166)</f>
        <v>0</v>
      </c>
      <c r="AO167" s="92">
        <f t="shared" ref="AO167:AP167" si="433">SUM(AO153:AO166)</f>
        <v>0</v>
      </c>
      <c r="AP167" s="92">
        <f t="shared" si="433"/>
        <v>2840</v>
      </c>
      <c r="AR167" s="92">
        <f>SUM(AR153:AR166)</f>
        <v>562852.375</v>
      </c>
      <c r="AS167" s="92">
        <f>SUM(AS153:AS166)</f>
        <v>7725</v>
      </c>
      <c r="AT167" s="92">
        <f>SUM(AT153:AT166)</f>
        <v>34240</v>
      </c>
      <c r="AU167" s="92">
        <f t="shared" ref="AU167:AV167" si="434">SUM(AU153:AU166)</f>
        <v>0</v>
      </c>
      <c r="AV167" s="92">
        <f t="shared" si="434"/>
        <v>604817.375</v>
      </c>
      <c r="AX167" s="92">
        <f>SUM(AX153:AX166)</f>
        <v>6288988.4326124992</v>
      </c>
      <c r="AY167" s="92">
        <f>SUM(AY153:AY166)</f>
        <v>84160</v>
      </c>
      <c r="AZ167" s="92">
        <f>SUM(AZ153:AZ166)</f>
        <v>1369425</v>
      </c>
      <c r="BA167" s="92">
        <f t="shared" ref="BA167:BB167" si="435">SUM(BA153:BA166)</f>
        <v>2160</v>
      </c>
      <c r="BB167" s="92">
        <f t="shared" si="435"/>
        <v>7744733.4326124992</v>
      </c>
    </row>
    <row r="168" spans="1:54" x14ac:dyDescent="0.25">
      <c r="A168" s="101" t="s">
        <v>139</v>
      </c>
      <c r="B168" s="149" t="str">
        <f>B152</f>
        <v>Operating</v>
      </c>
      <c r="C168" s="149" t="str">
        <f>C152</f>
        <v>Weights</v>
      </c>
      <c r="D168" s="149" t="str">
        <f>D152</f>
        <v>SPED</v>
      </c>
      <c r="E168" s="149" t="str">
        <f t="shared" ref="E168:F168" si="436">E152</f>
        <v>NSLP</v>
      </c>
      <c r="F168" s="149" t="str">
        <f t="shared" si="436"/>
        <v>Horizon</v>
      </c>
      <c r="H168" s="149" t="str">
        <f>H152</f>
        <v>Operating</v>
      </c>
      <c r="I168" s="149" t="str">
        <f>I152</f>
        <v>Weights</v>
      </c>
      <c r="J168" s="149" t="str">
        <f>J152</f>
        <v>SPED</v>
      </c>
      <c r="K168" s="149" t="str">
        <f t="shared" ref="K168:L168" si="437">K152</f>
        <v>NSLP</v>
      </c>
      <c r="L168" s="149" t="str">
        <f t="shared" si="437"/>
        <v>Cadence</v>
      </c>
      <c r="N168" s="149" t="str">
        <f>N152</f>
        <v>Operating</v>
      </c>
      <c r="O168" s="149" t="str">
        <f>O152</f>
        <v>Weights</v>
      </c>
      <c r="P168" s="149" t="str">
        <f>P152</f>
        <v>SPED</v>
      </c>
      <c r="Q168" s="149" t="str">
        <f t="shared" ref="Q168:R168" si="438">Q152</f>
        <v>NSLP</v>
      </c>
      <c r="R168" s="149" t="str">
        <f t="shared" si="438"/>
        <v>St. Rose</v>
      </c>
      <c r="T168" s="149" t="str">
        <f>T152</f>
        <v>Operating</v>
      </c>
      <c r="U168" s="149" t="str">
        <f>U152</f>
        <v>Weights</v>
      </c>
      <c r="V168" s="149" t="str">
        <f>V152</f>
        <v>SPED</v>
      </c>
      <c r="W168" s="149" t="str">
        <f t="shared" ref="W168:X168" si="439">W152</f>
        <v>NSLP</v>
      </c>
      <c r="X168" s="149" t="str">
        <f t="shared" si="439"/>
        <v>Inspirada</v>
      </c>
      <c r="Z168" s="149" t="str">
        <f>Z152</f>
        <v>Operating</v>
      </c>
      <c r="AA168" s="149" t="str">
        <f>AA152</f>
        <v>Weights</v>
      </c>
      <c r="AB168" s="149" t="str">
        <f>AB152</f>
        <v>SPED</v>
      </c>
      <c r="AC168" s="149" t="str">
        <f t="shared" ref="AC168:AD168" si="440">AC152</f>
        <v>NSLP</v>
      </c>
      <c r="AD168" s="149" t="str">
        <f t="shared" si="440"/>
        <v>Sloan Canyon</v>
      </c>
      <c r="AF168" s="149" t="str">
        <f>AF152</f>
        <v>Operating</v>
      </c>
      <c r="AG168" s="149" t="str">
        <f>AG152</f>
        <v>Weights</v>
      </c>
      <c r="AH168" s="149" t="str">
        <f>AH152</f>
        <v>SPED</v>
      </c>
      <c r="AI168" s="149" t="str">
        <f t="shared" ref="AI168:AJ168" si="441">AI152</f>
        <v>NSLP</v>
      </c>
      <c r="AJ168" s="149" t="str">
        <f t="shared" si="441"/>
        <v>Springs</v>
      </c>
      <c r="AL168" s="149" t="str">
        <f>AL152</f>
        <v>Operating</v>
      </c>
      <c r="AM168" s="149" t="str">
        <f>AM152</f>
        <v>Weights</v>
      </c>
      <c r="AN168" s="149" t="str">
        <f>AN152</f>
        <v>SPED</v>
      </c>
      <c r="AO168" s="149" t="str">
        <f t="shared" ref="AO168:AP168" si="442">AO152</f>
        <v>NSLP</v>
      </c>
      <c r="AP168" s="149" t="str">
        <f t="shared" si="442"/>
        <v>System Wide</v>
      </c>
      <c r="AR168" s="149" t="str">
        <f>AR152</f>
        <v>Operating</v>
      </c>
      <c r="AS168" s="149" t="str">
        <f>AS152</f>
        <v>Weights</v>
      </c>
      <c r="AT168" s="149" t="str">
        <f>AT152</f>
        <v>SPED</v>
      </c>
      <c r="AU168" s="149" t="str">
        <f t="shared" ref="AU168:AV168" si="443">AU152</f>
        <v>NSLP</v>
      </c>
      <c r="AV168" s="149" t="str">
        <f t="shared" si="443"/>
        <v>Virtual</v>
      </c>
      <c r="AX168" s="149" t="str">
        <f>AX152</f>
        <v>Operating</v>
      </c>
      <c r="AY168" s="149" t="str">
        <f>AY152</f>
        <v>Weights</v>
      </c>
      <c r="AZ168" s="149" t="str">
        <f>AZ152</f>
        <v>SPED</v>
      </c>
      <c r="BA168" s="149" t="str">
        <f t="shared" ref="BA168:BB168" si="444">BA152</f>
        <v>NSLP</v>
      </c>
      <c r="BB168" s="149" t="str">
        <f t="shared" si="444"/>
        <v>Pinecrest System</v>
      </c>
    </row>
    <row r="169" spans="1:54" x14ac:dyDescent="0.25">
      <c r="A169" s="62" t="s">
        <v>140</v>
      </c>
      <c r="B169" s="7">
        <f>'FY23'!B169*1.03</f>
        <v>5549.125</v>
      </c>
      <c r="C169" s="7"/>
      <c r="D169" s="7"/>
      <c r="E169" s="7"/>
      <c r="F169" s="7">
        <f t="shared" ref="F169:F174" si="445">SUM(B169:E169)</f>
        <v>5549.125</v>
      </c>
      <c r="H169" s="7">
        <f>'FY23'!H169*1.03</f>
        <v>8497.5</v>
      </c>
      <c r="I169" s="7"/>
      <c r="J169" s="7"/>
      <c r="K169" s="7"/>
      <c r="L169" s="7">
        <f t="shared" ref="L169:L174" si="446">SUM(H169:K169)</f>
        <v>8497.5</v>
      </c>
      <c r="N169" s="7">
        <f>'FY23'!N169*1.03</f>
        <v>3862.5</v>
      </c>
      <c r="O169" s="7"/>
      <c r="P169" s="7"/>
      <c r="Q169" s="7"/>
      <c r="R169" s="7">
        <f t="shared" ref="R169:R174" si="447">SUM(N169:Q169)</f>
        <v>3862.5</v>
      </c>
      <c r="T169" s="7">
        <f>'FY23'!T169*1.03</f>
        <v>5500.2</v>
      </c>
      <c r="U169" s="7"/>
      <c r="V169" s="7"/>
      <c r="W169" s="7"/>
      <c r="X169" s="7">
        <f t="shared" ref="X169:X174" si="448">SUM(T169:W169)</f>
        <v>5500.2</v>
      </c>
      <c r="Z169" s="7">
        <f>'FY23'!Z169*1.03</f>
        <v>4635</v>
      </c>
      <c r="AA169" s="7"/>
      <c r="AB169" s="7"/>
      <c r="AC169" s="7"/>
      <c r="AD169" s="7">
        <f t="shared" ref="AD169:AD174" si="449">SUM(Z169:AC169)</f>
        <v>4635</v>
      </c>
      <c r="AF169" s="7">
        <v>6000</v>
      </c>
      <c r="AG169" s="7"/>
      <c r="AH169" s="7"/>
      <c r="AI169" s="7"/>
      <c r="AJ169" s="7">
        <f t="shared" ref="AJ169:AJ175" si="450">SUM(AF169:AI169)</f>
        <v>6000</v>
      </c>
      <c r="AL169" s="7">
        <v>0</v>
      </c>
      <c r="AM169" s="7"/>
      <c r="AN169" s="7"/>
      <c r="AO169" s="7"/>
      <c r="AP169" s="7">
        <f t="shared" ref="AP169:AP175" si="451">SUM(AL169:AO169)</f>
        <v>0</v>
      </c>
      <c r="AR169" s="7">
        <v>0</v>
      </c>
      <c r="AS169" s="7"/>
      <c r="AT169" s="7"/>
      <c r="AU169" s="7"/>
      <c r="AV169" s="7">
        <f t="shared" ref="AV169:AV175" si="452">SUM(AR169:AU169)</f>
        <v>0</v>
      </c>
      <c r="AX169" s="7">
        <f>B169+H169+N169+T169+Z169+AF169+AL169+AR169</f>
        <v>34044.324999999997</v>
      </c>
      <c r="AY169" s="7">
        <f t="shared" ref="AY169:BA175" si="453">C169+I169+O169+U169+AA169+AG169+AM169+AS169</f>
        <v>0</v>
      </c>
      <c r="AZ169" s="7">
        <f t="shared" si="453"/>
        <v>0</v>
      </c>
      <c r="BA169" s="7">
        <f t="shared" si="453"/>
        <v>0</v>
      </c>
      <c r="BB169" s="7">
        <f t="shared" ref="BB169:BB175" si="454">SUM(AX169:BA169)</f>
        <v>34044.324999999997</v>
      </c>
    </row>
    <row r="170" spans="1:54" x14ac:dyDescent="0.25">
      <c r="A170" s="62" t="s">
        <v>141</v>
      </c>
      <c r="B170" s="7">
        <f>'FY23'!B170*1.03</f>
        <v>12978</v>
      </c>
      <c r="C170" s="7"/>
      <c r="D170" s="7"/>
      <c r="E170" s="7"/>
      <c r="F170" s="7">
        <f t="shared" si="445"/>
        <v>12978</v>
      </c>
      <c r="H170" s="7">
        <f>'FY23'!H170*1.03</f>
        <v>17093.88</v>
      </c>
      <c r="I170" s="7"/>
      <c r="J170" s="7"/>
      <c r="K170" s="7"/>
      <c r="L170" s="7">
        <f t="shared" si="446"/>
        <v>17093.88</v>
      </c>
      <c r="N170" s="7">
        <f>'FY23'!N170*1.03</f>
        <v>15033.880000000001</v>
      </c>
      <c r="O170" s="7"/>
      <c r="P170" s="7"/>
      <c r="Q170" s="7"/>
      <c r="R170" s="7">
        <f t="shared" si="447"/>
        <v>15033.880000000001</v>
      </c>
      <c r="T170" s="7">
        <f>'FY23'!T170*1.03</f>
        <v>15033.880000000001</v>
      </c>
      <c r="U170" s="7"/>
      <c r="V170" s="7"/>
      <c r="W170" s="7"/>
      <c r="X170" s="7">
        <f t="shared" si="448"/>
        <v>15033.880000000001</v>
      </c>
      <c r="Z170" s="7">
        <f>'FY23'!Z170*1.03</f>
        <v>16578.88</v>
      </c>
      <c r="AA170" s="7"/>
      <c r="AB170" s="7"/>
      <c r="AC170" s="7"/>
      <c r="AD170" s="7">
        <f t="shared" si="449"/>
        <v>16578.88</v>
      </c>
      <c r="AF170" s="7">
        <v>9000</v>
      </c>
      <c r="AG170" s="7"/>
      <c r="AH170" s="7"/>
      <c r="AI170" s="7"/>
      <c r="AJ170" s="7">
        <f t="shared" si="450"/>
        <v>9000</v>
      </c>
      <c r="AL170" s="7">
        <v>0</v>
      </c>
      <c r="AM170" s="7"/>
      <c r="AN170" s="7"/>
      <c r="AO170" s="7"/>
      <c r="AP170" s="7">
        <f t="shared" si="451"/>
        <v>0</v>
      </c>
      <c r="AR170" s="7">
        <v>0</v>
      </c>
      <c r="AS170" s="7"/>
      <c r="AT170" s="7"/>
      <c r="AU170" s="7"/>
      <c r="AV170" s="7">
        <f t="shared" si="452"/>
        <v>0</v>
      </c>
      <c r="AX170" s="7">
        <f t="shared" ref="AX170:AX175" si="455">B170+H170+N170+T170+Z170+AF170+AL170+AR170</f>
        <v>85718.52</v>
      </c>
      <c r="AY170" s="7">
        <f t="shared" si="453"/>
        <v>0</v>
      </c>
      <c r="AZ170" s="7">
        <f t="shared" si="453"/>
        <v>0</v>
      </c>
      <c r="BA170" s="7">
        <f t="shared" si="453"/>
        <v>0</v>
      </c>
      <c r="BB170" s="7">
        <f t="shared" si="454"/>
        <v>85718.52</v>
      </c>
    </row>
    <row r="171" spans="1:54" x14ac:dyDescent="0.25">
      <c r="A171" s="62" t="s">
        <v>142</v>
      </c>
      <c r="B171" s="7">
        <v>0</v>
      </c>
      <c r="C171" s="7"/>
      <c r="D171" s="7"/>
      <c r="E171" s="7"/>
      <c r="F171" s="7">
        <f t="shared" si="445"/>
        <v>0</v>
      </c>
      <c r="H171" s="7">
        <v>0</v>
      </c>
      <c r="I171" s="7"/>
      <c r="J171" s="7"/>
      <c r="K171" s="7"/>
      <c r="L171" s="7">
        <f t="shared" si="446"/>
        <v>0</v>
      </c>
      <c r="N171" s="7">
        <v>0</v>
      </c>
      <c r="O171" s="7"/>
      <c r="P171" s="7"/>
      <c r="Q171" s="7"/>
      <c r="R171" s="7">
        <f t="shared" si="447"/>
        <v>0</v>
      </c>
      <c r="T171" s="7">
        <v>0</v>
      </c>
      <c r="U171" s="7"/>
      <c r="V171" s="7"/>
      <c r="W171" s="7"/>
      <c r="X171" s="7">
        <f t="shared" si="448"/>
        <v>0</v>
      </c>
      <c r="Z171" s="7">
        <v>0</v>
      </c>
      <c r="AA171" s="7"/>
      <c r="AB171" s="7"/>
      <c r="AC171" s="7"/>
      <c r="AD171" s="7">
        <f t="shared" si="449"/>
        <v>0</v>
      </c>
      <c r="AF171" s="7">
        <v>0</v>
      </c>
      <c r="AG171" s="7"/>
      <c r="AH171" s="7"/>
      <c r="AI171" s="7"/>
      <c r="AJ171" s="7">
        <f t="shared" si="450"/>
        <v>0</v>
      </c>
      <c r="AL171" s="7">
        <v>0</v>
      </c>
      <c r="AM171" s="7"/>
      <c r="AN171" s="7"/>
      <c r="AO171" s="7"/>
      <c r="AP171" s="7">
        <f t="shared" si="451"/>
        <v>0</v>
      </c>
      <c r="AR171" s="7">
        <v>0</v>
      </c>
      <c r="AS171" s="7"/>
      <c r="AT171" s="7"/>
      <c r="AU171" s="7"/>
      <c r="AV171" s="7">
        <f t="shared" si="452"/>
        <v>0</v>
      </c>
      <c r="AX171" s="7">
        <f t="shared" si="455"/>
        <v>0</v>
      </c>
      <c r="AY171" s="7">
        <f t="shared" si="453"/>
        <v>0</v>
      </c>
      <c r="AZ171" s="7">
        <f t="shared" si="453"/>
        <v>0</v>
      </c>
      <c r="BA171" s="7">
        <f t="shared" si="453"/>
        <v>0</v>
      </c>
      <c r="BB171" s="7">
        <f t="shared" si="454"/>
        <v>0</v>
      </c>
    </row>
    <row r="172" spans="1:54" x14ac:dyDescent="0.25">
      <c r="A172" s="62" t="s">
        <v>143</v>
      </c>
      <c r="B172" s="7">
        <v>1000</v>
      </c>
      <c r="C172" s="7"/>
      <c r="D172" s="7"/>
      <c r="E172" s="7"/>
      <c r="F172" s="7">
        <f t="shared" si="445"/>
        <v>1000</v>
      </c>
      <c r="H172" s="7">
        <v>1300</v>
      </c>
      <c r="I172" s="7"/>
      <c r="J172" s="7"/>
      <c r="K172" s="7"/>
      <c r="L172" s="7">
        <f t="shared" si="446"/>
        <v>1300</v>
      </c>
      <c r="N172" s="7">
        <v>1000</v>
      </c>
      <c r="O172" s="7"/>
      <c r="P172" s="7"/>
      <c r="Q172" s="7"/>
      <c r="R172" s="7">
        <f t="shared" si="447"/>
        <v>1000</v>
      </c>
      <c r="T172" s="7">
        <v>1100</v>
      </c>
      <c r="U172" s="7"/>
      <c r="V172" s="7"/>
      <c r="W172" s="7"/>
      <c r="X172" s="7">
        <f t="shared" si="448"/>
        <v>1100</v>
      </c>
      <c r="Z172" s="7">
        <v>1300</v>
      </c>
      <c r="AA172" s="7"/>
      <c r="AB172" s="7"/>
      <c r="AC172" s="7"/>
      <c r="AD172" s="7">
        <f t="shared" si="449"/>
        <v>1300</v>
      </c>
      <c r="AF172" s="7">
        <v>750</v>
      </c>
      <c r="AG172" s="7"/>
      <c r="AH172" s="7"/>
      <c r="AI172" s="7"/>
      <c r="AJ172" s="7">
        <f t="shared" si="450"/>
        <v>750</v>
      </c>
      <c r="AL172" s="7">
        <v>0</v>
      </c>
      <c r="AM172" s="7"/>
      <c r="AN172" s="7"/>
      <c r="AO172" s="7"/>
      <c r="AP172" s="7">
        <f t="shared" si="451"/>
        <v>0</v>
      </c>
      <c r="AR172" s="7">
        <v>2500</v>
      </c>
      <c r="AS172" s="7"/>
      <c r="AT172" s="7"/>
      <c r="AU172" s="7"/>
      <c r="AV172" s="7">
        <f t="shared" si="452"/>
        <v>2500</v>
      </c>
      <c r="AX172" s="7">
        <f t="shared" si="455"/>
        <v>8950</v>
      </c>
      <c r="AY172" s="7">
        <f t="shared" si="453"/>
        <v>0</v>
      </c>
      <c r="AZ172" s="7">
        <f t="shared" si="453"/>
        <v>0</v>
      </c>
      <c r="BA172" s="7">
        <f t="shared" si="453"/>
        <v>0</v>
      </c>
      <c r="BB172" s="7">
        <f t="shared" si="454"/>
        <v>8950</v>
      </c>
    </row>
    <row r="173" spans="1:54" x14ac:dyDescent="0.25">
      <c r="A173" s="62" t="s">
        <v>144</v>
      </c>
      <c r="B173" s="7">
        <f>'FY23'!B173*1.03</f>
        <v>5150</v>
      </c>
      <c r="C173" s="7"/>
      <c r="D173" s="7"/>
      <c r="E173" s="7"/>
      <c r="F173" s="7">
        <f t="shared" si="445"/>
        <v>5150</v>
      </c>
      <c r="H173" s="7">
        <f>'FY23'!H173*1.03</f>
        <v>5150</v>
      </c>
      <c r="I173" s="7"/>
      <c r="J173" s="7"/>
      <c r="K173" s="7"/>
      <c r="L173" s="7">
        <f t="shared" si="446"/>
        <v>5150</v>
      </c>
      <c r="N173" s="7">
        <f>'FY23'!N173*1.03</f>
        <v>5150</v>
      </c>
      <c r="O173" s="7"/>
      <c r="P173" s="7"/>
      <c r="Q173" s="7"/>
      <c r="R173" s="7">
        <f t="shared" si="447"/>
        <v>5150</v>
      </c>
      <c r="T173" s="7">
        <f>'FY23'!T173*1.03</f>
        <v>5150</v>
      </c>
      <c r="U173" s="7"/>
      <c r="V173" s="7"/>
      <c r="W173" s="7"/>
      <c r="X173" s="7">
        <f t="shared" si="448"/>
        <v>5150</v>
      </c>
      <c r="Z173" s="7">
        <f>'FY23'!Z173*1.03</f>
        <v>5150</v>
      </c>
      <c r="AA173" s="7"/>
      <c r="AB173" s="7"/>
      <c r="AC173" s="7"/>
      <c r="AD173" s="7">
        <f t="shared" si="449"/>
        <v>5150</v>
      </c>
      <c r="AF173" s="7">
        <v>4000</v>
      </c>
      <c r="AG173" s="7"/>
      <c r="AH173" s="7"/>
      <c r="AI173" s="7"/>
      <c r="AJ173" s="7">
        <f t="shared" si="450"/>
        <v>4000</v>
      </c>
      <c r="AL173" s="7">
        <v>0</v>
      </c>
      <c r="AM173" s="7"/>
      <c r="AN173" s="7"/>
      <c r="AO173" s="7"/>
      <c r="AP173" s="7">
        <f t="shared" si="451"/>
        <v>0</v>
      </c>
      <c r="AR173" s="7">
        <v>4350</v>
      </c>
      <c r="AS173" s="7"/>
      <c r="AT173" s="7"/>
      <c r="AU173" s="7"/>
      <c r="AV173" s="7">
        <f t="shared" si="452"/>
        <v>4350</v>
      </c>
      <c r="AX173" s="7">
        <f t="shared" si="455"/>
        <v>34100</v>
      </c>
      <c r="AY173" s="7">
        <f t="shared" si="453"/>
        <v>0</v>
      </c>
      <c r="AZ173" s="7">
        <f t="shared" si="453"/>
        <v>0</v>
      </c>
      <c r="BA173" s="7">
        <f t="shared" si="453"/>
        <v>0</v>
      </c>
      <c r="BB173" s="7">
        <f t="shared" si="454"/>
        <v>34100</v>
      </c>
    </row>
    <row r="174" spans="1:54" x14ac:dyDescent="0.25">
      <c r="A174" s="62" t="s">
        <v>145</v>
      </c>
      <c r="B174" s="7">
        <f>'FY23'!B174*1.04</f>
        <v>29120</v>
      </c>
      <c r="C174" s="7"/>
      <c r="D174" s="7"/>
      <c r="E174" s="7"/>
      <c r="F174" s="7">
        <f t="shared" si="445"/>
        <v>29120</v>
      </c>
      <c r="H174" s="7">
        <f>'FY23'!H174*1.04</f>
        <v>63648</v>
      </c>
      <c r="I174" s="7"/>
      <c r="J174" s="7"/>
      <c r="K174" s="7"/>
      <c r="L174" s="7">
        <f t="shared" si="446"/>
        <v>63648</v>
      </c>
      <c r="N174" s="7">
        <f>'FY23'!N174*1.04</f>
        <v>33280</v>
      </c>
      <c r="O174" s="7"/>
      <c r="P174" s="7"/>
      <c r="Q174" s="7"/>
      <c r="R174" s="7">
        <f t="shared" si="447"/>
        <v>33280</v>
      </c>
      <c r="T174" s="7">
        <f>'FY23'!T174*1.04</f>
        <v>33280</v>
      </c>
      <c r="U174" s="7"/>
      <c r="V174" s="7"/>
      <c r="W174" s="7"/>
      <c r="X174" s="7">
        <f t="shared" si="448"/>
        <v>33280</v>
      </c>
      <c r="Z174" s="7">
        <f>'FY23'!Z174*1.04</f>
        <v>59800</v>
      </c>
      <c r="AA174" s="7"/>
      <c r="AB174" s="7"/>
      <c r="AC174" s="7"/>
      <c r="AD174" s="7">
        <f t="shared" si="449"/>
        <v>59800</v>
      </c>
      <c r="AF174" s="7">
        <v>30000</v>
      </c>
      <c r="AG174" s="7"/>
      <c r="AH174" s="7"/>
      <c r="AI174" s="7"/>
      <c r="AJ174" s="7">
        <f t="shared" si="450"/>
        <v>30000</v>
      </c>
      <c r="AL174" s="7">
        <v>0</v>
      </c>
      <c r="AM174" s="7"/>
      <c r="AN174" s="7"/>
      <c r="AO174" s="7"/>
      <c r="AP174" s="7">
        <f t="shared" si="451"/>
        <v>0</v>
      </c>
      <c r="AR174" s="15">
        <v>0</v>
      </c>
      <c r="AS174" s="7"/>
      <c r="AT174" s="7"/>
      <c r="AU174" s="7"/>
      <c r="AV174" s="7">
        <f t="shared" si="452"/>
        <v>0</v>
      </c>
      <c r="AX174" s="7">
        <f t="shared" si="455"/>
        <v>249128</v>
      </c>
      <c r="AY174" s="7">
        <f t="shared" si="453"/>
        <v>0</v>
      </c>
      <c r="AZ174" s="7">
        <f t="shared" si="453"/>
        <v>0</v>
      </c>
      <c r="BA174" s="7">
        <f t="shared" si="453"/>
        <v>0</v>
      </c>
      <c r="BB174" s="7">
        <f t="shared" si="454"/>
        <v>249128</v>
      </c>
    </row>
    <row r="175" spans="1:54" ht="15.75" thickBot="1" x14ac:dyDescent="0.3">
      <c r="A175" s="62" t="s">
        <v>146</v>
      </c>
      <c r="B175" s="7">
        <f>2500+(2*B19)</f>
        <v>4372</v>
      </c>
      <c r="C175" s="7"/>
      <c r="D175" s="7"/>
      <c r="E175" s="7"/>
      <c r="F175" s="7">
        <f t="shared" ref="F175" si="456">SUM(B175:E175)</f>
        <v>4372</v>
      </c>
      <c r="H175" s="7">
        <f>2500+(2*H19)</f>
        <v>7258</v>
      </c>
      <c r="I175" s="7"/>
      <c r="J175" s="7"/>
      <c r="K175" s="7"/>
      <c r="L175" s="7">
        <f t="shared" ref="L175" si="457">SUM(H175:K175)</f>
        <v>7258</v>
      </c>
      <c r="N175" s="7">
        <f>2500+(2*N19)</f>
        <v>4532</v>
      </c>
      <c r="O175" s="7"/>
      <c r="P175" s="7"/>
      <c r="Q175" s="7"/>
      <c r="R175" s="7">
        <f t="shared" ref="R175" si="458">SUM(N175:Q175)</f>
        <v>4532</v>
      </c>
      <c r="T175" s="7">
        <f>2500+(2*T19)</f>
        <v>4930</v>
      </c>
      <c r="U175" s="7"/>
      <c r="V175" s="7"/>
      <c r="W175" s="7"/>
      <c r="X175" s="7">
        <f t="shared" ref="X175" si="459">SUM(T175:W175)</f>
        <v>4930</v>
      </c>
      <c r="Z175" s="7">
        <f>2500+(2*Z19)</f>
        <v>7008</v>
      </c>
      <c r="AA175" s="7"/>
      <c r="AB175" s="7"/>
      <c r="AC175" s="7"/>
      <c r="AD175" s="7">
        <f t="shared" ref="AD175" si="460">SUM(Z175:AC175)</f>
        <v>7008</v>
      </c>
      <c r="AF175" s="7">
        <f>2500+(2*AF19)</f>
        <v>3790</v>
      </c>
      <c r="AG175" s="7"/>
      <c r="AH175" s="7"/>
      <c r="AI175" s="7"/>
      <c r="AJ175" s="7">
        <f t="shared" si="450"/>
        <v>3790</v>
      </c>
      <c r="AL175" s="7">
        <v>0</v>
      </c>
      <c r="AM175" s="7"/>
      <c r="AN175" s="7"/>
      <c r="AO175" s="7"/>
      <c r="AP175" s="7">
        <f t="shared" si="451"/>
        <v>0</v>
      </c>
      <c r="AR175" s="7">
        <v>2750</v>
      </c>
      <c r="AS175" s="7"/>
      <c r="AT175" s="7"/>
      <c r="AU175" s="7"/>
      <c r="AV175" s="7">
        <f t="shared" si="452"/>
        <v>2750</v>
      </c>
      <c r="AX175" s="7">
        <f t="shared" si="455"/>
        <v>34640</v>
      </c>
      <c r="AY175" s="7">
        <f t="shared" si="453"/>
        <v>0</v>
      </c>
      <c r="AZ175" s="7">
        <f t="shared" si="453"/>
        <v>0</v>
      </c>
      <c r="BA175" s="7">
        <f t="shared" si="453"/>
        <v>0</v>
      </c>
      <c r="BB175" s="7">
        <f t="shared" si="454"/>
        <v>34640</v>
      </c>
    </row>
    <row r="176" spans="1:54" ht="15.75" thickBot="1" x14ac:dyDescent="0.3">
      <c r="A176" s="95" t="s">
        <v>147</v>
      </c>
      <c r="B176" s="92">
        <f>SUM(B169:B175)</f>
        <v>58169.125</v>
      </c>
      <c r="C176" s="92">
        <f>SUM(C169:C175)</f>
        <v>0</v>
      </c>
      <c r="D176" s="92">
        <f t="shared" ref="D176:F176" si="461">SUM(D169:D175)</f>
        <v>0</v>
      </c>
      <c r="E176" s="92">
        <f t="shared" si="461"/>
        <v>0</v>
      </c>
      <c r="F176" s="92">
        <f t="shared" si="461"/>
        <v>58169.125</v>
      </c>
      <c r="H176" s="92">
        <f>SUM(H169:H175)</f>
        <v>102947.38</v>
      </c>
      <c r="I176" s="92">
        <f>SUM(I169:I175)</f>
        <v>0</v>
      </c>
      <c r="J176" s="92">
        <f t="shared" ref="J176:L176" si="462">SUM(J169:J175)</f>
        <v>0</v>
      </c>
      <c r="K176" s="92">
        <f t="shared" si="462"/>
        <v>0</v>
      </c>
      <c r="L176" s="92">
        <f t="shared" si="462"/>
        <v>102947.38</v>
      </c>
      <c r="N176" s="92">
        <f>SUM(N169:N175)</f>
        <v>62858.380000000005</v>
      </c>
      <c r="O176" s="92">
        <f>SUM(O169:O175)</f>
        <v>0</v>
      </c>
      <c r="P176" s="92">
        <f t="shared" ref="P176:R176" si="463">SUM(P169:P175)</f>
        <v>0</v>
      </c>
      <c r="Q176" s="92">
        <f t="shared" si="463"/>
        <v>0</v>
      </c>
      <c r="R176" s="92">
        <f t="shared" si="463"/>
        <v>62858.380000000005</v>
      </c>
      <c r="T176" s="92">
        <f>SUM(T169:T175)</f>
        <v>64994.080000000002</v>
      </c>
      <c r="U176" s="92">
        <f>SUM(U169:U175)</f>
        <v>0</v>
      </c>
      <c r="V176" s="92">
        <f t="shared" ref="V176:X176" si="464">SUM(V169:V175)</f>
        <v>0</v>
      </c>
      <c r="W176" s="92">
        <f t="shared" si="464"/>
        <v>0</v>
      </c>
      <c r="X176" s="92">
        <f t="shared" si="464"/>
        <v>64994.080000000002</v>
      </c>
      <c r="Z176" s="92">
        <f>SUM(Z169:Z175)</f>
        <v>94471.88</v>
      </c>
      <c r="AA176" s="92">
        <f>SUM(AA169:AA175)</f>
        <v>0</v>
      </c>
      <c r="AB176" s="92">
        <f t="shared" ref="AB176:AD176" si="465">SUM(AB169:AB175)</f>
        <v>0</v>
      </c>
      <c r="AC176" s="92">
        <f t="shared" si="465"/>
        <v>0</v>
      </c>
      <c r="AD176" s="92">
        <f t="shared" si="465"/>
        <v>94471.88</v>
      </c>
      <c r="AF176" s="92">
        <f>SUM(AF169:AF175)</f>
        <v>53540</v>
      </c>
      <c r="AG176" s="92">
        <f>SUM(AG169:AG175)</f>
        <v>0</v>
      </c>
      <c r="AH176" s="92">
        <f t="shared" ref="AH176:AJ176" si="466">SUM(AH169:AH175)</f>
        <v>0</v>
      </c>
      <c r="AI176" s="92">
        <f t="shared" si="466"/>
        <v>0</v>
      </c>
      <c r="AJ176" s="92">
        <f t="shared" si="466"/>
        <v>53540</v>
      </c>
      <c r="AL176" s="92">
        <f>SUM(AL169:AL175)</f>
        <v>0</v>
      </c>
      <c r="AM176" s="92">
        <f>SUM(AM169:AM175)</f>
        <v>0</v>
      </c>
      <c r="AN176" s="92">
        <f t="shared" ref="AN176:AP176" si="467">SUM(AN169:AN175)</f>
        <v>0</v>
      </c>
      <c r="AO176" s="92">
        <f t="shared" si="467"/>
        <v>0</v>
      </c>
      <c r="AP176" s="92">
        <f t="shared" si="467"/>
        <v>0</v>
      </c>
      <c r="AR176" s="92">
        <f>SUM(AR169:AR175)</f>
        <v>9600</v>
      </c>
      <c r="AS176" s="92">
        <f>SUM(AS169:AS175)</f>
        <v>0</v>
      </c>
      <c r="AT176" s="92">
        <f t="shared" ref="AT176:AV176" si="468">SUM(AT169:AT175)</f>
        <v>0</v>
      </c>
      <c r="AU176" s="92">
        <f t="shared" si="468"/>
        <v>0</v>
      </c>
      <c r="AV176" s="92">
        <f t="shared" si="468"/>
        <v>9600</v>
      </c>
      <c r="AX176" s="92">
        <f>SUM(AX169:AX175)</f>
        <v>446580.84499999997</v>
      </c>
      <c r="AY176" s="92">
        <f>SUM(AY169:AY175)</f>
        <v>0</v>
      </c>
      <c r="AZ176" s="92">
        <f t="shared" ref="AZ176:BB176" si="469">SUM(AZ169:AZ175)</f>
        <v>0</v>
      </c>
      <c r="BA176" s="92">
        <f t="shared" si="469"/>
        <v>0</v>
      </c>
      <c r="BB176" s="92">
        <f t="shared" si="469"/>
        <v>446580.84499999997</v>
      </c>
    </row>
    <row r="177" spans="1:54" x14ac:dyDescent="0.25">
      <c r="A177" s="101" t="s">
        <v>148</v>
      </c>
      <c r="B177" s="96"/>
      <c r="C177" s="96"/>
      <c r="D177" s="96"/>
      <c r="E177" s="96"/>
      <c r="F177" s="96"/>
      <c r="H177" s="96"/>
      <c r="I177" s="96"/>
      <c r="J177" s="96"/>
      <c r="K177" s="96"/>
      <c r="L177" s="96"/>
      <c r="N177" s="96"/>
      <c r="O177" s="96"/>
      <c r="P177" s="96"/>
      <c r="Q177" s="96"/>
      <c r="R177" s="96"/>
      <c r="T177" s="96"/>
      <c r="U177" s="96"/>
      <c r="V177" s="96"/>
      <c r="W177" s="96"/>
      <c r="X177" s="96"/>
      <c r="Z177" s="96"/>
      <c r="AA177" s="96"/>
      <c r="AB177" s="96"/>
      <c r="AC177" s="96"/>
      <c r="AD177" s="96"/>
      <c r="AF177" s="96"/>
      <c r="AG177" s="96"/>
      <c r="AH177" s="96"/>
      <c r="AI177" s="96"/>
      <c r="AJ177" s="96"/>
      <c r="AL177" s="96"/>
      <c r="AM177" s="96"/>
      <c r="AN177" s="96"/>
      <c r="AO177" s="96"/>
      <c r="AP177" s="96"/>
      <c r="AR177" s="96"/>
      <c r="AS177" s="96"/>
      <c r="AT177" s="96"/>
      <c r="AU177" s="96"/>
      <c r="AV177" s="96"/>
      <c r="AX177" s="96"/>
      <c r="AY177" s="96"/>
      <c r="AZ177" s="96"/>
      <c r="BA177" s="96"/>
      <c r="BB177" s="96"/>
    </row>
    <row r="178" spans="1:54" x14ac:dyDescent="0.25">
      <c r="A178" s="62" t="s">
        <v>149</v>
      </c>
      <c r="B178" s="7">
        <f>'FY23'!B178*1.06</f>
        <v>12243.000000000002</v>
      </c>
      <c r="C178" s="15"/>
      <c r="D178" s="15"/>
      <c r="E178" s="15"/>
      <c r="F178" s="15">
        <f>SUM(B178:E178)</f>
        <v>12243.000000000002</v>
      </c>
      <c r="H178" s="7">
        <f>'FY23'!H178*1.06</f>
        <v>29733.000000000004</v>
      </c>
      <c r="I178" s="15"/>
      <c r="J178" s="15"/>
      <c r="K178" s="15"/>
      <c r="L178" s="15">
        <f>SUM(H178:K178)</f>
        <v>29733.000000000004</v>
      </c>
      <c r="N178" s="7">
        <f>'FY23'!N178*1.06</f>
        <v>12243.000000000002</v>
      </c>
      <c r="O178" s="15"/>
      <c r="P178" s="15"/>
      <c r="Q178" s="15"/>
      <c r="R178" s="15">
        <f>SUM(N178:Q178)</f>
        <v>12243.000000000002</v>
      </c>
      <c r="T178" s="7">
        <f>'FY23'!T178*1.06</f>
        <v>13409.000000000002</v>
      </c>
      <c r="U178" s="15"/>
      <c r="V178" s="15"/>
      <c r="W178" s="15"/>
      <c r="X178" s="15">
        <f>SUM(T178:W178)</f>
        <v>13409.000000000002</v>
      </c>
      <c r="Z178" s="7">
        <f>'FY23'!Z178*1.06</f>
        <v>19239</v>
      </c>
      <c r="AA178" s="15"/>
      <c r="AB178" s="15"/>
      <c r="AC178" s="15"/>
      <c r="AD178" s="15">
        <f>SUM(Z178:AC178)</f>
        <v>19239</v>
      </c>
      <c r="AF178" s="7">
        <v>10000</v>
      </c>
      <c r="AG178" s="15"/>
      <c r="AH178" s="15"/>
      <c r="AI178" s="15"/>
      <c r="AJ178" s="15">
        <f>SUM(AF178:AI178)</f>
        <v>10000</v>
      </c>
      <c r="AL178" s="15">
        <v>0</v>
      </c>
      <c r="AM178" s="15"/>
      <c r="AN178" s="15"/>
      <c r="AO178" s="15"/>
      <c r="AP178" s="15">
        <f>SUM(AL178:AO178)</f>
        <v>0</v>
      </c>
      <c r="AR178" s="15"/>
      <c r="AS178" s="15"/>
      <c r="AT178" s="15"/>
      <c r="AU178" s="15"/>
      <c r="AV178" s="15">
        <f>SUM(AR178:AU178)</f>
        <v>0</v>
      </c>
      <c r="AX178" s="7">
        <f>B178+H178+N178+T178+Z178+AF178+AL178+AR178</f>
        <v>96867.000000000015</v>
      </c>
      <c r="AY178" s="7">
        <f t="shared" ref="AY178:BA180" si="470">C178+I178+O178+U178+AA178+AG178+AM178+AS178</f>
        <v>0</v>
      </c>
      <c r="AZ178" s="7">
        <f t="shared" si="470"/>
        <v>0</v>
      </c>
      <c r="BA178" s="7">
        <f t="shared" si="470"/>
        <v>0</v>
      </c>
      <c r="BB178" s="15">
        <f>SUM(AX178:BA178)</f>
        <v>96867.000000000015</v>
      </c>
    </row>
    <row r="179" spans="1:54" x14ac:dyDescent="0.25">
      <c r="A179" s="62" t="s">
        <v>150</v>
      </c>
      <c r="B179" s="7">
        <f>'FY23'!B179*1.06</f>
        <v>6996.0000000000009</v>
      </c>
      <c r="C179" s="7"/>
      <c r="D179" s="7"/>
      <c r="E179" s="7"/>
      <c r="F179" s="15">
        <f>SUM(B179:E179)</f>
        <v>6996.0000000000009</v>
      </c>
      <c r="H179" s="7">
        <f>'FY23'!H179*1.06</f>
        <v>12826.000000000002</v>
      </c>
      <c r="I179" s="7"/>
      <c r="J179" s="7"/>
      <c r="K179" s="7"/>
      <c r="L179" s="15">
        <f>SUM(H179:K179)</f>
        <v>12826.000000000002</v>
      </c>
      <c r="N179" s="7">
        <f>'FY23'!N179*1.06</f>
        <v>8162.0000000000018</v>
      </c>
      <c r="O179" s="7"/>
      <c r="P179" s="7"/>
      <c r="Q179" s="7"/>
      <c r="R179" s="15">
        <f>SUM(N179:Q179)</f>
        <v>8162.0000000000018</v>
      </c>
      <c r="T179" s="7">
        <f>'FY23'!T179*1.06</f>
        <v>8162.0000000000018</v>
      </c>
      <c r="U179" s="7"/>
      <c r="V179" s="7"/>
      <c r="W179" s="7"/>
      <c r="X179" s="15">
        <f>SUM(T179:W179)</f>
        <v>8162.0000000000018</v>
      </c>
      <c r="Z179" s="7">
        <f>'FY23'!Z179*1.06</f>
        <v>13992.000000000002</v>
      </c>
      <c r="AA179" s="7"/>
      <c r="AB179" s="7"/>
      <c r="AC179" s="7"/>
      <c r="AD179" s="15">
        <f>SUM(Z179:AC179)</f>
        <v>13992.000000000002</v>
      </c>
      <c r="AF179" s="7">
        <v>7000</v>
      </c>
      <c r="AG179" s="7"/>
      <c r="AH179" s="7"/>
      <c r="AI179" s="7"/>
      <c r="AJ179" s="15">
        <f>SUM(AF179:AI179)</f>
        <v>7000</v>
      </c>
      <c r="AL179" s="15">
        <v>0</v>
      </c>
      <c r="AM179" s="7"/>
      <c r="AN179" s="7"/>
      <c r="AO179" s="7"/>
      <c r="AP179" s="15">
        <f>SUM(AL179:AO179)</f>
        <v>0</v>
      </c>
      <c r="AR179" s="7">
        <f>7500*1.05</f>
        <v>7875</v>
      </c>
      <c r="AS179" s="7"/>
      <c r="AT179" s="7"/>
      <c r="AU179" s="7"/>
      <c r="AV179" s="15">
        <f>SUM(AR179:AU179)</f>
        <v>7875</v>
      </c>
      <c r="AX179" s="7">
        <f t="shared" ref="AX179:AX180" si="471">B179+H179+N179+T179+Z179+AF179+AL179+AR179</f>
        <v>65013.000000000007</v>
      </c>
      <c r="AY179" s="7">
        <f t="shared" si="470"/>
        <v>0</v>
      </c>
      <c r="AZ179" s="7">
        <f t="shared" si="470"/>
        <v>0</v>
      </c>
      <c r="BA179" s="7">
        <f t="shared" si="470"/>
        <v>0</v>
      </c>
      <c r="BB179" s="15">
        <f>SUM(AX179:BA179)</f>
        <v>65013.000000000007</v>
      </c>
    </row>
    <row r="180" spans="1:54" ht="15.75" thickBot="1" x14ac:dyDescent="0.3">
      <c r="A180" s="62" t="s">
        <v>151</v>
      </c>
      <c r="B180" s="7">
        <f>'FY23'!B180*1.06</f>
        <v>14575.000000000002</v>
      </c>
      <c r="C180" s="7"/>
      <c r="D180" s="7"/>
      <c r="E180" s="7"/>
      <c r="F180" s="15">
        <f>SUM(B180:E180)</f>
        <v>14575.000000000002</v>
      </c>
      <c r="H180" s="7">
        <f>'FY23'!H180*1.06</f>
        <v>37895</v>
      </c>
      <c r="I180" s="7"/>
      <c r="J180" s="7"/>
      <c r="K180" s="7"/>
      <c r="L180" s="15">
        <f>SUM(H180:K180)</f>
        <v>37895</v>
      </c>
      <c r="N180" s="7">
        <f>'FY23'!N180*1.06</f>
        <v>18656</v>
      </c>
      <c r="O180" s="7"/>
      <c r="P180" s="7"/>
      <c r="Q180" s="7"/>
      <c r="R180" s="15">
        <f>SUM(N180:Q180)</f>
        <v>18656</v>
      </c>
      <c r="T180" s="7">
        <f>'FY23'!T180*1.06</f>
        <v>24486.000000000004</v>
      </c>
      <c r="U180" s="7"/>
      <c r="V180" s="7"/>
      <c r="W180" s="7"/>
      <c r="X180" s="15">
        <f>SUM(T180:W180)</f>
        <v>24486.000000000004</v>
      </c>
      <c r="Z180" s="7">
        <f>'FY23'!Z180*1.06</f>
        <v>33231.000000000007</v>
      </c>
      <c r="AA180" s="7"/>
      <c r="AB180" s="7"/>
      <c r="AC180" s="7"/>
      <c r="AD180" s="15">
        <f>SUM(Z180:AC180)</f>
        <v>33231.000000000007</v>
      </c>
      <c r="AF180" s="7">
        <v>13000</v>
      </c>
      <c r="AG180" s="7"/>
      <c r="AH180" s="7"/>
      <c r="AI180" s="7"/>
      <c r="AJ180" s="15">
        <f>SUM(AF180:AI180)</f>
        <v>13000</v>
      </c>
      <c r="AL180" s="15">
        <v>0</v>
      </c>
      <c r="AM180" s="7"/>
      <c r="AN180" s="7"/>
      <c r="AO180" s="7"/>
      <c r="AP180" s="15">
        <f>SUM(AL180:AO180)</f>
        <v>0</v>
      </c>
      <c r="AR180" s="7">
        <f>5500*1.05</f>
        <v>5775</v>
      </c>
      <c r="AS180" s="7"/>
      <c r="AT180" s="7"/>
      <c r="AU180" s="7"/>
      <c r="AV180" s="15">
        <f>SUM(AR180:AU180)</f>
        <v>5775</v>
      </c>
      <c r="AX180" s="7">
        <f t="shared" si="471"/>
        <v>147618</v>
      </c>
      <c r="AY180" s="7">
        <f t="shared" si="470"/>
        <v>0</v>
      </c>
      <c r="AZ180" s="7">
        <f t="shared" si="470"/>
        <v>0</v>
      </c>
      <c r="BA180" s="7">
        <f t="shared" si="470"/>
        <v>0</v>
      </c>
      <c r="BB180" s="15">
        <f>SUM(AX180:BA180)</f>
        <v>147618</v>
      </c>
    </row>
    <row r="181" spans="1:54" ht="15.75" thickBot="1" x14ac:dyDescent="0.3">
      <c r="A181" s="95" t="s">
        <v>152</v>
      </c>
      <c r="B181" s="92">
        <f>SUM(B178:B180)</f>
        <v>33814.000000000007</v>
      </c>
      <c r="C181" s="92">
        <f>SUM(C178:C180)</f>
        <v>0</v>
      </c>
      <c r="D181" s="92">
        <f t="shared" ref="D181:F181" si="472">SUM(D178:D180)</f>
        <v>0</v>
      </c>
      <c r="E181" s="92">
        <f t="shared" si="472"/>
        <v>0</v>
      </c>
      <c r="F181" s="92">
        <f t="shared" si="472"/>
        <v>33814.000000000007</v>
      </c>
      <c r="H181" s="92">
        <f>SUM(H178:H180)</f>
        <v>80454</v>
      </c>
      <c r="I181" s="92">
        <f>SUM(I178:I180)</f>
        <v>0</v>
      </c>
      <c r="J181" s="92">
        <f t="shared" ref="J181:L181" si="473">SUM(J178:J180)</f>
        <v>0</v>
      </c>
      <c r="K181" s="92">
        <f t="shared" si="473"/>
        <v>0</v>
      </c>
      <c r="L181" s="92">
        <f t="shared" si="473"/>
        <v>80454</v>
      </c>
      <c r="N181" s="92">
        <f>SUM(N178:N180)</f>
        <v>39061</v>
      </c>
      <c r="O181" s="92">
        <f>SUM(O178:O180)</f>
        <v>0</v>
      </c>
      <c r="P181" s="92">
        <f t="shared" ref="P181:R181" si="474">SUM(P178:P180)</f>
        <v>0</v>
      </c>
      <c r="Q181" s="92">
        <f t="shared" si="474"/>
        <v>0</v>
      </c>
      <c r="R181" s="92">
        <f t="shared" si="474"/>
        <v>39061</v>
      </c>
      <c r="T181" s="92">
        <f>SUM(T178:T180)</f>
        <v>46057.000000000007</v>
      </c>
      <c r="U181" s="92">
        <f>SUM(U178:U180)</f>
        <v>0</v>
      </c>
      <c r="V181" s="92">
        <f t="shared" ref="V181:X181" si="475">SUM(V178:V180)</f>
        <v>0</v>
      </c>
      <c r="W181" s="92">
        <f t="shared" si="475"/>
        <v>0</v>
      </c>
      <c r="X181" s="92">
        <f t="shared" si="475"/>
        <v>46057.000000000007</v>
      </c>
      <c r="Z181" s="92">
        <f>SUM(Z178:Z180)</f>
        <v>66462</v>
      </c>
      <c r="AA181" s="92">
        <f>SUM(AA178:AA180)</f>
        <v>0</v>
      </c>
      <c r="AB181" s="92">
        <f t="shared" ref="AB181:AD181" si="476">SUM(AB178:AB180)</f>
        <v>0</v>
      </c>
      <c r="AC181" s="92">
        <f t="shared" si="476"/>
        <v>0</v>
      </c>
      <c r="AD181" s="92">
        <f t="shared" si="476"/>
        <v>66462</v>
      </c>
      <c r="AF181" s="92">
        <f>SUM(AF178:AF180)</f>
        <v>30000</v>
      </c>
      <c r="AG181" s="92">
        <f>SUM(AG178:AG180)</f>
        <v>0</v>
      </c>
      <c r="AH181" s="92">
        <f t="shared" ref="AH181:AJ181" si="477">SUM(AH178:AH180)</f>
        <v>0</v>
      </c>
      <c r="AI181" s="92">
        <f t="shared" si="477"/>
        <v>0</v>
      </c>
      <c r="AJ181" s="92">
        <f t="shared" si="477"/>
        <v>30000</v>
      </c>
      <c r="AL181" s="92">
        <f>SUM(AL178:AL180)</f>
        <v>0</v>
      </c>
      <c r="AM181" s="92">
        <f>SUM(AM178:AM180)</f>
        <v>0</v>
      </c>
      <c r="AN181" s="92">
        <f t="shared" ref="AN181:AP181" si="478">SUM(AN178:AN180)</f>
        <v>0</v>
      </c>
      <c r="AO181" s="92">
        <f t="shared" si="478"/>
        <v>0</v>
      </c>
      <c r="AP181" s="92">
        <f t="shared" si="478"/>
        <v>0</v>
      </c>
      <c r="AR181" s="92">
        <f>SUM(AR178:AR180)</f>
        <v>13650</v>
      </c>
      <c r="AS181" s="92">
        <f>SUM(AS178:AS180)</f>
        <v>0</v>
      </c>
      <c r="AT181" s="92">
        <f t="shared" ref="AT181:AV181" si="479">SUM(AT178:AT180)</f>
        <v>0</v>
      </c>
      <c r="AU181" s="92">
        <f t="shared" si="479"/>
        <v>0</v>
      </c>
      <c r="AV181" s="92">
        <f t="shared" si="479"/>
        <v>13650</v>
      </c>
      <c r="AX181" s="92">
        <f>SUM(AX178:AX180)</f>
        <v>309498</v>
      </c>
      <c r="AY181" s="92">
        <f>SUM(AY178:AY180)</f>
        <v>0</v>
      </c>
      <c r="AZ181" s="92">
        <f t="shared" ref="AZ181:BB181" si="480">SUM(AZ178:AZ180)</f>
        <v>0</v>
      </c>
      <c r="BA181" s="92">
        <f t="shared" si="480"/>
        <v>0</v>
      </c>
      <c r="BB181" s="92">
        <f t="shared" si="480"/>
        <v>309498</v>
      </c>
    </row>
    <row r="182" spans="1:54" x14ac:dyDescent="0.25">
      <c r="A182" s="101" t="s">
        <v>153</v>
      </c>
      <c r="B182" s="96" t="str">
        <f>B1</f>
        <v>Operating</v>
      </c>
      <c r="C182" s="96" t="str">
        <f>C1</f>
        <v>Weights</v>
      </c>
      <c r="D182" s="96" t="str">
        <f>D1</f>
        <v>SPED</v>
      </c>
      <c r="E182" s="96" t="str">
        <f>E1</f>
        <v>NSLP</v>
      </c>
      <c r="F182" s="96" t="str">
        <f>F1</f>
        <v>Horizon</v>
      </c>
      <c r="H182" s="96" t="str">
        <f>H1</f>
        <v>Operating</v>
      </c>
      <c r="I182" s="96" t="str">
        <f>I1</f>
        <v>Weights</v>
      </c>
      <c r="J182" s="96" t="str">
        <f>J1</f>
        <v>SPED</v>
      </c>
      <c r="K182" s="96" t="str">
        <f>K1</f>
        <v>NSLP</v>
      </c>
      <c r="L182" s="96" t="str">
        <f>L1</f>
        <v>Cadence</v>
      </c>
      <c r="N182" s="96" t="str">
        <f>N1</f>
        <v>Operating</v>
      </c>
      <c r="O182" s="96" t="str">
        <f>O1</f>
        <v>Weights</v>
      </c>
      <c r="P182" s="96" t="str">
        <f>P1</f>
        <v>SPED</v>
      </c>
      <c r="Q182" s="96" t="str">
        <f>Q1</f>
        <v>NSLP</v>
      </c>
      <c r="R182" s="96" t="str">
        <f>R1</f>
        <v>St. Rose</v>
      </c>
      <c r="T182" s="96" t="str">
        <f>T1</f>
        <v>Operating</v>
      </c>
      <c r="U182" s="96" t="str">
        <f>U1</f>
        <v>Weights</v>
      </c>
      <c r="V182" s="96" t="str">
        <f>V1</f>
        <v>SPED</v>
      </c>
      <c r="W182" s="96" t="str">
        <f>W1</f>
        <v>NSLP</v>
      </c>
      <c r="X182" s="96" t="str">
        <f>X1</f>
        <v>Inspirada</v>
      </c>
      <c r="Z182" s="96" t="str">
        <f>Z1</f>
        <v>Operating</v>
      </c>
      <c r="AA182" s="96" t="str">
        <f>AA1</f>
        <v>Weights</v>
      </c>
      <c r="AB182" s="96" t="str">
        <f>AB1</f>
        <v>SPED</v>
      </c>
      <c r="AC182" s="96" t="str">
        <f>AC1</f>
        <v>NSLP</v>
      </c>
      <c r="AD182" s="96" t="str">
        <f>AD1</f>
        <v>Sloan Canyon</v>
      </c>
      <c r="AF182" s="96" t="str">
        <f>AF1</f>
        <v>Operating</v>
      </c>
      <c r="AG182" s="96" t="str">
        <f>AG1</f>
        <v>Weights</v>
      </c>
      <c r="AH182" s="96" t="str">
        <f>AH1</f>
        <v>SPED</v>
      </c>
      <c r="AI182" s="96" t="str">
        <f>AI1</f>
        <v>NSLP</v>
      </c>
      <c r="AJ182" s="96" t="str">
        <f>AJ1</f>
        <v>Springs</v>
      </c>
      <c r="AL182" s="96" t="str">
        <f>AL1</f>
        <v>Operating</v>
      </c>
      <c r="AM182" s="96" t="str">
        <f>AM1</f>
        <v>Weights</v>
      </c>
      <c r="AN182" s="96" t="str">
        <f>AN1</f>
        <v>SPED</v>
      </c>
      <c r="AO182" s="96" t="str">
        <f>AO1</f>
        <v>NSLP</v>
      </c>
      <c r="AP182" s="96" t="str">
        <f>AP1</f>
        <v>System Wide</v>
      </c>
      <c r="AR182" s="96" t="str">
        <f>AR1</f>
        <v>Operating</v>
      </c>
      <c r="AS182" s="96" t="str">
        <f>AS1</f>
        <v>Weights</v>
      </c>
      <c r="AT182" s="96" t="str">
        <f>AT1</f>
        <v>SPED</v>
      </c>
      <c r="AU182" s="96" t="str">
        <f>AU1</f>
        <v>NSLP</v>
      </c>
      <c r="AV182" s="96" t="str">
        <f>AV1</f>
        <v>Virtual</v>
      </c>
      <c r="AX182" s="96" t="str">
        <f>AX1</f>
        <v>Operating</v>
      </c>
      <c r="AY182" s="96" t="str">
        <f>AY1</f>
        <v>Weights</v>
      </c>
      <c r="AZ182" s="96" t="str">
        <f>AZ1</f>
        <v>SPED</v>
      </c>
      <c r="BA182" s="96" t="str">
        <f>BA1</f>
        <v>NSLP</v>
      </c>
      <c r="BB182" s="96" t="str">
        <f>BB1</f>
        <v>Pinecrest System</v>
      </c>
    </row>
    <row r="183" spans="1:54" x14ac:dyDescent="0.25">
      <c r="A183" s="62" t="s">
        <v>154</v>
      </c>
      <c r="B183" s="14">
        <f>(($C$19*B25)*3.56*180)</f>
        <v>0</v>
      </c>
      <c r="C183" s="142"/>
      <c r="D183" s="142"/>
      <c r="E183" s="14">
        <f>((B19*E25)*3.15*180)+1200</f>
        <v>202870.56</v>
      </c>
      <c r="F183" s="14">
        <f t="shared" ref="F183:F191" si="481">SUM(B183:E183)</f>
        <v>202870.56</v>
      </c>
      <c r="H183" s="14">
        <f>(($C$19*H25)*3.56*180)</f>
        <v>0</v>
      </c>
      <c r="I183" s="142"/>
      <c r="J183" s="142"/>
      <c r="K183" s="14">
        <f>((H19*K25)*3.1*180)+1200</f>
        <v>532192.80000000005</v>
      </c>
      <c r="L183" s="14">
        <f t="shared" ref="L183:L191" si="482">SUM(H183:K183)</f>
        <v>532192.80000000005</v>
      </c>
      <c r="N183" s="14">
        <f>(($C$19*N25)*3.56*180)</f>
        <v>0</v>
      </c>
      <c r="O183" s="142"/>
      <c r="P183" s="142"/>
      <c r="Q183" s="14">
        <f>((N19*Q25)*3.1*180)+1200</f>
        <v>171278.40000000002</v>
      </c>
      <c r="R183" s="14">
        <f t="shared" ref="R183:R191" si="483">SUM(N183:Q183)</f>
        <v>171278.40000000002</v>
      </c>
      <c r="T183" s="14">
        <f>(($C$19*T25)*3.56*180)</f>
        <v>0</v>
      </c>
      <c r="U183" s="142"/>
      <c r="V183" s="142"/>
      <c r="W183" s="14">
        <f>((T19*W25)*3.1*180)+1200</f>
        <v>102895.5</v>
      </c>
      <c r="X183" s="14">
        <f t="shared" ref="X183:X191" si="484">SUM(T183:W183)</f>
        <v>102895.5</v>
      </c>
      <c r="Z183" s="14">
        <f>(($C$19*Z25)*3.56*180)</f>
        <v>0</v>
      </c>
      <c r="AA183" s="142"/>
      <c r="AB183" s="142"/>
      <c r="AC183" s="14">
        <f>((Z19*AC25)*3.1*180)+1200</f>
        <v>303055.68</v>
      </c>
      <c r="AD183" s="14">
        <f t="shared" ref="AD183:AD191" si="485">SUM(Z183:AC183)</f>
        <v>303055.68</v>
      </c>
      <c r="AF183" s="14">
        <f>(($C$19*AF25)*3.56*180)</f>
        <v>0</v>
      </c>
      <c r="AG183" s="142"/>
      <c r="AH183" s="142"/>
      <c r="AI183" s="14">
        <f>((AF19*AI25)*3.1*180)+1200</f>
        <v>231542.40000000002</v>
      </c>
      <c r="AJ183" s="14">
        <f t="shared" ref="AJ183:AJ191" si="486">SUM(AF183:AI183)</f>
        <v>231542.40000000002</v>
      </c>
      <c r="AL183" s="14">
        <v>0</v>
      </c>
      <c r="AM183" s="142"/>
      <c r="AN183" s="142"/>
      <c r="AO183" s="14">
        <v>0</v>
      </c>
      <c r="AP183" s="14">
        <f t="shared" ref="AP183:AP191" si="487">SUM(AL183:AO183)</f>
        <v>0</v>
      </c>
      <c r="AR183" s="14">
        <f>(($C$19*AR25)*3.56*180)</f>
        <v>0</v>
      </c>
      <c r="AS183" s="142"/>
      <c r="AT183" s="142"/>
      <c r="AU183" s="14">
        <f>(AR19*AU25)*3.1*180+2300</f>
        <v>40244</v>
      </c>
      <c r="AV183" s="14">
        <f t="shared" ref="AV183:AV191" si="488">SUM(AR183:AU183)</f>
        <v>40244</v>
      </c>
      <c r="AX183" s="7">
        <f>B183+H183+N183+T183+Z183+AF183+AL183+AR183</f>
        <v>0</v>
      </c>
      <c r="AY183" s="7">
        <f t="shared" ref="AY183:BA191" si="489">C183+I183+O183+U183+AA183+AG183+AM183+AS183</f>
        <v>0</v>
      </c>
      <c r="AZ183" s="7">
        <f t="shared" si="489"/>
        <v>0</v>
      </c>
      <c r="BA183" s="7">
        <f t="shared" si="489"/>
        <v>1584079.3400000003</v>
      </c>
      <c r="BB183" s="14">
        <f t="shared" ref="BB183:BB191" si="490">SUM(AX183:BA183)</f>
        <v>1584079.3400000003</v>
      </c>
    </row>
    <row r="184" spans="1:54" x14ac:dyDescent="0.25">
      <c r="A184" s="62" t="s">
        <v>155</v>
      </c>
      <c r="B184" s="7">
        <v>5000</v>
      </c>
      <c r="C184" s="7"/>
      <c r="D184" s="7"/>
      <c r="E184" s="7"/>
      <c r="F184" s="14">
        <f t="shared" si="481"/>
        <v>5000</v>
      </c>
      <c r="H184" s="7">
        <v>5000</v>
      </c>
      <c r="I184" s="7"/>
      <c r="J184" s="7"/>
      <c r="K184" s="7"/>
      <c r="L184" s="14">
        <f t="shared" si="482"/>
        <v>5000</v>
      </c>
      <c r="N184" s="7">
        <v>5000</v>
      </c>
      <c r="O184" s="7"/>
      <c r="P184" s="7"/>
      <c r="Q184" s="7"/>
      <c r="R184" s="14">
        <f t="shared" si="483"/>
        <v>5000</v>
      </c>
      <c r="T184" s="7">
        <v>5000</v>
      </c>
      <c r="U184" s="7"/>
      <c r="V184" s="7"/>
      <c r="W184" s="7"/>
      <c r="X184" s="14">
        <f t="shared" si="484"/>
        <v>5000</v>
      </c>
      <c r="Z184" s="7">
        <v>5000</v>
      </c>
      <c r="AA184" s="7"/>
      <c r="AB184" s="7"/>
      <c r="AC184" s="7"/>
      <c r="AD184" s="14">
        <f t="shared" si="485"/>
        <v>5000</v>
      </c>
      <c r="AF184" s="7">
        <v>5000</v>
      </c>
      <c r="AG184" s="7"/>
      <c r="AH184" s="7"/>
      <c r="AI184" s="7"/>
      <c r="AJ184" s="14">
        <f t="shared" si="486"/>
        <v>5000</v>
      </c>
      <c r="AL184" s="14">
        <v>0</v>
      </c>
      <c r="AM184" s="7"/>
      <c r="AN184" s="7"/>
      <c r="AO184" s="7"/>
      <c r="AP184" s="14">
        <f t="shared" si="487"/>
        <v>0</v>
      </c>
      <c r="AR184" s="7">
        <v>7500</v>
      </c>
      <c r="AS184" s="7"/>
      <c r="AT184" s="7"/>
      <c r="AU184" s="7"/>
      <c r="AV184" s="14">
        <f t="shared" si="488"/>
        <v>7500</v>
      </c>
      <c r="AX184" s="7">
        <f t="shared" ref="AX184:AX191" si="491">B184+H184+N184+T184+Z184+AF184+AL184+AR184</f>
        <v>37500</v>
      </c>
      <c r="AY184" s="7">
        <f t="shared" si="489"/>
        <v>0</v>
      </c>
      <c r="AZ184" s="7">
        <f t="shared" si="489"/>
        <v>0</v>
      </c>
      <c r="BA184" s="7">
        <f t="shared" si="489"/>
        <v>0</v>
      </c>
      <c r="BB184" s="14">
        <f t="shared" si="490"/>
        <v>37500</v>
      </c>
    </row>
    <row r="185" spans="1:54" x14ac:dyDescent="0.25">
      <c r="A185" s="62" t="s">
        <v>156</v>
      </c>
      <c r="B185" s="7">
        <v>2000</v>
      </c>
      <c r="C185" s="7"/>
      <c r="D185" s="7"/>
      <c r="E185" s="7"/>
      <c r="F185" s="14">
        <f t="shared" si="481"/>
        <v>2000</v>
      </c>
      <c r="H185" s="7">
        <v>3000</v>
      </c>
      <c r="I185" s="7"/>
      <c r="J185" s="7"/>
      <c r="K185" s="7"/>
      <c r="L185" s="14">
        <f t="shared" si="482"/>
        <v>3000</v>
      </c>
      <c r="N185" s="7">
        <v>2100</v>
      </c>
      <c r="O185" s="7"/>
      <c r="P185" s="7"/>
      <c r="Q185" s="7"/>
      <c r="R185" s="14">
        <f t="shared" si="483"/>
        <v>2100</v>
      </c>
      <c r="T185" s="7">
        <v>2100</v>
      </c>
      <c r="U185" s="7"/>
      <c r="V185" s="7"/>
      <c r="W185" s="7"/>
      <c r="X185" s="14">
        <f t="shared" si="484"/>
        <v>2100</v>
      </c>
      <c r="Z185" s="7">
        <v>3000</v>
      </c>
      <c r="AA185" s="7"/>
      <c r="AB185" s="7"/>
      <c r="AC185" s="7"/>
      <c r="AD185" s="14">
        <f t="shared" si="485"/>
        <v>3000</v>
      </c>
      <c r="AF185" s="7">
        <v>2000</v>
      </c>
      <c r="AG185" s="7"/>
      <c r="AH185" s="7"/>
      <c r="AI185" s="7"/>
      <c r="AJ185" s="14">
        <f t="shared" si="486"/>
        <v>2000</v>
      </c>
      <c r="AL185" s="14">
        <v>0</v>
      </c>
      <c r="AM185" s="7"/>
      <c r="AN185" s="7"/>
      <c r="AO185" s="7"/>
      <c r="AP185" s="14">
        <f t="shared" si="487"/>
        <v>0</v>
      </c>
      <c r="AR185" s="7">
        <v>0</v>
      </c>
      <c r="AS185" s="7"/>
      <c r="AT185" s="7"/>
      <c r="AU185" s="7"/>
      <c r="AV185" s="14">
        <f t="shared" si="488"/>
        <v>0</v>
      </c>
      <c r="AX185" s="7">
        <f t="shared" si="491"/>
        <v>14200</v>
      </c>
      <c r="AY185" s="7">
        <f t="shared" si="489"/>
        <v>0</v>
      </c>
      <c r="AZ185" s="7">
        <f t="shared" si="489"/>
        <v>0</v>
      </c>
      <c r="BA185" s="7">
        <f t="shared" si="489"/>
        <v>0</v>
      </c>
      <c r="BB185" s="14">
        <f t="shared" si="490"/>
        <v>14200</v>
      </c>
    </row>
    <row r="186" spans="1:54" x14ac:dyDescent="0.25">
      <c r="A186" s="62" t="s">
        <v>157</v>
      </c>
      <c r="B186" s="7">
        <v>540</v>
      </c>
      <c r="C186" s="7"/>
      <c r="D186" s="7"/>
      <c r="E186" s="7"/>
      <c r="F186" s="14">
        <f t="shared" si="481"/>
        <v>540</v>
      </c>
      <c r="H186" s="7">
        <v>1350</v>
      </c>
      <c r="I186" s="7"/>
      <c r="J186" s="7"/>
      <c r="K186" s="7"/>
      <c r="L186" s="14">
        <f t="shared" si="482"/>
        <v>1350</v>
      </c>
      <c r="N186" s="7">
        <v>900</v>
      </c>
      <c r="O186" s="7"/>
      <c r="P186" s="7"/>
      <c r="Q186" s="7"/>
      <c r="R186" s="14">
        <f t="shared" si="483"/>
        <v>900</v>
      </c>
      <c r="T186" s="7">
        <v>900</v>
      </c>
      <c r="U186" s="7"/>
      <c r="V186" s="7"/>
      <c r="W186" s="7"/>
      <c r="X186" s="14">
        <f t="shared" si="484"/>
        <v>900</v>
      </c>
      <c r="Z186" s="7">
        <v>1350</v>
      </c>
      <c r="AA186" s="7"/>
      <c r="AB186" s="7"/>
      <c r="AC186" s="7"/>
      <c r="AD186" s="14">
        <f t="shared" si="485"/>
        <v>1350</v>
      </c>
      <c r="AF186" s="7">
        <f>75*AJ66</f>
        <v>2925</v>
      </c>
      <c r="AG186" s="7"/>
      <c r="AH186" s="7"/>
      <c r="AI186" s="7"/>
      <c r="AJ186" s="14">
        <f t="shared" si="486"/>
        <v>2925</v>
      </c>
      <c r="AL186" s="14">
        <v>0</v>
      </c>
      <c r="AM186" s="7"/>
      <c r="AN186" s="7"/>
      <c r="AO186" s="7"/>
      <c r="AP186" s="14">
        <f t="shared" si="487"/>
        <v>0</v>
      </c>
      <c r="AR186" s="7">
        <f>60*5</f>
        <v>300</v>
      </c>
      <c r="AS186" s="7"/>
      <c r="AT186" s="7"/>
      <c r="AU186" s="7"/>
      <c r="AV186" s="14">
        <f t="shared" si="488"/>
        <v>300</v>
      </c>
      <c r="AX186" s="7">
        <f t="shared" si="491"/>
        <v>8265</v>
      </c>
      <c r="AY186" s="7">
        <f t="shared" si="489"/>
        <v>0</v>
      </c>
      <c r="AZ186" s="7">
        <f t="shared" si="489"/>
        <v>0</v>
      </c>
      <c r="BA186" s="7">
        <f t="shared" si="489"/>
        <v>0</v>
      </c>
      <c r="BB186" s="14">
        <f t="shared" si="490"/>
        <v>8265</v>
      </c>
    </row>
    <row r="187" spans="1:54" x14ac:dyDescent="0.25">
      <c r="A187" s="62" t="s">
        <v>158</v>
      </c>
      <c r="B187" s="15">
        <v>12700</v>
      </c>
      <c r="C187" s="15"/>
      <c r="D187" s="15"/>
      <c r="E187" s="15"/>
      <c r="F187" s="14">
        <f t="shared" si="481"/>
        <v>12700</v>
      </c>
      <c r="H187" s="15">
        <v>12000</v>
      </c>
      <c r="I187" s="15"/>
      <c r="J187" s="15"/>
      <c r="K187" s="15"/>
      <c r="L187" s="14">
        <f t="shared" si="482"/>
        <v>12000</v>
      </c>
      <c r="N187" s="15">
        <v>12000</v>
      </c>
      <c r="O187" s="15"/>
      <c r="P187" s="15"/>
      <c r="Q187" s="15"/>
      <c r="R187" s="14">
        <f t="shared" si="483"/>
        <v>12000</v>
      </c>
      <c r="T187" s="15">
        <v>12000</v>
      </c>
      <c r="U187" s="15"/>
      <c r="V187" s="15"/>
      <c r="W187" s="15"/>
      <c r="X187" s="14">
        <f t="shared" si="484"/>
        <v>12000</v>
      </c>
      <c r="Z187" s="15">
        <v>12000</v>
      </c>
      <c r="AA187" s="15"/>
      <c r="AB187" s="15"/>
      <c r="AC187" s="15"/>
      <c r="AD187" s="14">
        <f t="shared" si="485"/>
        <v>12000</v>
      </c>
      <c r="AF187" s="15">
        <v>12000</v>
      </c>
      <c r="AG187" s="15"/>
      <c r="AH187" s="15"/>
      <c r="AI187" s="15"/>
      <c r="AJ187" s="14">
        <f t="shared" si="486"/>
        <v>12000</v>
      </c>
      <c r="AL187" s="14">
        <v>0</v>
      </c>
      <c r="AM187" s="15"/>
      <c r="AN187" s="15"/>
      <c r="AO187" s="15"/>
      <c r="AP187" s="14">
        <f t="shared" si="487"/>
        <v>0</v>
      </c>
      <c r="AR187" s="15">
        <v>7500</v>
      </c>
      <c r="AS187" s="15"/>
      <c r="AT187" s="15"/>
      <c r="AU187" s="15"/>
      <c r="AV187" s="14">
        <f t="shared" si="488"/>
        <v>7500</v>
      </c>
      <c r="AX187" s="7">
        <f t="shared" si="491"/>
        <v>80200</v>
      </c>
      <c r="AY187" s="7">
        <f t="shared" si="489"/>
        <v>0</v>
      </c>
      <c r="AZ187" s="7">
        <f t="shared" si="489"/>
        <v>0</v>
      </c>
      <c r="BA187" s="7">
        <f t="shared" si="489"/>
        <v>0</v>
      </c>
      <c r="BB187" s="14">
        <f t="shared" si="490"/>
        <v>80200</v>
      </c>
    </row>
    <row r="188" spans="1:54" x14ac:dyDescent="0.25">
      <c r="A188" s="62" t="s">
        <v>159</v>
      </c>
      <c r="B188" s="15">
        <v>0</v>
      </c>
      <c r="C188" s="148"/>
      <c r="D188" s="148"/>
      <c r="E188" s="148"/>
      <c r="F188" s="14">
        <f t="shared" si="481"/>
        <v>0</v>
      </c>
      <c r="H188" s="15">
        <v>0</v>
      </c>
      <c r="I188" s="148"/>
      <c r="J188" s="148"/>
      <c r="K188" s="148"/>
      <c r="L188" s="14">
        <f t="shared" si="482"/>
        <v>0</v>
      </c>
      <c r="N188" s="15">
        <v>0</v>
      </c>
      <c r="O188" s="148"/>
      <c r="P188" s="148"/>
      <c r="Q188" s="148"/>
      <c r="R188" s="14">
        <f t="shared" si="483"/>
        <v>0</v>
      </c>
      <c r="T188" s="15">
        <v>0</v>
      </c>
      <c r="U188" s="148"/>
      <c r="V188" s="148"/>
      <c r="W188" s="148"/>
      <c r="X188" s="14">
        <f t="shared" si="484"/>
        <v>0</v>
      </c>
      <c r="Z188" s="15">
        <v>0</v>
      </c>
      <c r="AA188" s="148"/>
      <c r="AB188" s="148"/>
      <c r="AC188" s="148"/>
      <c r="AD188" s="14">
        <f t="shared" si="485"/>
        <v>0</v>
      </c>
      <c r="AF188" s="15">
        <v>0</v>
      </c>
      <c r="AG188" s="148"/>
      <c r="AH188" s="148"/>
      <c r="AI188" s="148"/>
      <c r="AJ188" s="14">
        <f t="shared" si="486"/>
        <v>0</v>
      </c>
      <c r="AL188" s="14">
        <v>0</v>
      </c>
      <c r="AM188" s="148"/>
      <c r="AN188" s="148"/>
      <c r="AO188" s="148"/>
      <c r="AP188" s="14">
        <f t="shared" si="487"/>
        <v>0</v>
      </c>
      <c r="AR188" s="15">
        <v>0</v>
      </c>
      <c r="AS188" s="148"/>
      <c r="AT188" s="148"/>
      <c r="AU188" s="148"/>
      <c r="AV188" s="14">
        <f t="shared" si="488"/>
        <v>0</v>
      </c>
      <c r="AX188" s="7">
        <f t="shared" si="491"/>
        <v>0</v>
      </c>
      <c r="AY188" s="7">
        <f t="shared" si="489"/>
        <v>0</v>
      </c>
      <c r="AZ188" s="7">
        <f t="shared" si="489"/>
        <v>0</v>
      </c>
      <c r="BA188" s="7">
        <f t="shared" si="489"/>
        <v>0</v>
      </c>
      <c r="BB188" s="14">
        <f t="shared" si="490"/>
        <v>0</v>
      </c>
    </row>
    <row r="189" spans="1:54" x14ac:dyDescent="0.25">
      <c r="A189" s="62" t="s">
        <v>160</v>
      </c>
      <c r="B189" s="15">
        <v>0</v>
      </c>
      <c r="C189" s="15"/>
      <c r="D189" s="15"/>
      <c r="E189" s="15"/>
      <c r="F189" s="14">
        <f t="shared" si="481"/>
        <v>0</v>
      </c>
      <c r="H189" s="15">
        <v>0</v>
      </c>
      <c r="I189" s="15"/>
      <c r="J189" s="15"/>
      <c r="K189" s="15"/>
      <c r="L189" s="14">
        <f t="shared" si="482"/>
        <v>0</v>
      </c>
      <c r="N189" s="15">
        <v>0</v>
      </c>
      <c r="O189" s="15"/>
      <c r="P189" s="15"/>
      <c r="Q189" s="15"/>
      <c r="R189" s="14">
        <f t="shared" si="483"/>
        <v>0</v>
      </c>
      <c r="T189" s="15">
        <v>0</v>
      </c>
      <c r="U189" s="15"/>
      <c r="V189" s="15"/>
      <c r="W189" s="15"/>
      <c r="X189" s="14">
        <f t="shared" si="484"/>
        <v>0</v>
      </c>
      <c r="Z189" s="15">
        <v>0</v>
      </c>
      <c r="AA189" s="15"/>
      <c r="AB189" s="15"/>
      <c r="AC189" s="15"/>
      <c r="AD189" s="14">
        <f t="shared" si="485"/>
        <v>0</v>
      </c>
      <c r="AF189" s="15">
        <v>0</v>
      </c>
      <c r="AG189" s="15"/>
      <c r="AH189" s="15"/>
      <c r="AI189" s="15"/>
      <c r="AJ189" s="14">
        <f t="shared" si="486"/>
        <v>0</v>
      </c>
      <c r="AL189" s="14">
        <v>0</v>
      </c>
      <c r="AM189" s="15"/>
      <c r="AN189" s="15"/>
      <c r="AO189" s="15"/>
      <c r="AP189" s="14">
        <f t="shared" si="487"/>
        <v>0</v>
      </c>
      <c r="AR189" s="15">
        <v>0</v>
      </c>
      <c r="AS189" s="15"/>
      <c r="AT189" s="15"/>
      <c r="AU189" s="15"/>
      <c r="AV189" s="14">
        <f t="shared" si="488"/>
        <v>0</v>
      </c>
      <c r="AX189" s="7">
        <f t="shared" si="491"/>
        <v>0</v>
      </c>
      <c r="AY189" s="7">
        <f t="shared" si="489"/>
        <v>0</v>
      </c>
      <c r="AZ189" s="7">
        <f t="shared" si="489"/>
        <v>0</v>
      </c>
      <c r="BA189" s="7">
        <f t="shared" si="489"/>
        <v>0</v>
      </c>
      <c r="BB189" s="14">
        <f t="shared" si="490"/>
        <v>0</v>
      </c>
    </row>
    <row r="190" spans="1:54" x14ac:dyDescent="0.25">
      <c r="A190" s="62" t="s">
        <v>161</v>
      </c>
      <c r="B190" s="15">
        <v>0</v>
      </c>
      <c r="C190" s="15"/>
      <c r="D190" s="15"/>
      <c r="E190" s="15"/>
      <c r="F190" s="14">
        <f t="shared" si="481"/>
        <v>0</v>
      </c>
      <c r="H190" s="7">
        <f>'FY23'!H190+1000</f>
        <v>16000</v>
      </c>
      <c r="I190" s="15"/>
      <c r="J190" s="15"/>
      <c r="K190" s="15"/>
      <c r="L190" s="14">
        <f t="shared" si="482"/>
        <v>16000</v>
      </c>
      <c r="N190" s="15">
        <v>0</v>
      </c>
      <c r="O190" s="15"/>
      <c r="P190" s="15"/>
      <c r="Q190" s="15"/>
      <c r="R190" s="14">
        <f t="shared" si="483"/>
        <v>0</v>
      </c>
      <c r="T190" s="15">
        <v>0</v>
      </c>
      <c r="U190" s="15"/>
      <c r="V190" s="15"/>
      <c r="W190" s="15"/>
      <c r="X190" s="14">
        <f t="shared" si="484"/>
        <v>0</v>
      </c>
      <c r="Z190" s="7">
        <f>'FY23'!Z190+1000</f>
        <v>16000</v>
      </c>
      <c r="AA190" s="15"/>
      <c r="AB190" s="15"/>
      <c r="AC190" s="15"/>
      <c r="AD190" s="14">
        <f t="shared" si="485"/>
        <v>16000</v>
      </c>
      <c r="AF190" s="7">
        <v>0</v>
      </c>
      <c r="AG190" s="15"/>
      <c r="AH190" s="15"/>
      <c r="AI190" s="15"/>
      <c r="AJ190" s="14">
        <f t="shared" si="486"/>
        <v>0</v>
      </c>
      <c r="AL190" s="14">
        <v>0</v>
      </c>
      <c r="AM190" s="15"/>
      <c r="AN190" s="15"/>
      <c r="AO190" s="15"/>
      <c r="AP190" s="14">
        <f t="shared" si="487"/>
        <v>0</v>
      </c>
      <c r="AR190" s="15">
        <v>0</v>
      </c>
      <c r="AS190" s="15"/>
      <c r="AT190" s="15"/>
      <c r="AU190" s="15"/>
      <c r="AV190" s="14">
        <f t="shared" si="488"/>
        <v>0</v>
      </c>
      <c r="AX190" s="7">
        <f t="shared" si="491"/>
        <v>32000</v>
      </c>
      <c r="AY190" s="7">
        <f t="shared" si="489"/>
        <v>0</v>
      </c>
      <c r="AZ190" s="7">
        <f t="shared" si="489"/>
        <v>0</v>
      </c>
      <c r="BA190" s="7">
        <f t="shared" si="489"/>
        <v>0</v>
      </c>
      <c r="BB190" s="14">
        <f t="shared" si="490"/>
        <v>32000</v>
      </c>
    </row>
    <row r="191" spans="1:54" ht="15.75" thickBot="1" x14ac:dyDescent="0.3">
      <c r="A191" s="62" t="s">
        <v>162</v>
      </c>
      <c r="B191" s="7">
        <v>1000</v>
      </c>
      <c r="C191" s="7"/>
      <c r="D191" s="7"/>
      <c r="E191" s="7"/>
      <c r="F191" s="14">
        <f t="shared" si="481"/>
        <v>1000</v>
      </c>
      <c r="H191" s="7">
        <v>3000</v>
      </c>
      <c r="I191" s="7"/>
      <c r="J191" s="7"/>
      <c r="K191" s="7"/>
      <c r="L191" s="14">
        <f t="shared" si="482"/>
        <v>3000</v>
      </c>
      <c r="N191" s="7">
        <v>2000</v>
      </c>
      <c r="O191" s="7"/>
      <c r="P191" s="7"/>
      <c r="Q191" s="7"/>
      <c r="R191" s="14">
        <f t="shared" si="483"/>
        <v>2000</v>
      </c>
      <c r="T191" s="7">
        <v>2000</v>
      </c>
      <c r="U191" s="7"/>
      <c r="V191" s="7"/>
      <c r="W191" s="7"/>
      <c r="X191" s="14">
        <f t="shared" si="484"/>
        <v>2000</v>
      </c>
      <c r="Z191" s="7">
        <v>2000</v>
      </c>
      <c r="AA191" s="7"/>
      <c r="AB191" s="7"/>
      <c r="AC191" s="7"/>
      <c r="AD191" s="14">
        <f t="shared" si="485"/>
        <v>2000</v>
      </c>
      <c r="AF191" s="7">
        <v>2000</v>
      </c>
      <c r="AG191" s="7"/>
      <c r="AH191" s="7"/>
      <c r="AI191" s="7"/>
      <c r="AJ191" s="14">
        <f t="shared" si="486"/>
        <v>2000</v>
      </c>
      <c r="AL191" s="14">
        <v>0</v>
      </c>
      <c r="AM191" s="7"/>
      <c r="AN191" s="7"/>
      <c r="AO191" s="7"/>
      <c r="AP191" s="14">
        <f t="shared" si="487"/>
        <v>0</v>
      </c>
      <c r="AR191" s="7">
        <v>2000</v>
      </c>
      <c r="AS191" s="7"/>
      <c r="AT191" s="7"/>
      <c r="AU191" s="7"/>
      <c r="AV191" s="14">
        <f t="shared" si="488"/>
        <v>2000</v>
      </c>
      <c r="AX191" s="7">
        <f t="shared" si="491"/>
        <v>14000</v>
      </c>
      <c r="AY191" s="7">
        <f t="shared" si="489"/>
        <v>0</v>
      </c>
      <c r="AZ191" s="7">
        <f t="shared" si="489"/>
        <v>0</v>
      </c>
      <c r="BA191" s="7">
        <f t="shared" si="489"/>
        <v>0</v>
      </c>
      <c r="BB191" s="14">
        <f t="shared" si="490"/>
        <v>14000</v>
      </c>
    </row>
    <row r="192" spans="1:54" ht="15.75" thickBot="1" x14ac:dyDescent="0.3">
      <c r="A192" s="95" t="s">
        <v>163</v>
      </c>
      <c r="B192" s="92">
        <f>SUM(B183:B191)</f>
        <v>21240</v>
      </c>
      <c r="C192" s="92">
        <f>SUM(C183:C191)</f>
        <v>0</v>
      </c>
      <c r="D192" s="92">
        <f t="shared" ref="D192:F192" si="492">SUM(D183:D191)</f>
        <v>0</v>
      </c>
      <c r="E192" s="92">
        <f t="shared" si="492"/>
        <v>202870.56</v>
      </c>
      <c r="F192" s="92">
        <f t="shared" si="492"/>
        <v>224110.56</v>
      </c>
      <c r="H192" s="92">
        <f>SUM(H183:H191)</f>
        <v>40350</v>
      </c>
      <c r="I192" s="92">
        <f>SUM(I183:I191)</f>
        <v>0</v>
      </c>
      <c r="J192" s="92">
        <f t="shared" ref="J192:L192" si="493">SUM(J183:J191)</f>
        <v>0</v>
      </c>
      <c r="K192" s="92">
        <f t="shared" si="493"/>
        <v>532192.80000000005</v>
      </c>
      <c r="L192" s="92">
        <f t="shared" si="493"/>
        <v>572542.80000000005</v>
      </c>
      <c r="N192" s="92">
        <f>SUM(N183:N191)</f>
        <v>22000</v>
      </c>
      <c r="O192" s="92">
        <f>SUM(O183:O191)</f>
        <v>0</v>
      </c>
      <c r="P192" s="92">
        <f t="shared" ref="P192:R192" si="494">SUM(P183:P191)</f>
        <v>0</v>
      </c>
      <c r="Q192" s="92">
        <f t="shared" si="494"/>
        <v>171278.40000000002</v>
      </c>
      <c r="R192" s="92">
        <f t="shared" si="494"/>
        <v>193278.40000000002</v>
      </c>
      <c r="T192" s="92">
        <f>SUM(T183:T191)</f>
        <v>22000</v>
      </c>
      <c r="U192" s="92">
        <f>SUM(U183:U191)</f>
        <v>0</v>
      </c>
      <c r="V192" s="92">
        <f t="shared" ref="V192:X192" si="495">SUM(V183:V191)</f>
        <v>0</v>
      </c>
      <c r="W192" s="92">
        <f t="shared" si="495"/>
        <v>102895.5</v>
      </c>
      <c r="X192" s="92">
        <f t="shared" si="495"/>
        <v>124895.5</v>
      </c>
      <c r="Z192" s="92">
        <f>SUM(Z183:Z191)</f>
        <v>39350</v>
      </c>
      <c r="AA192" s="92">
        <f>SUM(AA183:AA191)</f>
        <v>0</v>
      </c>
      <c r="AB192" s="92">
        <f t="shared" ref="AB192:AD192" si="496">SUM(AB183:AB191)</f>
        <v>0</v>
      </c>
      <c r="AC192" s="92">
        <f t="shared" si="496"/>
        <v>303055.68</v>
      </c>
      <c r="AD192" s="92">
        <f t="shared" si="496"/>
        <v>342405.68</v>
      </c>
      <c r="AF192" s="92">
        <f>SUM(AF183:AF191)</f>
        <v>23925</v>
      </c>
      <c r="AG192" s="92">
        <f>SUM(AG183:AG191)</f>
        <v>0</v>
      </c>
      <c r="AH192" s="92">
        <f t="shared" ref="AH192:AJ192" si="497">SUM(AH183:AH191)</f>
        <v>0</v>
      </c>
      <c r="AI192" s="92">
        <f t="shared" si="497"/>
        <v>231542.40000000002</v>
      </c>
      <c r="AJ192" s="92">
        <f t="shared" si="497"/>
        <v>255467.40000000002</v>
      </c>
      <c r="AL192" s="92">
        <f>SUM(AL183:AL191)</f>
        <v>0</v>
      </c>
      <c r="AM192" s="92">
        <f>SUM(AM183:AM191)</f>
        <v>0</v>
      </c>
      <c r="AN192" s="92">
        <f t="shared" ref="AN192:AP192" si="498">SUM(AN183:AN191)</f>
        <v>0</v>
      </c>
      <c r="AO192" s="92">
        <f t="shared" si="498"/>
        <v>0</v>
      </c>
      <c r="AP192" s="92">
        <f t="shared" si="498"/>
        <v>0</v>
      </c>
      <c r="AR192" s="92">
        <f>SUM(AR183:AR191)</f>
        <v>17300</v>
      </c>
      <c r="AS192" s="92">
        <f>SUM(AS183:AS191)</f>
        <v>0</v>
      </c>
      <c r="AT192" s="92">
        <f t="shared" ref="AT192:AV192" si="499">SUM(AT183:AT191)</f>
        <v>0</v>
      </c>
      <c r="AU192" s="92">
        <f t="shared" si="499"/>
        <v>40244</v>
      </c>
      <c r="AV192" s="92">
        <f t="shared" si="499"/>
        <v>57544</v>
      </c>
      <c r="AX192" s="92">
        <f>SUM(AX183:AX191)</f>
        <v>186165</v>
      </c>
      <c r="AY192" s="92">
        <f>SUM(AY183:AY191)</f>
        <v>0</v>
      </c>
      <c r="AZ192" s="92">
        <f t="shared" ref="AZ192:BB192" si="500">SUM(AZ183:AZ191)</f>
        <v>0</v>
      </c>
      <c r="BA192" s="92">
        <f t="shared" si="500"/>
        <v>1584079.3400000003</v>
      </c>
      <c r="BB192" s="92">
        <f t="shared" si="500"/>
        <v>1770244.3400000003</v>
      </c>
    </row>
    <row r="193" spans="1:54" x14ac:dyDescent="0.25">
      <c r="A193" s="101" t="s">
        <v>164</v>
      </c>
      <c r="B193" s="77" t="str">
        <f>B182</f>
        <v>Operating</v>
      </c>
      <c r="C193" s="77" t="str">
        <f>C182</f>
        <v>Weights</v>
      </c>
      <c r="D193" s="77" t="str">
        <f>D182</f>
        <v>SPED</v>
      </c>
      <c r="E193" s="77" t="str">
        <f t="shared" ref="E193:F193" si="501">E182</f>
        <v>NSLP</v>
      </c>
      <c r="F193" s="77" t="str">
        <f t="shared" si="501"/>
        <v>Horizon</v>
      </c>
      <c r="H193" s="77" t="str">
        <f>H182</f>
        <v>Operating</v>
      </c>
      <c r="I193" s="77" t="str">
        <f>I182</f>
        <v>Weights</v>
      </c>
      <c r="J193" s="77" t="str">
        <f>J182</f>
        <v>SPED</v>
      </c>
      <c r="K193" s="77" t="str">
        <f t="shared" ref="K193:L193" si="502">K182</f>
        <v>NSLP</v>
      </c>
      <c r="L193" s="77" t="str">
        <f t="shared" si="502"/>
        <v>Cadence</v>
      </c>
      <c r="N193" s="77" t="str">
        <f>N182</f>
        <v>Operating</v>
      </c>
      <c r="O193" s="77" t="str">
        <f>O182</f>
        <v>Weights</v>
      </c>
      <c r="P193" s="77" t="str">
        <f>P182</f>
        <v>SPED</v>
      </c>
      <c r="Q193" s="77" t="str">
        <f t="shared" ref="Q193:R193" si="503">Q182</f>
        <v>NSLP</v>
      </c>
      <c r="R193" s="77" t="str">
        <f t="shared" si="503"/>
        <v>St. Rose</v>
      </c>
      <c r="T193" s="77" t="str">
        <f>T182</f>
        <v>Operating</v>
      </c>
      <c r="U193" s="77" t="str">
        <f>U182</f>
        <v>Weights</v>
      </c>
      <c r="V193" s="77" t="str">
        <f>V182</f>
        <v>SPED</v>
      </c>
      <c r="W193" s="77" t="str">
        <f t="shared" ref="W193:X193" si="504">W182</f>
        <v>NSLP</v>
      </c>
      <c r="X193" s="77" t="str">
        <f t="shared" si="504"/>
        <v>Inspirada</v>
      </c>
      <c r="Z193" s="77" t="str">
        <f>Z182</f>
        <v>Operating</v>
      </c>
      <c r="AA193" s="77" t="str">
        <f>AA182</f>
        <v>Weights</v>
      </c>
      <c r="AB193" s="77" t="str">
        <f>AB182</f>
        <v>SPED</v>
      </c>
      <c r="AC193" s="77" t="str">
        <f t="shared" ref="AC193:AD193" si="505">AC182</f>
        <v>NSLP</v>
      </c>
      <c r="AD193" s="77" t="str">
        <f t="shared" si="505"/>
        <v>Sloan Canyon</v>
      </c>
      <c r="AF193" s="77" t="str">
        <f>AF182</f>
        <v>Operating</v>
      </c>
      <c r="AG193" s="77" t="str">
        <f>AG182</f>
        <v>Weights</v>
      </c>
      <c r="AH193" s="77" t="str">
        <f>AH182</f>
        <v>SPED</v>
      </c>
      <c r="AI193" s="77" t="str">
        <f t="shared" ref="AI193:AJ193" si="506">AI182</f>
        <v>NSLP</v>
      </c>
      <c r="AJ193" s="77" t="str">
        <f t="shared" si="506"/>
        <v>Springs</v>
      </c>
      <c r="AL193" s="77" t="str">
        <f>AL182</f>
        <v>Operating</v>
      </c>
      <c r="AM193" s="77" t="str">
        <f>AM182</f>
        <v>Weights</v>
      </c>
      <c r="AN193" s="77" t="str">
        <f>AN182</f>
        <v>SPED</v>
      </c>
      <c r="AO193" s="77" t="str">
        <f t="shared" ref="AO193:AP193" si="507">AO182</f>
        <v>NSLP</v>
      </c>
      <c r="AP193" s="77" t="str">
        <f t="shared" si="507"/>
        <v>System Wide</v>
      </c>
      <c r="AR193" s="77" t="str">
        <f>AR182</f>
        <v>Operating</v>
      </c>
      <c r="AS193" s="77" t="str">
        <f>AS182</f>
        <v>Weights</v>
      </c>
      <c r="AT193" s="77" t="str">
        <f>AT182</f>
        <v>SPED</v>
      </c>
      <c r="AU193" s="77" t="str">
        <f t="shared" ref="AU193:AV193" si="508">AU182</f>
        <v>NSLP</v>
      </c>
      <c r="AV193" s="77" t="str">
        <f t="shared" si="508"/>
        <v>Virtual</v>
      </c>
      <c r="AX193" s="77" t="str">
        <f>AX182</f>
        <v>Operating</v>
      </c>
      <c r="AY193" s="77" t="str">
        <f>AY182</f>
        <v>Weights</v>
      </c>
      <c r="AZ193" s="77" t="str">
        <f>AZ182</f>
        <v>SPED</v>
      </c>
      <c r="BA193" s="77" t="str">
        <f t="shared" ref="BA193:BB193" si="509">BA182</f>
        <v>NSLP</v>
      </c>
      <c r="BB193" s="77" t="str">
        <f t="shared" si="509"/>
        <v>Pinecrest System</v>
      </c>
    </row>
    <row r="194" spans="1:54" x14ac:dyDescent="0.25">
      <c r="A194" s="62" t="s">
        <v>165</v>
      </c>
      <c r="B194" s="7">
        <f>'FY23'!B194*1.03</f>
        <v>84666</v>
      </c>
      <c r="C194" s="61"/>
      <c r="D194" s="61"/>
      <c r="E194" s="61"/>
      <c r="F194" s="61">
        <f t="shared" ref="F194:F204" si="510">SUM(B194:E194)</f>
        <v>84666</v>
      </c>
      <c r="H194" s="7">
        <f>'FY23'!H194*1.03</f>
        <v>220420</v>
      </c>
      <c r="I194" s="61"/>
      <c r="J194" s="61"/>
      <c r="K194" s="61"/>
      <c r="L194" s="61">
        <f t="shared" ref="L194:L204" si="511">SUM(H194:K194)</f>
        <v>220420</v>
      </c>
      <c r="N194" s="7">
        <f>'FY23'!N194*1.03</f>
        <v>63036</v>
      </c>
      <c r="O194" s="61"/>
      <c r="P194" s="61"/>
      <c r="Q194" s="61"/>
      <c r="R194" s="61">
        <f t="shared" ref="R194:R204" si="512">SUM(N194:Q194)</f>
        <v>63036</v>
      </c>
      <c r="T194" s="7">
        <f>'FY23'!T194*1.03</f>
        <v>75705</v>
      </c>
      <c r="U194" s="61"/>
      <c r="V194" s="61"/>
      <c r="W194" s="61"/>
      <c r="X194" s="61">
        <f t="shared" ref="X194:X204" si="513">SUM(T194:W194)</f>
        <v>75705</v>
      </c>
      <c r="Z194" s="7">
        <f>'FY23'!Z194*1.03</f>
        <v>221450</v>
      </c>
      <c r="AA194" s="61"/>
      <c r="AB194" s="61"/>
      <c r="AC194" s="61"/>
      <c r="AD194" s="61">
        <f t="shared" ref="AD194:AD204" si="514">SUM(Z194:AC194)</f>
        <v>221450</v>
      </c>
      <c r="AF194" s="61">
        <f>6500*12</f>
        <v>78000</v>
      </c>
      <c r="AG194" s="61"/>
      <c r="AH194" s="61"/>
      <c r="AI194" s="61"/>
      <c r="AJ194" s="61">
        <f t="shared" ref="AJ194:AJ204" si="515">SUM(AF194:AI194)</f>
        <v>78000</v>
      </c>
      <c r="AL194" s="61">
        <v>0</v>
      </c>
      <c r="AM194" s="61"/>
      <c r="AN194" s="61"/>
      <c r="AO194" s="61"/>
      <c r="AP194" s="61">
        <f t="shared" ref="AP194:AP204" si="516">SUM(AL194:AO194)</f>
        <v>0</v>
      </c>
      <c r="AR194" s="61">
        <v>0</v>
      </c>
      <c r="AS194" s="61"/>
      <c r="AT194" s="61"/>
      <c r="AU194" s="61"/>
      <c r="AV194" s="61">
        <f t="shared" ref="AV194:AV204" si="517">SUM(AR194:AU194)</f>
        <v>0</v>
      </c>
      <c r="AX194" s="7">
        <f>B194+H194+N194+T194+Z194+AF194+AL194+AR194</f>
        <v>743277</v>
      </c>
      <c r="AY194" s="7">
        <f t="shared" ref="AY194:BA204" si="518">C194+I194+O194+U194+AA194+AG194+AM194+AS194</f>
        <v>0</v>
      </c>
      <c r="AZ194" s="7">
        <f t="shared" si="518"/>
        <v>0</v>
      </c>
      <c r="BA194" s="7">
        <f t="shared" si="518"/>
        <v>0</v>
      </c>
      <c r="BB194" s="61">
        <f t="shared" ref="BB194:BB204" si="519">SUM(AX194:BA194)</f>
        <v>743277</v>
      </c>
    </row>
    <row r="195" spans="1:54" x14ac:dyDescent="0.25">
      <c r="A195" s="62" t="s">
        <v>166</v>
      </c>
      <c r="B195" s="7">
        <f>'FY23'!B195*1.03</f>
        <v>5500.2</v>
      </c>
      <c r="C195" s="15"/>
      <c r="D195" s="15"/>
      <c r="E195" s="15"/>
      <c r="F195" s="61">
        <f t="shared" si="510"/>
        <v>5500.2</v>
      </c>
      <c r="H195" s="7">
        <f>'FY23'!H195*1.03</f>
        <v>0</v>
      </c>
      <c r="I195" s="15"/>
      <c r="J195" s="15"/>
      <c r="K195" s="15"/>
      <c r="L195" s="61">
        <f t="shared" si="511"/>
        <v>0</v>
      </c>
      <c r="N195" s="7">
        <f>'FY23'!N195*1.03</f>
        <v>0</v>
      </c>
      <c r="O195" s="15"/>
      <c r="P195" s="15"/>
      <c r="Q195" s="15"/>
      <c r="R195" s="61">
        <f t="shared" si="512"/>
        <v>0</v>
      </c>
      <c r="T195" s="7">
        <f>'FY23'!T195*1.03</f>
        <v>0</v>
      </c>
      <c r="U195" s="15"/>
      <c r="V195" s="15"/>
      <c r="W195" s="15"/>
      <c r="X195" s="61">
        <f t="shared" si="513"/>
        <v>0</v>
      </c>
      <c r="Z195" s="7">
        <f>'FY23'!Z195*1.03</f>
        <v>0</v>
      </c>
      <c r="AA195" s="15"/>
      <c r="AB195" s="15"/>
      <c r="AC195" s="15"/>
      <c r="AD195" s="61">
        <f t="shared" si="514"/>
        <v>0</v>
      </c>
      <c r="AF195" s="7">
        <v>0</v>
      </c>
      <c r="AG195" s="15"/>
      <c r="AH195" s="15"/>
      <c r="AI195" s="15"/>
      <c r="AJ195" s="61">
        <f t="shared" si="515"/>
        <v>0</v>
      </c>
      <c r="AL195" s="61">
        <v>0</v>
      </c>
      <c r="AM195" s="15"/>
      <c r="AN195" s="15"/>
      <c r="AO195" s="15"/>
      <c r="AP195" s="61">
        <f t="shared" si="516"/>
        <v>0</v>
      </c>
      <c r="AR195" s="61">
        <v>0</v>
      </c>
      <c r="AS195" s="15"/>
      <c r="AT195" s="15"/>
      <c r="AU195" s="15"/>
      <c r="AV195" s="61">
        <f t="shared" si="517"/>
        <v>0</v>
      </c>
      <c r="AX195" s="7">
        <f t="shared" ref="AX195:AX204" si="520">B195+H195+N195+T195+Z195+AF195+AL195+AR195</f>
        <v>5500.2</v>
      </c>
      <c r="AY195" s="7">
        <f t="shared" si="518"/>
        <v>0</v>
      </c>
      <c r="AZ195" s="7">
        <f t="shared" si="518"/>
        <v>0</v>
      </c>
      <c r="BA195" s="7">
        <f t="shared" si="518"/>
        <v>0</v>
      </c>
      <c r="BB195" s="61">
        <f t="shared" si="519"/>
        <v>5500.2</v>
      </c>
    </row>
    <row r="196" spans="1:54" x14ac:dyDescent="0.25">
      <c r="A196" s="62" t="s">
        <v>167</v>
      </c>
      <c r="B196" s="7">
        <f>'FY23'!B196*1.03</f>
        <v>23175</v>
      </c>
      <c r="C196" s="7"/>
      <c r="D196" s="7"/>
      <c r="E196" s="7"/>
      <c r="F196" s="61">
        <f t="shared" si="510"/>
        <v>23175</v>
      </c>
      <c r="H196" s="7">
        <f>'FY23'!H196*1.03</f>
        <v>38686.800000000003</v>
      </c>
      <c r="I196" s="7"/>
      <c r="J196" s="7"/>
      <c r="K196" s="7"/>
      <c r="L196" s="61">
        <f t="shared" si="511"/>
        <v>38686.800000000003</v>
      </c>
      <c r="N196" s="7">
        <f>'FY23'!N196*1.03</f>
        <v>18540</v>
      </c>
      <c r="O196" s="7"/>
      <c r="P196" s="7"/>
      <c r="Q196" s="7"/>
      <c r="R196" s="61">
        <f t="shared" si="512"/>
        <v>18540</v>
      </c>
      <c r="T196" s="7">
        <f>'FY23'!T196*1.03</f>
        <v>16686</v>
      </c>
      <c r="U196" s="7"/>
      <c r="V196" s="7"/>
      <c r="W196" s="7"/>
      <c r="X196" s="61">
        <f t="shared" si="513"/>
        <v>16686</v>
      </c>
      <c r="Z196" s="7">
        <f>'FY23'!Z196*1.03</f>
        <v>38686.800000000003</v>
      </c>
      <c r="AA196" s="7"/>
      <c r="AB196" s="7"/>
      <c r="AC196" s="7"/>
      <c r="AD196" s="61">
        <f t="shared" si="514"/>
        <v>38686.800000000003</v>
      </c>
      <c r="AF196" s="7">
        <f>1700*12</f>
        <v>20400</v>
      </c>
      <c r="AG196" s="7"/>
      <c r="AH196" s="7"/>
      <c r="AI196" s="7"/>
      <c r="AJ196" s="61">
        <f t="shared" si="515"/>
        <v>20400</v>
      </c>
      <c r="AL196" s="61">
        <v>0</v>
      </c>
      <c r="AM196" s="7"/>
      <c r="AN196" s="7"/>
      <c r="AO196" s="7"/>
      <c r="AP196" s="61">
        <f t="shared" si="516"/>
        <v>0</v>
      </c>
      <c r="AR196" s="61">
        <v>0</v>
      </c>
      <c r="AS196" s="7"/>
      <c r="AT196" s="7"/>
      <c r="AU196" s="7"/>
      <c r="AV196" s="61">
        <f t="shared" si="517"/>
        <v>0</v>
      </c>
      <c r="AX196" s="7">
        <f t="shared" si="520"/>
        <v>156174.6</v>
      </c>
      <c r="AY196" s="7">
        <f t="shared" si="518"/>
        <v>0</v>
      </c>
      <c r="AZ196" s="7">
        <f t="shared" si="518"/>
        <v>0</v>
      </c>
      <c r="BA196" s="7">
        <f t="shared" si="518"/>
        <v>0</v>
      </c>
      <c r="BB196" s="61">
        <f t="shared" si="519"/>
        <v>156174.6</v>
      </c>
    </row>
    <row r="197" spans="1:54" x14ac:dyDescent="0.25">
      <c r="A197" s="62" t="s">
        <v>168</v>
      </c>
      <c r="B197" s="7">
        <f>'FY23'!B197*1.03</f>
        <v>15882.6</v>
      </c>
      <c r="C197" s="7"/>
      <c r="D197" s="7"/>
      <c r="E197" s="7"/>
      <c r="F197" s="61">
        <f t="shared" si="510"/>
        <v>15882.6</v>
      </c>
      <c r="H197" s="7">
        <f>'FY23'!H197*1.03</f>
        <v>49440</v>
      </c>
      <c r="I197" s="7"/>
      <c r="J197" s="7"/>
      <c r="K197" s="7"/>
      <c r="L197" s="61">
        <f t="shared" si="511"/>
        <v>49440</v>
      </c>
      <c r="N197" s="7">
        <f>'FY23'!N197*1.03</f>
        <v>14832</v>
      </c>
      <c r="O197" s="7"/>
      <c r="P197" s="7"/>
      <c r="Q197" s="7"/>
      <c r="R197" s="61">
        <f t="shared" si="512"/>
        <v>14832</v>
      </c>
      <c r="T197" s="7">
        <f>'FY23'!T197*1.03</f>
        <v>30282</v>
      </c>
      <c r="U197" s="7"/>
      <c r="V197" s="7"/>
      <c r="W197" s="7"/>
      <c r="X197" s="61">
        <f t="shared" si="513"/>
        <v>30282</v>
      </c>
      <c r="Z197" s="7">
        <f>'FY23'!Z197*1.03</f>
        <v>49440</v>
      </c>
      <c r="AA197" s="7"/>
      <c r="AB197" s="7"/>
      <c r="AC197" s="7"/>
      <c r="AD197" s="61">
        <f t="shared" si="514"/>
        <v>49440</v>
      </c>
      <c r="AF197" s="7">
        <f>1000*12</f>
        <v>12000</v>
      </c>
      <c r="AG197" s="7"/>
      <c r="AH197" s="7"/>
      <c r="AI197" s="7"/>
      <c r="AJ197" s="61">
        <f t="shared" si="515"/>
        <v>12000</v>
      </c>
      <c r="AL197" s="61">
        <v>0</v>
      </c>
      <c r="AM197" s="7"/>
      <c r="AN197" s="7"/>
      <c r="AO197" s="7"/>
      <c r="AP197" s="61">
        <f t="shared" si="516"/>
        <v>0</v>
      </c>
      <c r="AR197" s="61">
        <v>0</v>
      </c>
      <c r="AS197" s="7"/>
      <c r="AT197" s="7"/>
      <c r="AU197" s="7"/>
      <c r="AV197" s="61">
        <f t="shared" si="517"/>
        <v>0</v>
      </c>
      <c r="AX197" s="7">
        <f t="shared" si="520"/>
        <v>171876.6</v>
      </c>
      <c r="AY197" s="7">
        <f t="shared" si="518"/>
        <v>0</v>
      </c>
      <c r="AZ197" s="7">
        <f t="shared" si="518"/>
        <v>0</v>
      </c>
      <c r="BA197" s="7">
        <f t="shared" si="518"/>
        <v>0</v>
      </c>
      <c r="BB197" s="61">
        <f t="shared" si="519"/>
        <v>171876.6</v>
      </c>
    </row>
    <row r="198" spans="1:54" x14ac:dyDescent="0.25">
      <c r="A198" s="62" t="s">
        <v>169</v>
      </c>
      <c r="B198" s="7">
        <f>'FY23'!B198*1.03</f>
        <v>6695</v>
      </c>
      <c r="C198" s="7"/>
      <c r="D198" s="7"/>
      <c r="E198" s="7"/>
      <c r="F198" s="61">
        <f t="shared" si="510"/>
        <v>6695</v>
      </c>
      <c r="H198" s="7">
        <f>'FY23'!H198*1.03</f>
        <v>21115</v>
      </c>
      <c r="I198" s="7"/>
      <c r="J198" s="7"/>
      <c r="K198" s="7"/>
      <c r="L198" s="61">
        <f t="shared" si="511"/>
        <v>21115</v>
      </c>
      <c r="N198" s="7">
        <f>'FY23'!N198*1.03</f>
        <v>7210</v>
      </c>
      <c r="O198" s="7"/>
      <c r="P198" s="7"/>
      <c r="Q198" s="7"/>
      <c r="R198" s="61">
        <f t="shared" si="512"/>
        <v>7210</v>
      </c>
      <c r="T198" s="7">
        <f>'FY23'!T198*1.03</f>
        <v>8755</v>
      </c>
      <c r="U198" s="7"/>
      <c r="V198" s="7"/>
      <c r="W198" s="7"/>
      <c r="X198" s="61">
        <f t="shared" si="513"/>
        <v>8755</v>
      </c>
      <c r="Z198" s="7">
        <f>'FY23'!Z198*1.03</f>
        <v>20600</v>
      </c>
      <c r="AA198" s="7"/>
      <c r="AB198" s="7"/>
      <c r="AC198" s="7"/>
      <c r="AD198" s="61">
        <f t="shared" si="514"/>
        <v>20600</v>
      </c>
      <c r="AF198" s="7">
        <v>6000</v>
      </c>
      <c r="AG198" s="7"/>
      <c r="AH198" s="7"/>
      <c r="AI198" s="7"/>
      <c r="AJ198" s="61">
        <f t="shared" si="515"/>
        <v>6000</v>
      </c>
      <c r="AL198" s="61">
        <v>0</v>
      </c>
      <c r="AM198" s="7"/>
      <c r="AN198" s="7"/>
      <c r="AO198" s="7"/>
      <c r="AP198" s="61">
        <f t="shared" si="516"/>
        <v>0</v>
      </c>
      <c r="AR198" s="61">
        <v>0</v>
      </c>
      <c r="AS198" s="7"/>
      <c r="AT198" s="7"/>
      <c r="AU198" s="7"/>
      <c r="AV198" s="61">
        <f t="shared" si="517"/>
        <v>0</v>
      </c>
      <c r="AX198" s="7">
        <f t="shared" si="520"/>
        <v>70375</v>
      </c>
      <c r="AY198" s="7">
        <f t="shared" si="518"/>
        <v>0</v>
      </c>
      <c r="AZ198" s="7">
        <f t="shared" si="518"/>
        <v>0</v>
      </c>
      <c r="BA198" s="7">
        <f t="shared" si="518"/>
        <v>0</v>
      </c>
      <c r="BB198" s="61">
        <f t="shared" si="519"/>
        <v>70375</v>
      </c>
    </row>
    <row r="199" spans="1:54" x14ac:dyDescent="0.25">
      <c r="A199" s="62" t="s">
        <v>170</v>
      </c>
      <c r="B199" s="7">
        <f>'FY23'!B199*1.03</f>
        <v>86330.737500000003</v>
      </c>
      <c r="C199" s="11"/>
      <c r="D199" s="11"/>
      <c r="E199" s="11"/>
      <c r="F199" s="61">
        <f t="shared" si="510"/>
        <v>86330.737500000003</v>
      </c>
      <c r="H199" s="7">
        <f>'FY23'!H199*1.03</f>
        <v>315837.70649999997</v>
      </c>
      <c r="I199" s="11"/>
      <c r="J199" s="11"/>
      <c r="K199" s="11"/>
      <c r="L199" s="61">
        <f t="shared" si="511"/>
        <v>315837.70649999997</v>
      </c>
      <c r="N199" s="7">
        <f>'FY23'!N199*1.03</f>
        <v>100527.70130000002</v>
      </c>
      <c r="O199" s="11"/>
      <c r="P199" s="11"/>
      <c r="Q199" s="11"/>
      <c r="R199" s="61">
        <f t="shared" si="512"/>
        <v>100527.70130000002</v>
      </c>
      <c r="T199" s="7">
        <f>'FY23'!T199*1.03</f>
        <v>115643.40450000002</v>
      </c>
      <c r="U199" s="11"/>
      <c r="V199" s="11"/>
      <c r="W199" s="11"/>
      <c r="X199" s="61">
        <f t="shared" si="513"/>
        <v>115643.40450000002</v>
      </c>
      <c r="Z199" s="7">
        <f>'FY23'!Z199*1.03</f>
        <v>270527.37820000004</v>
      </c>
      <c r="AA199" s="11"/>
      <c r="AB199" s="11"/>
      <c r="AC199" s="11"/>
      <c r="AD199" s="61">
        <f t="shared" si="514"/>
        <v>270527.37820000004</v>
      </c>
      <c r="AF199" s="11">
        <f>6300*13</f>
        <v>81900</v>
      </c>
      <c r="AG199" s="11"/>
      <c r="AH199" s="11"/>
      <c r="AI199" s="11"/>
      <c r="AJ199" s="61">
        <f t="shared" si="515"/>
        <v>81900</v>
      </c>
      <c r="AL199" s="61">
        <v>0</v>
      </c>
      <c r="AM199" s="11"/>
      <c r="AN199" s="11"/>
      <c r="AO199" s="11"/>
      <c r="AP199" s="61">
        <f t="shared" si="516"/>
        <v>0</v>
      </c>
      <c r="AR199" s="61">
        <v>0</v>
      </c>
      <c r="AS199" s="11"/>
      <c r="AT199" s="11"/>
      <c r="AU199" s="11"/>
      <c r="AV199" s="61">
        <f t="shared" si="517"/>
        <v>0</v>
      </c>
      <c r="AX199" s="7">
        <f t="shared" si="520"/>
        <v>970766.92800000007</v>
      </c>
      <c r="AY199" s="7">
        <f t="shared" si="518"/>
        <v>0</v>
      </c>
      <c r="AZ199" s="7">
        <f t="shared" si="518"/>
        <v>0</v>
      </c>
      <c r="BA199" s="7">
        <f t="shared" si="518"/>
        <v>0</v>
      </c>
      <c r="BB199" s="61">
        <f t="shared" si="519"/>
        <v>970766.92800000007</v>
      </c>
    </row>
    <row r="200" spans="1:54" x14ac:dyDescent="0.25">
      <c r="A200" s="62" t="s">
        <v>171</v>
      </c>
      <c r="B200" s="15">
        <f>32*B19</f>
        <v>29952</v>
      </c>
      <c r="C200" s="7"/>
      <c r="D200" s="7"/>
      <c r="E200" s="7"/>
      <c r="F200" s="61">
        <f t="shared" si="510"/>
        <v>29952</v>
      </c>
      <c r="H200" s="15">
        <f>32*H19</f>
        <v>76128</v>
      </c>
      <c r="I200" s="7"/>
      <c r="J200" s="7"/>
      <c r="K200" s="7"/>
      <c r="L200" s="61">
        <f t="shared" si="511"/>
        <v>76128</v>
      </c>
      <c r="N200" s="15">
        <f>32*N19</f>
        <v>32512</v>
      </c>
      <c r="O200" s="7"/>
      <c r="P200" s="7"/>
      <c r="Q200" s="7"/>
      <c r="R200" s="61">
        <f t="shared" si="512"/>
        <v>32512</v>
      </c>
      <c r="T200" s="15">
        <f>32*T19</f>
        <v>38880</v>
      </c>
      <c r="U200" s="7"/>
      <c r="V200" s="7"/>
      <c r="W200" s="7"/>
      <c r="X200" s="61">
        <f t="shared" si="513"/>
        <v>38880</v>
      </c>
      <c r="Z200" s="15">
        <f>32*Z19</f>
        <v>72128</v>
      </c>
      <c r="AA200" s="7"/>
      <c r="AB200" s="7"/>
      <c r="AC200" s="7"/>
      <c r="AD200" s="61">
        <f t="shared" si="514"/>
        <v>72128</v>
      </c>
      <c r="AF200" s="15">
        <f>32*AF19</f>
        <v>20640</v>
      </c>
      <c r="AG200" s="7"/>
      <c r="AH200" s="7"/>
      <c r="AI200" s="7"/>
      <c r="AJ200" s="61">
        <f t="shared" si="515"/>
        <v>20640</v>
      </c>
      <c r="AL200" s="61">
        <v>0</v>
      </c>
      <c r="AM200" s="7"/>
      <c r="AN200" s="7"/>
      <c r="AO200" s="7"/>
      <c r="AP200" s="61">
        <f t="shared" si="516"/>
        <v>0</v>
      </c>
      <c r="AR200" s="61">
        <v>0</v>
      </c>
      <c r="AS200" s="7"/>
      <c r="AT200" s="7"/>
      <c r="AU200" s="7"/>
      <c r="AV200" s="61">
        <f t="shared" si="517"/>
        <v>0</v>
      </c>
      <c r="AX200" s="7">
        <f t="shared" si="520"/>
        <v>270240</v>
      </c>
      <c r="AY200" s="7">
        <f t="shared" si="518"/>
        <v>0</v>
      </c>
      <c r="AZ200" s="7">
        <f t="shared" si="518"/>
        <v>0</v>
      </c>
      <c r="BA200" s="7">
        <f t="shared" si="518"/>
        <v>0</v>
      </c>
      <c r="BB200" s="61">
        <f t="shared" si="519"/>
        <v>270240</v>
      </c>
    </row>
    <row r="201" spans="1:54" x14ac:dyDescent="0.25">
      <c r="A201" s="62" t="s">
        <v>173</v>
      </c>
      <c r="B201" s="7">
        <f>'FY23'!B201+2500</f>
        <v>57500</v>
      </c>
      <c r="C201" s="7"/>
      <c r="D201" s="7"/>
      <c r="E201" s="7">
        <v>0</v>
      </c>
      <c r="F201" s="61">
        <f t="shared" si="510"/>
        <v>57500</v>
      </c>
      <c r="H201" s="7">
        <f>'FY23'!H201+2500</f>
        <v>107500</v>
      </c>
      <c r="I201" s="7"/>
      <c r="J201" s="7"/>
      <c r="K201" s="7">
        <v>0</v>
      </c>
      <c r="L201" s="61">
        <f t="shared" si="511"/>
        <v>107500</v>
      </c>
      <c r="N201" s="7">
        <f>'FY23'!N201+2500</f>
        <v>60000</v>
      </c>
      <c r="O201" s="7"/>
      <c r="P201" s="7"/>
      <c r="Q201" s="7">
        <v>0</v>
      </c>
      <c r="R201" s="61">
        <f t="shared" si="512"/>
        <v>60000</v>
      </c>
      <c r="T201" s="7">
        <f>'FY23'!T201+2500</f>
        <v>62500</v>
      </c>
      <c r="U201" s="7"/>
      <c r="V201" s="7"/>
      <c r="W201" s="7">
        <v>0</v>
      </c>
      <c r="X201" s="61">
        <f t="shared" si="513"/>
        <v>62500</v>
      </c>
      <c r="Z201" s="7">
        <f>'FY23'!Z201+2500</f>
        <v>67500</v>
      </c>
      <c r="AA201" s="7"/>
      <c r="AB201" s="7"/>
      <c r="AC201" s="7">
        <v>0</v>
      </c>
      <c r="AD201" s="61">
        <f t="shared" si="514"/>
        <v>67500</v>
      </c>
      <c r="AF201" s="7">
        <v>22500</v>
      </c>
      <c r="AG201" s="7"/>
      <c r="AH201" s="7"/>
      <c r="AI201" s="7">
        <v>0</v>
      </c>
      <c r="AJ201" s="61">
        <f t="shared" si="515"/>
        <v>22500</v>
      </c>
      <c r="AL201" s="61">
        <v>0</v>
      </c>
      <c r="AM201" s="7"/>
      <c r="AN201" s="7"/>
      <c r="AO201" s="7">
        <v>0</v>
      </c>
      <c r="AP201" s="61">
        <f t="shared" si="516"/>
        <v>0</v>
      </c>
      <c r="AR201" s="61">
        <v>0</v>
      </c>
      <c r="AS201" s="7"/>
      <c r="AT201" s="7"/>
      <c r="AU201" s="7">
        <v>0</v>
      </c>
      <c r="AV201" s="61">
        <f t="shared" si="517"/>
        <v>0</v>
      </c>
      <c r="AX201" s="7">
        <f t="shared" si="520"/>
        <v>377500</v>
      </c>
      <c r="AY201" s="7">
        <f t="shared" si="518"/>
        <v>0</v>
      </c>
      <c r="AZ201" s="7">
        <f t="shared" si="518"/>
        <v>0</v>
      </c>
      <c r="BA201" s="7">
        <f t="shared" si="518"/>
        <v>0</v>
      </c>
      <c r="BB201" s="61">
        <f t="shared" si="519"/>
        <v>377500</v>
      </c>
    </row>
    <row r="202" spans="1:54" x14ac:dyDescent="0.25">
      <c r="A202" s="62" t="s">
        <v>174</v>
      </c>
      <c r="B202" s="7">
        <f>'FY23'!B202*1.03</f>
        <v>12112.800000000001</v>
      </c>
      <c r="C202" s="11"/>
      <c r="D202" s="11"/>
      <c r="E202" s="11"/>
      <c r="F202" s="61">
        <f t="shared" si="510"/>
        <v>12112.800000000001</v>
      </c>
      <c r="H202" s="7">
        <f>'FY23'!H202*1.03</f>
        <v>32877.599999999999</v>
      </c>
      <c r="I202" s="11"/>
      <c r="J202" s="11"/>
      <c r="K202" s="11"/>
      <c r="L202" s="61">
        <f t="shared" si="511"/>
        <v>32877.599999999999</v>
      </c>
      <c r="N202" s="7">
        <f>'FY23'!N202*1.03</f>
        <v>17087.7</v>
      </c>
      <c r="O202" s="11"/>
      <c r="P202" s="11"/>
      <c r="Q202" s="11"/>
      <c r="R202" s="61">
        <f t="shared" si="512"/>
        <v>17087.7</v>
      </c>
      <c r="T202" s="7">
        <f>'FY23'!T202*1.03</f>
        <v>13735.050000000001</v>
      </c>
      <c r="U202" s="11"/>
      <c r="V202" s="11"/>
      <c r="W202" s="11"/>
      <c r="X202" s="61">
        <f t="shared" si="513"/>
        <v>13735.050000000001</v>
      </c>
      <c r="Z202" s="7">
        <f>'FY23'!Z202*1.03</f>
        <v>28054.11</v>
      </c>
      <c r="AA202" s="11"/>
      <c r="AB202" s="11"/>
      <c r="AC202" s="11"/>
      <c r="AD202" s="61">
        <f t="shared" si="514"/>
        <v>28054.11</v>
      </c>
      <c r="AF202" s="11">
        <v>12000</v>
      </c>
      <c r="AG202" s="11"/>
      <c r="AH202" s="11"/>
      <c r="AI202" s="11"/>
      <c r="AJ202" s="61">
        <f t="shared" si="515"/>
        <v>12000</v>
      </c>
      <c r="AL202" s="61">
        <v>0</v>
      </c>
      <c r="AM202" s="11"/>
      <c r="AN202" s="11"/>
      <c r="AO202" s="11"/>
      <c r="AP202" s="61">
        <f t="shared" si="516"/>
        <v>0</v>
      </c>
      <c r="AR202" s="61">
        <v>0</v>
      </c>
      <c r="AS202" s="11"/>
      <c r="AT202" s="11"/>
      <c r="AU202" s="11"/>
      <c r="AV202" s="61">
        <f t="shared" si="517"/>
        <v>0</v>
      </c>
      <c r="AX202" s="7">
        <f t="shared" si="520"/>
        <v>115867.26000000001</v>
      </c>
      <c r="AY202" s="7">
        <f t="shared" si="518"/>
        <v>0</v>
      </c>
      <c r="AZ202" s="7">
        <f t="shared" si="518"/>
        <v>0</v>
      </c>
      <c r="BA202" s="7">
        <f t="shared" si="518"/>
        <v>0</v>
      </c>
      <c r="BB202" s="61">
        <f t="shared" si="519"/>
        <v>115867.26000000001</v>
      </c>
    </row>
    <row r="203" spans="1:54" x14ac:dyDescent="0.25">
      <c r="A203" s="62" t="s">
        <v>175</v>
      </c>
      <c r="B203" s="7">
        <f>'FY23'!B203*1.03</f>
        <v>0</v>
      </c>
      <c r="C203" s="7"/>
      <c r="D203" s="7"/>
      <c r="E203" s="7"/>
      <c r="F203" s="61">
        <f t="shared" si="510"/>
        <v>0</v>
      </c>
      <c r="H203" s="7">
        <f>'FY23'!H203*1.03</f>
        <v>0</v>
      </c>
      <c r="I203" s="7"/>
      <c r="J203" s="7"/>
      <c r="K203" s="7"/>
      <c r="L203" s="61">
        <f t="shared" si="511"/>
        <v>0</v>
      </c>
      <c r="N203" s="7">
        <f>'FY23'!N203*1.03</f>
        <v>0</v>
      </c>
      <c r="O203" s="7"/>
      <c r="P203" s="7"/>
      <c r="Q203" s="7"/>
      <c r="R203" s="61">
        <f t="shared" si="512"/>
        <v>0</v>
      </c>
      <c r="T203" s="7">
        <f>'FY23'!T203*1.03</f>
        <v>0</v>
      </c>
      <c r="U203" s="7"/>
      <c r="V203" s="7"/>
      <c r="W203" s="7"/>
      <c r="X203" s="61">
        <f t="shared" si="513"/>
        <v>0</v>
      </c>
      <c r="Z203" s="7">
        <f>'FY23'!Z203*1.03</f>
        <v>0</v>
      </c>
      <c r="AA203" s="7"/>
      <c r="AB203" s="7"/>
      <c r="AC203" s="7"/>
      <c r="AD203" s="61">
        <f t="shared" si="514"/>
        <v>0</v>
      </c>
      <c r="AF203" s="11">
        <v>0</v>
      </c>
      <c r="AG203" s="7"/>
      <c r="AH203" s="7"/>
      <c r="AI203" s="7"/>
      <c r="AJ203" s="61">
        <f t="shared" si="515"/>
        <v>0</v>
      </c>
      <c r="AL203" s="61">
        <v>0</v>
      </c>
      <c r="AM203" s="7"/>
      <c r="AN203" s="7"/>
      <c r="AO203" s="7"/>
      <c r="AP203" s="61">
        <f t="shared" si="516"/>
        <v>0</v>
      </c>
      <c r="AR203" s="61">
        <v>0</v>
      </c>
      <c r="AS203" s="7"/>
      <c r="AT203" s="7"/>
      <c r="AU203" s="7"/>
      <c r="AV203" s="61">
        <f t="shared" si="517"/>
        <v>0</v>
      </c>
      <c r="AX203" s="7">
        <f t="shared" si="520"/>
        <v>0</v>
      </c>
      <c r="AY203" s="7">
        <f t="shared" si="518"/>
        <v>0</v>
      </c>
      <c r="AZ203" s="7">
        <f t="shared" si="518"/>
        <v>0</v>
      </c>
      <c r="BA203" s="7">
        <f t="shared" si="518"/>
        <v>0</v>
      </c>
      <c r="BB203" s="61">
        <f t="shared" si="519"/>
        <v>0</v>
      </c>
    </row>
    <row r="204" spans="1:54" ht="15.75" thickBot="1" x14ac:dyDescent="0.3">
      <c r="A204" s="62" t="s">
        <v>176</v>
      </c>
      <c r="B204" s="7">
        <f>'FY23'!B204*1.03</f>
        <v>13458.186000000002</v>
      </c>
      <c r="C204" s="86"/>
      <c r="D204" s="86"/>
      <c r="E204" s="86"/>
      <c r="F204" s="61">
        <f t="shared" si="510"/>
        <v>13458.186000000002</v>
      </c>
      <c r="H204" s="7">
        <f>'FY23'!H204*1.03</f>
        <v>50289.75</v>
      </c>
      <c r="I204" s="86"/>
      <c r="J204" s="86"/>
      <c r="K204" s="86"/>
      <c r="L204" s="61">
        <f t="shared" si="511"/>
        <v>50289.75</v>
      </c>
      <c r="N204" s="7">
        <f>'FY23'!N204*1.03</f>
        <v>15573.6</v>
      </c>
      <c r="O204" s="86"/>
      <c r="P204" s="86"/>
      <c r="Q204" s="86"/>
      <c r="R204" s="61">
        <f t="shared" si="512"/>
        <v>15573.6</v>
      </c>
      <c r="T204" s="7">
        <f>'FY23'!T204*1.03</f>
        <v>18601.8</v>
      </c>
      <c r="U204" s="86"/>
      <c r="V204" s="86"/>
      <c r="W204" s="86"/>
      <c r="X204" s="61">
        <f t="shared" si="513"/>
        <v>18601.8</v>
      </c>
      <c r="Z204" s="7">
        <f>'FY23'!Z204*1.03</f>
        <v>49424.55</v>
      </c>
      <c r="AA204" s="86"/>
      <c r="AB204" s="86"/>
      <c r="AC204" s="86"/>
      <c r="AD204" s="61">
        <f t="shared" si="514"/>
        <v>49424.55</v>
      </c>
      <c r="AF204" s="86">
        <v>12500</v>
      </c>
      <c r="AG204" s="86"/>
      <c r="AH204" s="86"/>
      <c r="AI204" s="86"/>
      <c r="AJ204" s="61">
        <f t="shared" si="515"/>
        <v>12500</v>
      </c>
      <c r="AL204" s="61">
        <v>0</v>
      </c>
      <c r="AM204" s="86"/>
      <c r="AN204" s="86"/>
      <c r="AO204" s="86"/>
      <c r="AP204" s="61">
        <f t="shared" si="516"/>
        <v>0</v>
      </c>
      <c r="AR204" s="61">
        <v>0</v>
      </c>
      <c r="AS204" s="86"/>
      <c r="AT204" s="86"/>
      <c r="AU204" s="86"/>
      <c r="AV204" s="61">
        <f t="shared" si="517"/>
        <v>0</v>
      </c>
      <c r="AX204" s="7">
        <f t="shared" si="520"/>
        <v>159847.886</v>
      </c>
      <c r="AY204" s="7">
        <f t="shared" si="518"/>
        <v>0</v>
      </c>
      <c r="AZ204" s="7">
        <f t="shared" si="518"/>
        <v>0</v>
      </c>
      <c r="BA204" s="7">
        <f t="shared" si="518"/>
        <v>0</v>
      </c>
      <c r="BB204" s="61">
        <f t="shared" si="519"/>
        <v>159847.886</v>
      </c>
    </row>
    <row r="205" spans="1:54" ht="15.75" thickBot="1" x14ac:dyDescent="0.3">
      <c r="A205" s="95" t="s">
        <v>177</v>
      </c>
      <c r="B205" s="90">
        <f>SUM(B194:B204)</f>
        <v>335272.52349999995</v>
      </c>
      <c r="C205" s="90">
        <f>SUM(C194:C204)</f>
        <v>0</v>
      </c>
      <c r="D205" s="90">
        <f>SUM(D194:D204)</f>
        <v>0</v>
      </c>
      <c r="E205" s="90">
        <f t="shared" ref="E205:F205" si="521">SUM(E194:E204)</f>
        <v>0</v>
      </c>
      <c r="F205" s="90">
        <f t="shared" si="521"/>
        <v>335272.52349999995</v>
      </c>
      <c r="H205" s="90">
        <f>SUM(H194:H204)</f>
        <v>912294.85649999988</v>
      </c>
      <c r="I205" s="90">
        <f>SUM(I194:I204)</f>
        <v>0</v>
      </c>
      <c r="J205" s="90">
        <f>SUM(J194:J204)</f>
        <v>0</v>
      </c>
      <c r="K205" s="90">
        <f t="shared" ref="K205:L205" si="522">SUM(K194:K204)</f>
        <v>0</v>
      </c>
      <c r="L205" s="90">
        <f t="shared" si="522"/>
        <v>912294.85649999988</v>
      </c>
      <c r="N205" s="90">
        <f>SUM(N194:N204)</f>
        <v>329319.0013</v>
      </c>
      <c r="O205" s="90">
        <f>SUM(O194:O204)</f>
        <v>0</v>
      </c>
      <c r="P205" s="90">
        <f>SUM(P194:P204)</f>
        <v>0</v>
      </c>
      <c r="Q205" s="90">
        <f t="shared" ref="Q205:R205" si="523">SUM(Q194:Q204)</f>
        <v>0</v>
      </c>
      <c r="R205" s="90">
        <f t="shared" si="523"/>
        <v>329319.0013</v>
      </c>
      <c r="T205" s="90">
        <f>SUM(T194:T204)</f>
        <v>380788.25449999998</v>
      </c>
      <c r="U205" s="90">
        <f>SUM(U194:U204)</f>
        <v>0</v>
      </c>
      <c r="V205" s="90">
        <f>SUM(V194:V204)</f>
        <v>0</v>
      </c>
      <c r="W205" s="90">
        <f t="shared" ref="W205:X205" si="524">SUM(W194:W204)</f>
        <v>0</v>
      </c>
      <c r="X205" s="90">
        <f t="shared" si="524"/>
        <v>380788.25449999998</v>
      </c>
      <c r="Z205" s="90">
        <f>SUM(Z194:Z204)</f>
        <v>817810.8382</v>
      </c>
      <c r="AA205" s="90">
        <f>SUM(AA194:AA204)</f>
        <v>0</v>
      </c>
      <c r="AB205" s="90">
        <f>SUM(AB194:AB204)</f>
        <v>0</v>
      </c>
      <c r="AC205" s="90">
        <f t="shared" ref="AC205:AD205" si="525">SUM(AC194:AC204)</f>
        <v>0</v>
      </c>
      <c r="AD205" s="90">
        <f t="shared" si="525"/>
        <v>817810.8382</v>
      </c>
      <c r="AF205" s="90">
        <f>SUM(AF194:AF204)</f>
        <v>265940</v>
      </c>
      <c r="AG205" s="90">
        <f>SUM(AG194:AG204)</f>
        <v>0</v>
      </c>
      <c r="AH205" s="90">
        <f>SUM(AH194:AH204)</f>
        <v>0</v>
      </c>
      <c r="AI205" s="90">
        <f t="shared" ref="AI205:AJ205" si="526">SUM(AI194:AI204)</f>
        <v>0</v>
      </c>
      <c r="AJ205" s="90">
        <f t="shared" si="526"/>
        <v>265940</v>
      </c>
      <c r="AL205" s="90">
        <f>SUM(AL194:AL204)</f>
        <v>0</v>
      </c>
      <c r="AM205" s="90">
        <f>SUM(AM194:AM204)</f>
        <v>0</v>
      </c>
      <c r="AN205" s="90">
        <f>SUM(AN194:AN204)</f>
        <v>0</v>
      </c>
      <c r="AO205" s="90">
        <f t="shared" ref="AO205:AP205" si="527">SUM(AO194:AO204)</f>
        <v>0</v>
      </c>
      <c r="AP205" s="90">
        <f t="shared" si="527"/>
        <v>0</v>
      </c>
      <c r="AR205" s="90">
        <f>SUM(AR194:AR204)</f>
        <v>0</v>
      </c>
      <c r="AS205" s="90">
        <f>SUM(AS194:AS204)</f>
        <v>0</v>
      </c>
      <c r="AT205" s="90">
        <f>SUM(AT194:AT204)</f>
        <v>0</v>
      </c>
      <c r="AU205" s="90">
        <f t="shared" ref="AU205:AV205" si="528">SUM(AU194:AU204)</f>
        <v>0</v>
      </c>
      <c r="AV205" s="90">
        <f t="shared" si="528"/>
        <v>0</v>
      </c>
      <c r="AX205" s="90">
        <f>SUM(AX194:AX204)</f>
        <v>3041425.4739999995</v>
      </c>
      <c r="AY205" s="90">
        <f>SUM(AY194:AY204)</f>
        <v>0</v>
      </c>
      <c r="AZ205" s="90">
        <f>SUM(AZ194:AZ204)</f>
        <v>0</v>
      </c>
      <c r="BA205" s="90">
        <f t="shared" ref="BA205:BB205" si="529">SUM(BA194:BA204)</f>
        <v>0</v>
      </c>
      <c r="BB205" s="90">
        <f t="shared" si="529"/>
        <v>3041425.4739999995</v>
      </c>
    </row>
    <row r="206" spans="1:54" ht="15.75" thickBot="1" x14ac:dyDescent="0.3">
      <c r="A206" s="102"/>
      <c r="B206" s="103"/>
      <c r="C206" s="103"/>
      <c r="D206" s="103"/>
      <c r="E206" s="103"/>
      <c r="F206" s="103"/>
      <c r="H206" s="103"/>
      <c r="I206" s="103"/>
      <c r="J206" s="103"/>
      <c r="K206" s="103"/>
      <c r="L206" s="103"/>
      <c r="N206" s="103"/>
      <c r="O206" s="103"/>
      <c r="P206" s="103"/>
      <c r="Q206" s="103"/>
      <c r="R206" s="103"/>
      <c r="T206" s="103"/>
      <c r="U206" s="103"/>
      <c r="V206" s="103"/>
      <c r="W206" s="103"/>
      <c r="X206" s="103"/>
      <c r="Z206" s="103"/>
      <c r="AA206" s="103"/>
      <c r="AB206" s="103"/>
      <c r="AC206" s="103"/>
      <c r="AD206" s="103"/>
      <c r="AF206" s="103"/>
      <c r="AG206" s="103"/>
      <c r="AH206" s="103"/>
      <c r="AI206" s="103"/>
      <c r="AJ206" s="103"/>
      <c r="AL206" s="103"/>
      <c r="AM206" s="103"/>
      <c r="AN206" s="103"/>
      <c r="AO206" s="103"/>
      <c r="AP206" s="103"/>
      <c r="AR206" s="103"/>
      <c r="AS206" s="103"/>
      <c r="AT206" s="103"/>
      <c r="AU206" s="103"/>
      <c r="AV206" s="103"/>
      <c r="AX206" s="103"/>
      <c r="AY206" s="103"/>
      <c r="AZ206" s="103"/>
      <c r="BA206" s="103"/>
      <c r="BB206" s="103"/>
    </row>
    <row r="207" spans="1:54" ht="15.75" thickBot="1" x14ac:dyDescent="0.3">
      <c r="A207" s="95" t="s">
        <v>178</v>
      </c>
      <c r="B207" s="104">
        <f>B139+B151+B167+B176+B181+B192+B205</f>
        <v>5288001.7423647307</v>
      </c>
      <c r="C207" s="104">
        <f>C139+C151+C167+C176+C181+C192+C205</f>
        <v>202815.25837290002</v>
      </c>
      <c r="D207" s="104">
        <f>D139+D151+D167+D176+D181+D192+D205</f>
        <v>831004.65987961181</v>
      </c>
      <c r="E207" s="104">
        <f>E139+E151+E167+E176+E181+E192+E205</f>
        <v>234067.86</v>
      </c>
      <c r="F207" s="104">
        <f>F139+F151+F167+F176+F181+F192+F205</f>
        <v>6555889.520617242</v>
      </c>
      <c r="H207" s="104">
        <f>H139+H151+H167+H176+H181+H192+H205</f>
        <v>13244493.320279682</v>
      </c>
      <c r="I207" s="104">
        <f>I139+I151+I167+I176+I181+I192+I205</f>
        <v>216440.4075343</v>
      </c>
      <c r="J207" s="104">
        <f>J139+J151+J167+J176+J181+J192+J205</f>
        <v>2225748.6643783422</v>
      </c>
      <c r="K207" s="104">
        <f>K139+K151+K167+K176+K181+K192+K205</f>
        <v>628148.4</v>
      </c>
      <c r="L207" s="104">
        <f>L139+L151+L167+L176+L181+L192+L205</f>
        <v>16314830.792192325</v>
      </c>
      <c r="N207" s="104">
        <f>N139+N151+N167+N176+N181+N192+N205</f>
        <v>5466499.9129258096</v>
      </c>
      <c r="O207" s="104">
        <f>O139+O151+O167+O176+O181+O192+O205</f>
        <v>281284.30347289995</v>
      </c>
      <c r="P207" s="104">
        <f>P139+P151+P167+P176+P181+P192+P205</f>
        <v>748310.64999999991</v>
      </c>
      <c r="Q207" s="104">
        <f>Q139+Q151+Q167+Q176+Q181+Q192+Q205</f>
        <v>203013.60000000003</v>
      </c>
      <c r="R207" s="104">
        <f>R139+R151+R167+R176+R181+R192+R205</f>
        <v>6699108.4663987104</v>
      </c>
      <c r="T207" s="104">
        <f>T139+T151+T167+T176+T181+T192+T205</f>
        <v>6681846.0059253089</v>
      </c>
      <c r="U207" s="104">
        <f>U139+U151+U167+U176+U181+U192+U205</f>
        <v>241546.57500000001</v>
      </c>
      <c r="V207" s="104">
        <f>V139+V151+V167+V176+V181+V192+V205</f>
        <v>891484.46867910761</v>
      </c>
      <c r="W207" s="104">
        <f>W139+W151+W167+W176+W181+W192+W205</f>
        <v>134098.79999999999</v>
      </c>
      <c r="X207" s="104">
        <f>X139+X151+X167+X176+X181+X192+X205</f>
        <v>7948975.8496044166</v>
      </c>
      <c r="Z207" s="104">
        <f>Z139+Z151+Z167+Z176+Z181+Z192+Z205</f>
        <v>11561586.124418402</v>
      </c>
      <c r="AA207" s="104">
        <f>AA139+AA151+AA167+AA176+AA181+AA192+AA205</f>
        <v>189355.875</v>
      </c>
      <c r="AB207" s="104">
        <f>AB139+AB151+AB167+AB176+AB181+AB192+AB205</f>
        <v>1771284.0284865454</v>
      </c>
      <c r="AC207" s="104">
        <f>AC139+AC151+AC167+AC176+AC181+AC192+AC205</f>
        <v>365450.27999999997</v>
      </c>
      <c r="AD207" s="104">
        <f>AD139+AD151+AD167+AD176+AD181+AD192+AD205</f>
        <v>13887676.307904946</v>
      </c>
      <c r="AF207" s="104">
        <f>AF139+AF151+AF167+AF176+AF181+AF192+AF205</f>
        <v>3386137.0281125</v>
      </c>
      <c r="AG207" s="104">
        <f>AG139+AG151+AG167+AG176+AG181+AG192+AG205</f>
        <v>96402.5</v>
      </c>
      <c r="AH207" s="104">
        <f>AH139+AH151+AH167+AH176+AH181+AH192+AH205</f>
        <v>342968.75</v>
      </c>
      <c r="AI207" s="104">
        <f>AI139+AI151+AI167+AI176+AI181+AI192+AI205</f>
        <v>262225.7</v>
      </c>
      <c r="AJ207" s="104">
        <f>AJ139+AJ151+AJ167+AJ176+AJ181+AJ192+AJ205</f>
        <v>4087733.9781124997</v>
      </c>
      <c r="AL207" s="104">
        <f>AL139+AL151+AL167+AL176+AL181+AL192+AL205</f>
        <v>226855.87479999999</v>
      </c>
      <c r="AM207" s="104">
        <f>AM139+AM151+AM167+AM176+AM181+AM192+AM205</f>
        <v>39638.721624999991</v>
      </c>
      <c r="AN207" s="104">
        <f>AN139+AN151+AN167+AN176+AN181+AN192+AN205</f>
        <v>0</v>
      </c>
      <c r="AO207" s="104">
        <f>AO139+AO151+AO167+AO176+AO181+AO192+AO205</f>
        <v>0</v>
      </c>
      <c r="AP207" s="104">
        <f>AP139+AP151+AP167+AP176+AP181+AP192+AP205</f>
        <v>266494.596425</v>
      </c>
      <c r="AR207" s="104">
        <f>AR139+AR151+AR167+AR176+AR181+AR192+AR205</f>
        <v>1035063.125</v>
      </c>
      <c r="AS207" s="104">
        <f>AS139+AS151+AS167+AS176+AS181+AS192+AS205</f>
        <v>7725</v>
      </c>
      <c r="AT207" s="104">
        <f>AT139+AT151+AT167+AT176+AT181+AT192+AT205</f>
        <v>65921.399999999994</v>
      </c>
      <c r="AU207" s="104">
        <f>AU139+AU151+AU167+AU176+AU181+AU192+AU205</f>
        <v>40244</v>
      </c>
      <c r="AV207" s="104">
        <f>AV139+AV151+AV167+AV176+AV181+AV192+AV205</f>
        <v>1148953.5249999999</v>
      </c>
      <c r="AX207" s="104">
        <f>AX139+AX151+AX167+AX176+AX181+AX192+AX205</f>
        <v>46890483.133826435</v>
      </c>
      <c r="AY207" s="104">
        <f>AY139+AY151+AY167+AY176+AY181+AY192+AY205</f>
        <v>1275208.6410051</v>
      </c>
      <c r="AZ207" s="104">
        <f>AZ139+AZ151+AZ167+AZ176+AZ181+AZ192+AZ205</f>
        <v>6876722.6214236068</v>
      </c>
      <c r="BA207" s="104">
        <f>BA139+BA151+BA167+BA176+BA181+BA192+BA205</f>
        <v>1867248.6400000004</v>
      </c>
      <c r="BB207" s="104">
        <f>BB139+BB151+BB167+BB176+BB181+BB192+BB205</f>
        <v>56909663.036255144</v>
      </c>
    </row>
    <row r="208" spans="1:54" x14ac:dyDescent="0.25">
      <c r="A208" s="105"/>
      <c r="B208" s="61"/>
      <c r="C208" s="61"/>
      <c r="D208" s="61"/>
      <c r="E208" s="61"/>
      <c r="F208" s="61"/>
      <c r="H208" s="61"/>
      <c r="I208" s="61"/>
      <c r="J208" s="61"/>
      <c r="K208" s="61"/>
      <c r="L208" s="61"/>
      <c r="N208" s="61"/>
      <c r="O208" s="61"/>
      <c r="P208" s="61"/>
      <c r="Q208" s="61"/>
      <c r="R208" s="61"/>
      <c r="T208" s="61"/>
      <c r="U208" s="61"/>
      <c r="V208" s="61"/>
      <c r="W208" s="61"/>
      <c r="X208" s="61"/>
      <c r="Z208" s="61"/>
      <c r="AA208" s="61"/>
      <c r="AB208" s="61"/>
      <c r="AC208" s="61"/>
      <c r="AD208" s="61"/>
      <c r="AF208" s="61"/>
      <c r="AG208" s="61"/>
      <c r="AH208" s="61"/>
      <c r="AI208" s="61"/>
      <c r="AJ208" s="61"/>
      <c r="AL208" s="61"/>
      <c r="AM208" s="61"/>
      <c r="AN208" s="61"/>
      <c r="AO208" s="61"/>
      <c r="AP208" s="61"/>
      <c r="AR208" s="61"/>
      <c r="AS208" s="61"/>
      <c r="AT208" s="61"/>
      <c r="AU208" s="61"/>
      <c r="AV208" s="61"/>
      <c r="AX208" s="61"/>
      <c r="AY208" s="61"/>
      <c r="AZ208" s="61"/>
      <c r="BA208" s="61"/>
      <c r="BB208" s="61"/>
    </row>
    <row r="209" spans="1:54" x14ac:dyDescent="0.25">
      <c r="A209" s="106" t="s">
        <v>179</v>
      </c>
      <c r="B209" s="7">
        <v>0</v>
      </c>
      <c r="C209" s="7"/>
      <c r="D209" s="7"/>
      <c r="E209" s="7"/>
      <c r="F209" s="7">
        <f t="shared" ref="F209:F218" si="530">SUM(B209:E209)</f>
        <v>0</v>
      </c>
      <c r="H209" s="7">
        <v>0</v>
      </c>
      <c r="I209" s="7"/>
      <c r="J209" s="7"/>
      <c r="K209" s="7"/>
      <c r="L209" s="7">
        <f t="shared" ref="L209:L218" si="531">SUM(H209:K209)</f>
        <v>0</v>
      </c>
      <c r="N209" s="7">
        <v>0</v>
      </c>
      <c r="O209" s="7"/>
      <c r="P209" s="7"/>
      <c r="Q209" s="7"/>
      <c r="R209" s="7">
        <f t="shared" ref="R209:R218" si="532">SUM(N209:Q209)</f>
        <v>0</v>
      </c>
      <c r="T209" s="7">
        <v>0</v>
      </c>
      <c r="U209" s="7"/>
      <c r="V209" s="7"/>
      <c r="W209" s="7"/>
      <c r="X209" s="7">
        <f t="shared" ref="X209:X218" si="533">SUM(T209:W209)</f>
        <v>0</v>
      </c>
      <c r="Z209" s="7">
        <v>0</v>
      </c>
      <c r="AA209" s="7"/>
      <c r="AB209" s="7"/>
      <c r="AC209" s="7"/>
      <c r="AD209" s="7">
        <f t="shared" ref="AD209:AD218" si="534">SUM(Z209:AC209)</f>
        <v>0</v>
      </c>
      <c r="AF209" s="7">
        <v>1000000</v>
      </c>
      <c r="AG209" s="7"/>
      <c r="AH209" s="7"/>
      <c r="AI209" s="7"/>
      <c r="AJ209" s="7">
        <f t="shared" ref="AJ209:AJ218" si="535">SUM(AF209:AI209)</f>
        <v>1000000</v>
      </c>
      <c r="AL209" s="7">
        <v>0</v>
      </c>
      <c r="AM209" s="7"/>
      <c r="AN209" s="7"/>
      <c r="AO209" s="7"/>
      <c r="AP209" s="7">
        <f t="shared" ref="AP209:AP218" si="536">SUM(AL209:AO209)</f>
        <v>0</v>
      </c>
      <c r="AR209" s="7">
        <v>0</v>
      </c>
      <c r="AS209" s="7"/>
      <c r="AT209" s="7"/>
      <c r="AU209" s="7"/>
      <c r="AV209" s="7">
        <f t="shared" ref="AV209:AV218" si="537">SUM(AR209:AU209)</f>
        <v>0</v>
      </c>
      <c r="AX209" s="7">
        <f>B209+H209+N209+T209+Z209+AF209+AL209+AR209</f>
        <v>1000000</v>
      </c>
      <c r="AY209" s="7">
        <f t="shared" ref="AY209:BA217" si="538">C209+I209+O209+U209+AA209+AG209+AM209+AS209</f>
        <v>0</v>
      </c>
      <c r="AZ209" s="7">
        <f t="shared" si="538"/>
        <v>0</v>
      </c>
      <c r="BA209" s="7">
        <f t="shared" si="538"/>
        <v>0</v>
      </c>
      <c r="BB209" s="7">
        <f t="shared" ref="BB209:BB218" si="539">SUM(AX209:BA209)</f>
        <v>1000000</v>
      </c>
    </row>
    <row r="210" spans="1:54" s="212" customFormat="1" x14ac:dyDescent="0.25">
      <c r="A210" s="210" t="s">
        <v>180</v>
      </c>
      <c r="B210" s="15">
        <v>918333</v>
      </c>
      <c r="C210" s="15">
        <v>0</v>
      </c>
      <c r="D210" s="15"/>
      <c r="E210" s="15"/>
      <c r="F210" s="15">
        <f t="shared" si="530"/>
        <v>918333</v>
      </c>
      <c r="G210" s="211"/>
      <c r="H210" s="15">
        <v>0</v>
      </c>
      <c r="I210" s="15">
        <v>0</v>
      </c>
      <c r="J210" s="15"/>
      <c r="K210" s="15"/>
      <c r="L210" s="15">
        <f t="shared" si="531"/>
        <v>0</v>
      </c>
      <c r="M210" s="211"/>
      <c r="N210" s="15">
        <v>966667</v>
      </c>
      <c r="O210" s="15">
        <v>0</v>
      </c>
      <c r="P210" s="15"/>
      <c r="Q210" s="15"/>
      <c r="R210" s="15">
        <f t="shared" si="532"/>
        <v>966667</v>
      </c>
      <c r="S210" s="211"/>
      <c r="T210" s="15">
        <v>1160000</v>
      </c>
      <c r="U210" s="15">
        <v>0</v>
      </c>
      <c r="V210" s="15"/>
      <c r="W210" s="15"/>
      <c r="X210" s="15">
        <f t="shared" si="533"/>
        <v>1160000</v>
      </c>
      <c r="Y210" s="211"/>
      <c r="Z210" s="15">
        <v>0</v>
      </c>
      <c r="AA210" s="15">
        <v>0</v>
      </c>
      <c r="AB210" s="15"/>
      <c r="AC210" s="15"/>
      <c r="AD210" s="15">
        <f t="shared" si="534"/>
        <v>0</v>
      </c>
      <c r="AE210" s="211"/>
      <c r="AF210" s="15">
        <v>0</v>
      </c>
      <c r="AG210" s="15">
        <v>0</v>
      </c>
      <c r="AH210" s="15"/>
      <c r="AI210" s="15"/>
      <c r="AJ210" s="15">
        <f t="shared" si="535"/>
        <v>0</v>
      </c>
      <c r="AK210" s="211"/>
      <c r="AL210" s="15">
        <v>0</v>
      </c>
      <c r="AM210" s="15">
        <v>0</v>
      </c>
      <c r="AN210" s="15"/>
      <c r="AO210" s="15"/>
      <c r="AP210" s="15">
        <f t="shared" si="536"/>
        <v>0</v>
      </c>
      <c r="AQ210" s="211"/>
      <c r="AR210" s="7">
        <v>0</v>
      </c>
      <c r="AS210" s="7">
        <v>0</v>
      </c>
      <c r="AT210" s="7"/>
      <c r="AU210" s="7"/>
      <c r="AV210" s="7">
        <f t="shared" si="537"/>
        <v>0</v>
      </c>
      <c r="AW210"/>
      <c r="AX210" s="7">
        <f t="shared" ref="AX210:AX217" si="540">B210+H210+N210+T210+Z210+AF210+AL210+AR210</f>
        <v>3045000</v>
      </c>
      <c r="AY210" s="7">
        <f t="shared" si="538"/>
        <v>0</v>
      </c>
      <c r="AZ210" s="7">
        <f t="shared" si="538"/>
        <v>0</v>
      </c>
      <c r="BA210" s="7">
        <f t="shared" si="538"/>
        <v>0</v>
      </c>
      <c r="BB210" s="15">
        <f t="shared" si="539"/>
        <v>3045000</v>
      </c>
    </row>
    <row r="211" spans="1:54" x14ac:dyDescent="0.25">
      <c r="A211" s="210" t="s">
        <v>180</v>
      </c>
      <c r="B211" s="7"/>
      <c r="C211" s="7"/>
      <c r="D211" s="7"/>
      <c r="E211" s="7"/>
      <c r="F211" s="7">
        <f t="shared" si="530"/>
        <v>0</v>
      </c>
      <c r="H211" s="7">
        <v>2495000</v>
      </c>
      <c r="I211" s="7"/>
      <c r="J211" s="7"/>
      <c r="K211" s="7"/>
      <c r="L211" s="7">
        <f t="shared" si="531"/>
        <v>2495000</v>
      </c>
      <c r="N211" s="7"/>
      <c r="O211" s="7"/>
      <c r="P211" s="7"/>
      <c r="Q211" s="7"/>
      <c r="R211" s="7">
        <f t="shared" si="532"/>
        <v>0</v>
      </c>
      <c r="T211" s="7"/>
      <c r="U211" s="7"/>
      <c r="V211" s="7"/>
      <c r="W211" s="7"/>
      <c r="X211" s="7">
        <f t="shared" si="533"/>
        <v>0</v>
      </c>
      <c r="Z211" s="15">
        <v>0</v>
      </c>
      <c r="AA211" s="7"/>
      <c r="AB211" s="7"/>
      <c r="AC211" s="7"/>
      <c r="AD211" s="7">
        <f t="shared" si="534"/>
        <v>0</v>
      </c>
      <c r="AF211" s="15">
        <v>0</v>
      </c>
      <c r="AG211" s="7"/>
      <c r="AH211" s="7"/>
      <c r="AI211" s="7"/>
      <c r="AJ211" s="7">
        <f t="shared" si="535"/>
        <v>0</v>
      </c>
      <c r="AL211" s="7"/>
      <c r="AM211" s="7"/>
      <c r="AN211" s="7"/>
      <c r="AO211" s="7"/>
      <c r="AP211" s="7">
        <f t="shared" si="536"/>
        <v>0</v>
      </c>
      <c r="AR211" s="7"/>
      <c r="AS211" s="7"/>
      <c r="AT211" s="7"/>
      <c r="AU211" s="7"/>
      <c r="AV211" s="7">
        <f t="shared" si="537"/>
        <v>0</v>
      </c>
      <c r="AX211" s="7">
        <f t="shared" si="540"/>
        <v>2495000</v>
      </c>
      <c r="AY211" s="7">
        <f t="shared" si="538"/>
        <v>0</v>
      </c>
      <c r="AZ211" s="7">
        <f t="shared" si="538"/>
        <v>0</v>
      </c>
      <c r="BA211" s="7">
        <f t="shared" si="538"/>
        <v>0</v>
      </c>
      <c r="BB211" s="7">
        <f t="shared" si="539"/>
        <v>2495000</v>
      </c>
    </row>
    <row r="212" spans="1:54" hidden="1" x14ac:dyDescent="0.25">
      <c r="A212" s="210"/>
      <c r="B212" s="7"/>
      <c r="C212" s="7"/>
      <c r="D212" s="7"/>
      <c r="E212" s="7"/>
      <c r="F212" s="7">
        <f t="shared" si="530"/>
        <v>0</v>
      </c>
      <c r="H212" s="7"/>
      <c r="I212" s="7"/>
      <c r="J212" s="7"/>
      <c r="K212" s="7"/>
      <c r="L212" s="7">
        <f t="shared" si="531"/>
        <v>0</v>
      </c>
      <c r="N212" s="7"/>
      <c r="O212" s="7"/>
      <c r="P212" s="7"/>
      <c r="Q212" s="7"/>
      <c r="R212" s="7">
        <f t="shared" si="532"/>
        <v>0</v>
      </c>
      <c r="T212" s="7"/>
      <c r="U212" s="7"/>
      <c r="V212" s="7"/>
      <c r="W212" s="7"/>
      <c r="X212" s="7">
        <f t="shared" si="533"/>
        <v>0</v>
      </c>
      <c r="Z212" s="7"/>
      <c r="AA212" s="7"/>
      <c r="AB212" s="7"/>
      <c r="AC212" s="7"/>
      <c r="AD212" s="7">
        <f t="shared" si="534"/>
        <v>0</v>
      </c>
      <c r="AF212" s="15">
        <v>0</v>
      </c>
      <c r="AG212" s="7"/>
      <c r="AH212" s="7"/>
      <c r="AI212" s="7"/>
      <c r="AJ212" s="7">
        <f t="shared" si="535"/>
        <v>0</v>
      </c>
      <c r="AL212" s="7"/>
      <c r="AM212" s="7"/>
      <c r="AN212" s="7"/>
      <c r="AO212" s="7"/>
      <c r="AP212" s="7">
        <f t="shared" si="536"/>
        <v>0</v>
      </c>
      <c r="AR212" s="7"/>
      <c r="AS212" s="7"/>
      <c r="AT212" s="7"/>
      <c r="AU212" s="7"/>
      <c r="AV212" s="7">
        <f t="shared" si="537"/>
        <v>0</v>
      </c>
      <c r="AX212" s="7">
        <f t="shared" si="540"/>
        <v>0</v>
      </c>
      <c r="AY212" s="7">
        <f t="shared" si="538"/>
        <v>0</v>
      </c>
      <c r="AZ212" s="7">
        <f t="shared" si="538"/>
        <v>0</v>
      </c>
      <c r="BA212" s="7">
        <f t="shared" si="538"/>
        <v>0</v>
      </c>
      <c r="BB212" s="7">
        <f t="shared" si="539"/>
        <v>0</v>
      </c>
    </row>
    <row r="213" spans="1:54" hidden="1" x14ac:dyDescent="0.25">
      <c r="A213" s="106"/>
      <c r="B213" s="7"/>
      <c r="C213" s="7"/>
      <c r="D213" s="7"/>
      <c r="E213" s="7"/>
      <c r="F213" s="7">
        <f t="shared" si="530"/>
        <v>0</v>
      </c>
      <c r="H213" s="7"/>
      <c r="I213" s="7"/>
      <c r="J213" s="7"/>
      <c r="K213" s="7"/>
      <c r="L213" s="7">
        <f t="shared" si="531"/>
        <v>0</v>
      </c>
      <c r="N213" s="7"/>
      <c r="O213" s="7"/>
      <c r="P213" s="7"/>
      <c r="Q213" s="7"/>
      <c r="R213" s="7">
        <f t="shared" si="532"/>
        <v>0</v>
      </c>
      <c r="T213" s="7"/>
      <c r="U213" s="7"/>
      <c r="V213" s="7"/>
      <c r="W213" s="7"/>
      <c r="X213" s="7">
        <f t="shared" si="533"/>
        <v>0</v>
      </c>
      <c r="Z213" s="7"/>
      <c r="AA213" s="7"/>
      <c r="AB213" s="7"/>
      <c r="AC213" s="7"/>
      <c r="AD213" s="7">
        <f t="shared" si="534"/>
        <v>0</v>
      </c>
      <c r="AF213" s="15">
        <v>0</v>
      </c>
      <c r="AG213" s="7"/>
      <c r="AH213" s="7"/>
      <c r="AI213" s="7"/>
      <c r="AJ213" s="7">
        <f t="shared" si="535"/>
        <v>0</v>
      </c>
      <c r="AL213" s="7"/>
      <c r="AM213" s="7"/>
      <c r="AN213" s="7"/>
      <c r="AO213" s="7"/>
      <c r="AP213" s="7">
        <f t="shared" si="536"/>
        <v>0</v>
      </c>
      <c r="AR213" s="7"/>
      <c r="AS213" s="7"/>
      <c r="AT213" s="7"/>
      <c r="AU213" s="7"/>
      <c r="AV213" s="7">
        <f t="shared" si="537"/>
        <v>0</v>
      </c>
      <c r="AX213" s="7">
        <f t="shared" si="540"/>
        <v>0</v>
      </c>
      <c r="AY213" s="7">
        <f t="shared" si="538"/>
        <v>0</v>
      </c>
      <c r="AZ213" s="7">
        <f t="shared" si="538"/>
        <v>0</v>
      </c>
      <c r="BA213" s="7">
        <f t="shared" si="538"/>
        <v>0</v>
      </c>
      <c r="BB213" s="7">
        <f t="shared" si="539"/>
        <v>0</v>
      </c>
    </row>
    <row r="214" spans="1:54" hidden="1" x14ac:dyDescent="0.25">
      <c r="A214" s="106"/>
      <c r="B214" s="7"/>
      <c r="C214" s="7"/>
      <c r="D214" s="7"/>
      <c r="E214" s="7"/>
      <c r="F214" s="7">
        <f t="shared" si="530"/>
        <v>0</v>
      </c>
      <c r="H214" s="7"/>
      <c r="I214" s="7"/>
      <c r="J214" s="7"/>
      <c r="K214" s="7"/>
      <c r="L214" s="7">
        <f t="shared" si="531"/>
        <v>0</v>
      </c>
      <c r="N214" s="7"/>
      <c r="O214" s="7"/>
      <c r="P214" s="7"/>
      <c r="Q214" s="7"/>
      <c r="R214" s="7">
        <f t="shared" si="532"/>
        <v>0</v>
      </c>
      <c r="T214" s="7"/>
      <c r="U214" s="7"/>
      <c r="V214" s="7"/>
      <c r="W214" s="7"/>
      <c r="X214" s="7">
        <f t="shared" si="533"/>
        <v>0</v>
      </c>
      <c r="Z214" s="7"/>
      <c r="AA214" s="7"/>
      <c r="AB214" s="7"/>
      <c r="AC214" s="7"/>
      <c r="AD214" s="7">
        <f t="shared" si="534"/>
        <v>0</v>
      </c>
      <c r="AF214" s="15">
        <v>0</v>
      </c>
      <c r="AG214" s="7"/>
      <c r="AH214" s="7"/>
      <c r="AI214" s="7"/>
      <c r="AJ214" s="7">
        <f t="shared" si="535"/>
        <v>0</v>
      </c>
      <c r="AL214" s="7"/>
      <c r="AM214" s="7"/>
      <c r="AN214" s="7"/>
      <c r="AO214" s="7"/>
      <c r="AP214" s="7">
        <f t="shared" si="536"/>
        <v>0</v>
      </c>
      <c r="AR214" s="7"/>
      <c r="AS214" s="7"/>
      <c r="AT214" s="7"/>
      <c r="AU214" s="7"/>
      <c r="AV214" s="7">
        <f t="shared" si="537"/>
        <v>0</v>
      </c>
      <c r="AX214" s="7">
        <f t="shared" si="540"/>
        <v>0</v>
      </c>
      <c r="AY214" s="7">
        <f t="shared" si="538"/>
        <v>0</v>
      </c>
      <c r="AZ214" s="7">
        <f t="shared" si="538"/>
        <v>0</v>
      </c>
      <c r="BA214" s="7">
        <f t="shared" si="538"/>
        <v>0</v>
      </c>
      <c r="BB214" s="7">
        <f t="shared" si="539"/>
        <v>0</v>
      </c>
    </row>
    <row r="215" spans="1:54" hidden="1" x14ac:dyDescent="0.25">
      <c r="A215" s="106"/>
      <c r="B215" s="7"/>
      <c r="C215" s="7"/>
      <c r="D215" s="7"/>
      <c r="E215" s="7"/>
      <c r="F215" s="7">
        <f t="shared" si="530"/>
        <v>0</v>
      </c>
      <c r="H215" s="7"/>
      <c r="I215" s="7"/>
      <c r="J215" s="7"/>
      <c r="K215" s="7"/>
      <c r="L215" s="7">
        <f t="shared" si="531"/>
        <v>0</v>
      </c>
      <c r="N215" s="7"/>
      <c r="O215" s="7"/>
      <c r="P215" s="7"/>
      <c r="Q215" s="7"/>
      <c r="R215" s="7">
        <f t="shared" si="532"/>
        <v>0</v>
      </c>
      <c r="T215" s="7"/>
      <c r="U215" s="7"/>
      <c r="V215" s="7"/>
      <c r="W215" s="7"/>
      <c r="X215" s="7">
        <f t="shared" si="533"/>
        <v>0</v>
      </c>
      <c r="Z215" s="7"/>
      <c r="AA215" s="7"/>
      <c r="AB215" s="7"/>
      <c r="AC215" s="7"/>
      <c r="AD215" s="7">
        <f t="shared" si="534"/>
        <v>0</v>
      </c>
      <c r="AF215" s="15">
        <v>0</v>
      </c>
      <c r="AG215" s="7"/>
      <c r="AH215" s="7"/>
      <c r="AI215" s="7"/>
      <c r="AJ215" s="7">
        <f t="shared" si="535"/>
        <v>0</v>
      </c>
      <c r="AL215" s="7"/>
      <c r="AM215" s="7"/>
      <c r="AN215" s="7"/>
      <c r="AO215" s="7"/>
      <c r="AP215" s="7">
        <f t="shared" si="536"/>
        <v>0</v>
      </c>
      <c r="AR215" s="7"/>
      <c r="AS215" s="7"/>
      <c r="AT215" s="7"/>
      <c r="AU215" s="7"/>
      <c r="AV215" s="7">
        <f t="shared" si="537"/>
        <v>0</v>
      </c>
      <c r="AX215" s="7">
        <f t="shared" si="540"/>
        <v>0</v>
      </c>
      <c r="AY215" s="7">
        <f t="shared" si="538"/>
        <v>0</v>
      </c>
      <c r="AZ215" s="7">
        <f t="shared" si="538"/>
        <v>0</v>
      </c>
      <c r="BA215" s="7">
        <f t="shared" si="538"/>
        <v>0</v>
      </c>
      <c r="BB215" s="7">
        <f t="shared" si="539"/>
        <v>0</v>
      </c>
    </row>
    <row r="216" spans="1:54" x14ac:dyDescent="0.25">
      <c r="A216" s="106" t="s">
        <v>180</v>
      </c>
      <c r="B216" s="7"/>
      <c r="C216" s="7"/>
      <c r="D216" s="7"/>
      <c r="E216" s="7"/>
      <c r="F216" s="7">
        <f t="shared" si="530"/>
        <v>0</v>
      </c>
      <c r="H216" s="7"/>
      <c r="I216" s="7"/>
      <c r="J216" s="7"/>
      <c r="K216" s="7"/>
      <c r="L216" s="7">
        <f t="shared" si="531"/>
        <v>0</v>
      </c>
      <c r="N216" s="7"/>
      <c r="O216" s="7"/>
      <c r="P216" s="7"/>
      <c r="Q216" s="7"/>
      <c r="R216" s="7">
        <f t="shared" si="532"/>
        <v>0</v>
      </c>
      <c r="T216" s="7"/>
      <c r="U216" s="7"/>
      <c r="V216" s="7"/>
      <c r="W216" s="7"/>
      <c r="X216" s="7">
        <f t="shared" si="533"/>
        <v>0</v>
      </c>
      <c r="Z216" s="7">
        <v>3130000</v>
      </c>
      <c r="AA216" s="7"/>
      <c r="AB216" s="7"/>
      <c r="AC216" s="7"/>
      <c r="AD216" s="7">
        <f t="shared" si="534"/>
        <v>3130000</v>
      </c>
      <c r="AF216" s="15">
        <v>0</v>
      </c>
      <c r="AG216" s="7"/>
      <c r="AH216" s="7"/>
      <c r="AI216" s="7"/>
      <c r="AJ216" s="7">
        <f t="shared" si="535"/>
        <v>0</v>
      </c>
      <c r="AL216" s="7">
        <v>0</v>
      </c>
      <c r="AM216" s="7"/>
      <c r="AN216" s="7"/>
      <c r="AO216" s="7"/>
      <c r="AP216" s="7">
        <f t="shared" si="536"/>
        <v>0</v>
      </c>
      <c r="AR216" s="7"/>
      <c r="AS216" s="7"/>
      <c r="AT216" s="7"/>
      <c r="AU216" s="7"/>
      <c r="AV216" s="7">
        <f t="shared" si="537"/>
        <v>0</v>
      </c>
      <c r="AX216" s="7">
        <f t="shared" si="540"/>
        <v>3130000</v>
      </c>
      <c r="AY216" s="7">
        <f t="shared" si="538"/>
        <v>0</v>
      </c>
      <c r="AZ216" s="7">
        <f t="shared" si="538"/>
        <v>0</v>
      </c>
      <c r="BA216" s="7">
        <f t="shared" si="538"/>
        <v>0</v>
      </c>
      <c r="BB216" s="7">
        <f t="shared" si="539"/>
        <v>3130000</v>
      </c>
    </row>
    <row r="217" spans="1:54" x14ac:dyDescent="0.25">
      <c r="A217" s="107" t="s">
        <v>181</v>
      </c>
      <c r="B217" s="7">
        <v>30000</v>
      </c>
      <c r="C217" s="7">
        <v>0</v>
      </c>
      <c r="D217" s="7"/>
      <c r="E217" s="7"/>
      <c r="F217" s="7">
        <f t="shared" si="530"/>
        <v>30000</v>
      </c>
      <c r="H217" s="7"/>
      <c r="I217" s="7">
        <v>0</v>
      </c>
      <c r="J217" s="7"/>
      <c r="K217" s="7"/>
      <c r="L217" s="7">
        <f t="shared" si="531"/>
        <v>0</v>
      </c>
      <c r="N217" s="7"/>
      <c r="O217" s="7">
        <v>0</v>
      </c>
      <c r="P217" s="7"/>
      <c r="Q217" s="7"/>
      <c r="R217" s="7">
        <f t="shared" si="532"/>
        <v>0</v>
      </c>
      <c r="T217" s="7"/>
      <c r="U217" s="7">
        <v>0</v>
      </c>
      <c r="V217" s="7"/>
      <c r="W217" s="7"/>
      <c r="X217" s="7">
        <f t="shared" si="533"/>
        <v>0</v>
      </c>
      <c r="Z217" s="7"/>
      <c r="AA217" s="7">
        <v>0</v>
      </c>
      <c r="AB217" s="7"/>
      <c r="AC217" s="7"/>
      <c r="AD217" s="7">
        <f t="shared" si="534"/>
        <v>0</v>
      </c>
      <c r="AF217" s="15">
        <v>0</v>
      </c>
      <c r="AG217" s="7">
        <v>0</v>
      </c>
      <c r="AH217" s="7"/>
      <c r="AI217" s="7"/>
      <c r="AJ217" s="7">
        <f t="shared" si="535"/>
        <v>0</v>
      </c>
      <c r="AL217" s="7"/>
      <c r="AM217" s="7">
        <v>0</v>
      </c>
      <c r="AN217" s="7"/>
      <c r="AO217" s="7"/>
      <c r="AP217" s="7">
        <f t="shared" si="536"/>
        <v>0</v>
      </c>
      <c r="AR217" s="7">
        <v>0</v>
      </c>
      <c r="AS217" s="7">
        <v>0</v>
      </c>
      <c r="AT217" s="7"/>
      <c r="AU217" s="7"/>
      <c r="AV217" s="7">
        <f t="shared" si="537"/>
        <v>0</v>
      </c>
      <c r="AX217" s="7">
        <f t="shared" si="540"/>
        <v>30000</v>
      </c>
      <c r="AY217" s="7">
        <f t="shared" si="538"/>
        <v>0</v>
      </c>
      <c r="AZ217" s="7">
        <f t="shared" si="538"/>
        <v>0</v>
      </c>
      <c r="BA217" s="7">
        <f t="shared" si="538"/>
        <v>0</v>
      </c>
      <c r="BB217" s="7">
        <f t="shared" si="539"/>
        <v>30000</v>
      </c>
    </row>
    <row r="218" spans="1:54" x14ac:dyDescent="0.25">
      <c r="A218" s="146"/>
      <c r="B218" s="7"/>
      <c r="C218" s="7"/>
      <c r="D218" s="7"/>
      <c r="E218" s="7"/>
      <c r="F218" s="7">
        <f t="shared" si="530"/>
        <v>0</v>
      </c>
      <c r="H218" s="7"/>
      <c r="I218" s="7"/>
      <c r="J218" s="7"/>
      <c r="K218" s="7"/>
      <c r="L218" s="7">
        <f t="shared" si="531"/>
        <v>0</v>
      </c>
      <c r="N218" s="7"/>
      <c r="O218" s="7"/>
      <c r="P218" s="7"/>
      <c r="Q218" s="7"/>
      <c r="R218" s="7">
        <f t="shared" si="532"/>
        <v>0</v>
      </c>
      <c r="T218" s="7"/>
      <c r="U218" s="7"/>
      <c r="V218" s="7"/>
      <c r="W218" s="7"/>
      <c r="X218" s="7">
        <f t="shared" si="533"/>
        <v>0</v>
      </c>
      <c r="Z218" s="7"/>
      <c r="AA218" s="7"/>
      <c r="AB218" s="7"/>
      <c r="AC218" s="7"/>
      <c r="AD218" s="7">
        <f t="shared" si="534"/>
        <v>0</v>
      </c>
      <c r="AF218" s="7"/>
      <c r="AG218" s="7"/>
      <c r="AH218" s="7"/>
      <c r="AI218" s="7"/>
      <c r="AJ218" s="7">
        <f t="shared" si="535"/>
        <v>0</v>
      </c>
      <c r="AL218" s="7"/>
      <c r="AM218" s="7"/>
      <c r="AN218" s="7"/>
      <c r="AO218" s="7"/>
      <c r="AP218" s="7">
        <f t="shared" si="536"/>
        <v>0</v>
      </c>
      <c r="AR218" s="7"/>
      <c r="AS218" s="7"/>
      <c r="AT218" s="7"/>
      <c r="AU218" s="7"/>
      <c r="AV218" s="7">
        <f t="shared" si="537"/>
        <v>0</v>
      </c>
      <c r="AX218" s="7">
        <f t="shared" ref="AX218:AX219" si="541">B218+H218+N218+T218+Z218+AL218+AR218</f>
        <v>0</v>
      </c>
      <c r="AY218" s="7">
        <f t="shared" ref="AY218:BA219" si="542">C218+I218+O218+U218+AA218+AM218+AS218</f>
        <v>0</v>
      </c>
      <c r="AZ218" s="7">
        <f t="shared" si="542"/>
        <v>0</v>
      </c>
      <c r="BA218" s="7">
        <f t="shared" si="542"/>
        <v>0</v>
      </c>
      <c r="BB218" s="7">
        <f t="shared" si="539"/>
        <v>0</v>
      </c>
    </row>
    <row r="219" spans="1:54" x14ac:dyDescent="0.25">
      <c r="A219" s="147"/>
      <c r="B219" s="7"/>
      <c r="C219" s="7"/>
      <c r="D219" s="7"/>
      <c r="E219" s="7"/>
      <c r="F219" s="7"/>
      <c r="H219" s="7"/>
      <c r="I219" s="7"/>
      <c r="J219" s="7"/>
      <c r="K219" s="7"/>
      <c r="L219" s="7"/>
      <c r="N219" s="7"/>
      <c r="O219" s="7"/>
      <c r="P219" s="7"/>
      <c r="Q219" s="7"/>
      <c r="R219" s="7"/>
      <c r="T219" s="7"/>
      <c r="U219" s="7"/>
      <c r="V219" s="7"/>
      <c r="W219" s="7"/>
      <c r="X219" s="7"/>
      <c r="Z219" s="7"/>
      <c r="AA219" s="7"/>
      <c r="AB219" s="7"/>
      <c r="AC219" s="7"/>
      <c r="AD219" s="7"/>
      <c r="AF219" s="7"/>
      <c r="AG219" s="7"/>
      <c r="AH219" s="7"/>
      <c r="AI219" s="7"/>
      <c r="AJ219" s="7"/>
      <c r="AL219" s="7"/>
      <c r="AM219" s="7"/>
      <c r="AN219" s="7"/>
      <c r="AO219" s="7"/>
      <c r="AP219" s="7"/>
      <c r="AR219" s="7"/>
      <c r="AS219" s="7"/>
      <c r="AT219" s="7"/>
      <c r="AU219" s="7"/>
      <c r="AV219" s="7"/>
      <c r="AX219" s="7">
        <f t="shared" si="541"/>
        <v>0</v>
      </c>
      <c r="AY219" s="7">
        <f t="shared" si="542"/>
        <v>0</v>
      </c>
      <c r="AZ219" s="7">
        <f t="shared" si="542"/>
        <v>0</v>
      </c>
      <c r="BA219" s="7">
        <f t="shared" si="542"/>
        <v>0</v>
      </c>
      <c r="BB219" s="7"/>
    </row>
    <row r="220" spans="1:54" ht="15.75" thickBot="1" x14ac:dyDescent="0.3">
      <c r="A220" s="144" t="s">
        <v>183</v>
      </c>
      <c r="B220" s="145">
        <f>B86-B207-B209-B210-B216-B217</f>
        <v>692774.48163526878</v>
      </c>
      <c r="C220" s="145">
        <f>C86-C207-C209-C210-C216-C217</f>
        <v>-79500.081509718701</v>
      </c>
      <c r="D220" s="145">
        <f>D86-D207-D209-D210-D216-D217</f>
        <v>-480421.52306092437</v>
      </c>
      <c r="E220" s="145">
        <f>E86-E207-E209-E210-E216-E217</f>
        <v>-9749.4599999999627</v>
      </c>
      <c r="F220" s="145">
        <f>F86-F207-F209-F210-F216-F217-F211</f>
        <v>123103.4170646267</v>
      </c>
      <c r="H220" s="145">
        <f>H86-H207-H209-H210-H216-H217</f>
        <v>4532144.2907203157</v>
      </c>
      <c r="I220" s="145">
        <f>I86-I207-I209-I210-I216-I217</f>
        <v>21042.191396181297</v>
      </c>
      <c r="J220" s="145">
        <f>J86-J207-J209-J210-J216-J217</f>
        <v>-1176385.9237366309</v>
      </c>
      <c r="K220" s="145">
        <f>K86-K207-K209-K210-K216-K217</f>
        <v>-27920.400000000023</v>
      </c>
      <c r="L220" s="145">
        <f>L86-L207-L209-L210-L216-L217-L211</f>
        <v>853880.15837986395</v>
      </c>
      <c r="N220" s="145">
        <f>N86-N207-N209-N210-N216-N217</f>
        <v>1087807.0310741896</v>
      </c>
      <c r="O220" s="145">
        <f>O86-O207-O209-O210-O216-O217</f>
        <v>-153565.30347289995</v>
      </c>
      <c r="P220" s="145">
        <f>P86-P207-P209-P210-P216-P217</f>
        <v>-491011.4499999999</v>
      </c>
      <c r="Q220" s="145">
        <f>Q86-Q207-Q209-Q210-Q216-Q217</f>
        <v>-10749.600000000035</v>
      </c>
      <c r="R220" s="145">
        <f>R86-R207-R209-R210-R216-R217-R211</f>
        <v>432480.677601289</v>
      </c>
      <c r="T220" s="145">
        <f>T86-T207-T209-T210-T216-T217</f>
        <v>1152301.9290746897</v>
      </c>
      <c r="U220" s="145">
        <f>U86-U207-U209-U210-U216-U217</f>
        <v>-128812.39234778984</v>
      </c>
      <c r="V220" s="145">
        <f>V86-V207-V209-V210-V216-V217</f>
        <v>-510710.72522623022</v>
      </c>
      <c r="W220" s="145">
        <f>W86-W207-W209-W210-W216-W217</f>
        <v>-19281.299999999988</v>
      </c>
      <c r="X220" s="145">
        <f>X86-X207-X209-X210-X216-X217-X211</f>
        <v>493497.51150066964</v>
      </c>
      <c r="Z220" s="145">
        <f>Z86-Z207-Z209-Z210-Z216-Z217</f>
        <v>1989175.3615815956</v>
      </c>
      <c r="AA220" s="145">
        <f>AA86-AA207-AA209-AA210-AA216-AA217</f>
        <v>-25751.191746411496</v>
      </c>
      <c r="AB220" s="145">
        <f>AB86-AB207-AB209-AB210-AB216-AB217</f>
        <v>-1129562.1012138182</v>
      </c>
      <c r="AC220" s="145">
        <f>AC86-AC207-AC209-AC210-AC216-AC217</f>
        <v>-24165.479999999923</v>
      </c>
      <c r="AD220" s="145">
        <f>AD86-AD207-AD209-AD210-AD216-AD217-AD211</f>
        <v>809696.58862136863</v>
      </c>
      <c r="AF220" s="145">
        <f>AF86-AF207-AF209-AF210-AF216-AF217</f>
        <v>388919.77688749973</v>
      </c>
      <c r="AG220" s="145">
        <f>AG86-AG207-AG209-AG210-AG216-AG217</f>
        <v>-96162.5</v>
      </c>
      <c r="AH220" s="145">
        <f>AH86-AH207-AH209-AH210-AH216-AH217</f>
        <v>-304008.75</v>
      </c>
      <c r="AI220" s="145">
        <f>AI86-AI207-AI209-AI210-AI216-AI217</f>
        <v>16654.299999999988</v>
      </c>
      <c r="AJ220" s="145">
        <f>AJ86-AJ207-AJ209-AJ210-AJ216-AJ217-AJ211</f>
        <v>5402.8268875000067</v>
      </c>
      <c r="AL220" s="145">
        <f>AL86-AL207-AL209-AL210-AL216-AL217</f>
        <v>-224135.87479999999</v>
      </c>
      <c r="AM220" s="145">
        <f>AM86-AM207-AM209-AM210-AM216-AM217</f>
        <v>-39518.721624999991</v>
      </c>
      <c r="AN220" s="145">
        <f>AN86-AN207-AN209-AN210-AN216-AN217</f>
        <v>0</v>
      </c>
      <c r="AO220" s="145">
        <f>AO86-AO207-AO209-AO210-AO216-AO217</f>
        <v>0</v>
      </c>
      <c r="AP220" s="145">
        <f>AP86-AP207-AP209-AP210-AP216-AP217-AP211</f>
        <v>-263654.596425</v>
      </c>
      <c r="AR220" s="145">
        <f>AR86-AR207-AR209-AR210-AR216-AR217</f>
        <v>193726.875</v>
      </c>
      <c r="AS220" s="145">
        <f>AS86-AS207-AS209-AS210-AS216-AS217</f>
        <v>1915</v>
      </c>
      <c r="AT220" s="145">
        <f>AT86-AT207-AT209-AT210-AT216-AT217</f>
        <v>-31181.399999999994</v>
      </c>
      <c r="AU220" s="145">
        <f>AU86-AU207-AU209-AU210-AU216-AU217</f>
        <v>-1075.9999999999927</v>
      </c>
      <c r="AV220" s="145">
        <f>AV86-AV207-AV209-AV210-AV216-AV217</f>
        <v>163384.47500000009</v>
      </c>
      <c r="AX220" s="145">
        <f>AX86-AX207-AX209-AX210-AX216-AX217</f>
        <v>9812713.8711735532</v>
      </c>
      <c r="AY220" s="145">
        <f>AY86-AY207-AY209-AY210-AY216-AY217</f>
        <v>-500352.99930563872</v>
      </c>
      <c r="AZ220" s="145">
        <f>AZ86-AZ207-AZ209-AZ210-AZ216-AZ217</f>
        <v>-4123281.8732376033</v>
      </c>
      <c r="BA220" s="145">
        <f>BA86-BA207-BA209-BA210-BA216-BA217</f>
        <v>-76287.94000000041</v>
      </c>
      <c r="BB220" s="145">
        <f>BB86-BB207-BB209-BB210-BB216-BB217-BB211</f>
        <v>2617791.05863031</v>
      </c>
    </row>
    <row r="221" spans="1:54" ht="15.75" thickBot="1" x14ac:dyDescent="0.3">
      <c r="A221" s="108"/>
      <c r="B221" s="110">
        <f>B220/(B86-B76)</f>
        <v>9.9980309046903373E-2</v>
      </c>
      <c r="C221" s="110">
        <f>C220/(C86-C76)</f>
        <v>-0.64469016330345419</v>
      </c>
      <c r="D221" s="110">
        <f>D220/(D86-D76)</f>
        <v>-1.3703497761484917</v>
      </c>
      <c r="E221" s="110">
        <f>E220/(E86)</f>
        <v>-4.346259602422254E-2</v>
      </c>
      <c r="F221" s="110">
        <f>F220/(F86-F76)</f>
        <v>1.6628299464260962E-2</v>
      </c>
      <c r="H221" s="110">
        <f>H220/(H86-H76)</f>
        <v>0.2549494673793582</v>
      </c>
      <c r="I221" s="110">
        <f>I220/(I86-I76)</f>
        <v>8.8605192510719549E-2</v>
      </c>
      <c r="J221" s="110">
        <f>J220/(J86-J76)</f>
        <v>-1.1210479257318036</v>
      </c>
      <c r="K221" s="110">
        <f>K220/(K86)</f>
        <v>-4.6516323796957193E-2</v>
      </c>
      <c r="L221" s="110">
        <f>L220/(L86-L76)</f>
        <v>4.4789711932553454E-2</v>
      </c>
      <c r="N221" s="110">
        <f>N220/(N86-N76)</f>
        <v>0.14463645788083185</v>
      </c>
      <c r="O221" s="110">
        <f>O220/(O86-O76)</f>
        <v>-1.2023685079972435</v>
      </c>
      <c r="P221" s="110">
        <f>P220/(P86-P76)</f>
        <v>-1.9083287083675342</v>
      </c>
      <c r="Q221" s="110">
        <f>Q220/(Q86)</f>
        <v>-5.591062289352159E-2</v>
      </c>
      <c r="R221" s="110">
        <f>R220/(R86-R76)</f>
        <v>5.4701236913400834E-2</v>
      </c>
      <c r="T221" s="110">
        <f>T220/(T86-T76)</f>
        <v>0.12811685302513204</v>
      </c>
      <c r="U221" s="110">
        <f>U220/(U86-U76)</f>
        <v>-1.1426205372436293</v>
      </c>
      <c r="V221" s="110">
        <f>V220/(V86-V76)</f>
        <v>-1.3412445947430016</v>
      </c>
      <c r="W221" s="110">
        <f>W220/(W86)</f>
        <v>-0.1679299758312103</v>
      </c>
      <c r="X221" s="110">
        <f>X220/(X86-X76)</f>
        <v>5.2014693484380758E-2</v>
      </c>
      <c r="Z221" s="110">
        <f>Z220/(Z86-Z76)</f>
        <v>0.11924967353865058</v>
      </c>
      <c r="AA221" s="110">
        <f>AA220/(AA86-AA76)</f>
        <v>-0.15739886679464396</v>
      </c>
      <c r="AB221" s="110">
        <f>AB220/(AB86-AB76)</f>
        <v>-1.7602049317753208</v>
      </c>
      <c r="AC221" s="110">
        <f>AC220/(AC86)</f>
        <v>-7.0807372610792868E-2</v>
      </c>
      <c r="AD221" s="110">
        <f>AD220/(AD86-AD76)</f>
        <v>4.6303916477597108E-2</v>
      </c>
      <c r="AF221" s="110">
        <f>AF220/(AF86-AF76)</f>
        <v>8.1448198999488075E-2</v>
      </c>
      <c r="AG221" s="110">
        <f>AG220/(AG86-AG76)</f>
        <v>-400.67708333333331</v>
      </c>
      <c r="AH221" s="110">
        <f>AH220/(AH86-AH76)</f>
        <v>-7.8030993326488707</v>
      </c>
      <c r="AI221" s="110">
        <f>AI220/(AI86)</f>
        <v>5.9718516924842181E-2</v>
      </c>
      <c r="AJ221" s="110">
        <f>AJ220/(AJ86-AJ76)</f>
        <v>1.1221997035887549E-3</v>
      </c>
      <c r="AL221" s="110">
        <f>AL220/(AL86-AL76)</f>
        <v>-82.402895147058814</v>
      </c>
      <c r="AM221" s="110">
        <f>AM220/(AM86-AM76)</f>
        <v>-329.32268020833328</v>
      </c>
      <c r="AN221" s="110" t="e">
        <f>AN220/(AN86-AN76)</f>
        <v>#DIV/0!</v>
      </c>
      <c r="AO221" s="110" t="e">
        <f>AO220/(AO86)</f>
        <v>#DIV/0!</v>
      </c>
      <c r="AP221" s="110">
        <f>AP220/(AP86-AP76)</f>
        <v>-92.836125501760563</v>
      </c>
      <c r="AR221" s="110">
        <f>AR220/(AR86-AR76)</f>
        <v>0.15765661748549387</v>
      </c>
      <c r="AS221" s="110">
        <f>AS220/(AS86-AS76)</f>
        <v>0.19865145228215766</v>
      </c>
      <c r="AT221" s="110">
        <f>AT220/(AT86-AT76)</f>
        <v>-0.89756476683937803</v>
      </c>
      <c r="AU221" s="110">
        <f>AU220/(AU86)</f>
        <v>-2.7471405228757979E-2</v>
      </c>
      <c r="AV221" s="110">
        <f>AV220/(AV86-AV76)</f>
        <v>0.12832887595529277</v>
      </c>
      <c r="AX221" s="110">
        <f>AX220/(AX86-AX76)</f>
        <v>0.15354390095539444</v>
      </c>
      <c r="AY221" s="110">
        <f>AY220/(AY86-AY76)</f>
        <v>-0.64573705394753733</v>
      </c>
      <c r="AZ221" s="110">
        <f>AZ220/(AZ86-AZ76)</f>
        <v>-1.4975015808689787</v>
      </c>
      <c r="BA221" s="110">
        <f>BA220/(BA86)</f>
        <v>-4.2596099400729684E-2</v>
      </c>
      <c r="BB221" s="110">
        <f>BB220/(BB86-BB76)</f>
        <v>3.8817506623440877E-2</v>
      </c>
    </row>
    <row r="222" spans="1:54" x14ac:dyDescent="0.25">
      <c r="B222" s="111"/>
      <c r="C222" s="111"/>
      <c r="D222" s="111"/>
      <c r="E222" s="111"/>
      <c r="F222" s="111"/>
      <c r="H222" s="111"/>
      <c r="I222" s="111"/>
      <c r="J222" s="111"/>
      <c r="K222" s="111"/>
      <c r="L222" s="111"/>
      <c r="N222" s="111"/>
      <c r="O222" s="111"/>
      <c r="P222" s="111"/>
      <c r="Q222" s="111"/>
      <c r="R222" s="111"/>
      <c r="T222" s="111"/>
      <c r="U222" s="111"/>
      <c r="V222" s="111"/>
      <c r="W222" s="111"/>
      <c r="X222" s="111"/>
      <c r="Z222" s="111"/>
      <c r="AA222" s="111"/>
      <c r="AB222" s="111"/>
      <c r="AC222" s="111"/>
      <c r="AD222" s="111"/>
      <c r="AF222" s="111"/>
      <c r="AG222" s="111"/>
      <c r="AH222" s="111"/>
      <c r="AI222" s="111"/>
      <c r="AJ222" s="111"/>
      <c r="AL222" s="111"/>
      <c r="AM222" s="111"/>
      <c r="AN222" s="111"/>
      <c r="AO222" s="111"/>
      <c r="AP222" s="111"/>
      <c r="AR222" s="111"/>
      <c r="AS222" s="111"/>
      <c r="AT222" s="111"/>
      <c r="AU222" s="111"/>
      <c r="AV222" s="111"/>
      <c r="AX222" s="111"/>
      <c r="AY222" s="111"/>
      <c r="AZ222" s="111"/>
      <c r="BA222" s="111"/>
      <c r="BB222" s="111"/>
    </row>
    <row r="223" spans="1:54" x14ac:dyDescent="0.25">
      <c r="A223" s="112" t="str">
        <f>A1</f>
        <v xml:space="preserve"> FY 24</v>
      </c>
      <c r="B223" s="112" t="str">
        <f>B1</f>
        <v>Operating</v>
      </c>
      <c r="C223" s="112" t="str">
        <f>C1</f>
        <v>Weights</v>
      </c>
      <c r="D223" s="112" t="str">
        <f>D1</f>
        <v>SPED</v>
      </c>
      <c r="E223" s="112" t="str">
        <f t="shared" ref="E223:F223" si="543">E1</f>
        <v>NSLP</v>
      </c>
      <c r="F223" s="112" t="str">
        <f t="shared" si="543"/>
        <v>Horizon</v>
      </c>
      <c r="H223" s="112" t="str">
        <f>H1</f>
        <v>Operating</v>
      </c>
      <c r="I223" s="112" t="str">
        <f>I1</f>
        <v>Weights</v>
      </c>
      <c r="J223" s="112" t="str">
        <f>J1</f>
        <v>SPED</v>
      </c>
      <c r="K223" s="112" t="str">
        <f t="shared" ref="K223:L223" si="544">K1</f>
        <v>NSLP</v>
      </c>
      <c r="L223" s="112" t="str">
        <f t="shared" si="544"/>
        <v>Cadence</v>
      </c>
      <c r="N223" s="112" t="str">
        <f>N1</f>
        <v>Operating</v>
      </c>
      <c r="O223" s="112" t="str">
        <f>O1</f>
        <v>Weights</v>
      </c>
      <c r="P223" s="112" t="str">
        <f>P1</f>
        <v>SPED</v>
      </c>
      <c r="Q223" s="112" t="str">
        <f t="shared" ref="Q223:R223" si="545">Q1</f>
        <v>NSLP</v>
      </c>
      <c r="R223" s="112" t="str">
        <f t="shared" si="545"/>
        <v>St. Rose</v>
      </c>
      <c r="T223" s="112" t="str">
        <f>T1</f>
        <v>Operating</v>
      </c>
      <c r="U223" s="112" t="str">
        <f>U1</f>
        <v>Weights</v>
      </c>
      <c r="V223" s="112" t="str">
        <f>V1</f>
        <v>SPED</v>
      </c>
      <c r="W223" s="112" t="str">
        <f t="shared" ref="W223:X223" si="546">W1</f>
        <v>NSLP</v>
      </c>
      <c r="X223" s="112" t="str">
        <f t="shared" si="546"/>
        <v>Inspirada</v>
      </c>
      <c r="Z223" s="112" t="str">
        <f>Z1</f>
        <v>Operating</v>
      </c>
      <c r="AA223" s="112" t="str">
        <f>AA1</f>
        <v>Weights</v>
      </c>
      <c r="AB223" s="112" t="str">
        <f>AB1</f>
        <v>SPED</v>
      </c>
      <c r="AC223" s="112" t="str">
        <f t="shared" ref="AC223:AD223" si="547">AC1</f>
        <v>NSLP</v>
      </c>
      <c r="AD223" s="112" t="str">
        <f t="shared" si="547"/>
        <v>Sloan Canyon</v>
      </c>
      <c r="AF223" s="112" t="str">
        <f>AF1</f>
        <v>Operating</v>
      </c>
      <c r="AG223" s="112" t="str">
        <f>AG1</f>
        <v>Weights</v>
      </c>
      <c r="AH223" s="112" t="str">
        <f>AH1</f>
        <v>SPED</v>
      </c>
      <c r="AI223" s="112" t="str">
        <f t="shared" ref="AI223:AJ223" si="548">AI1</f>
        <v>NSLP</v>
      </c>
      <c r="AJ223" s="112" t="str">
        <f t="shared" si="548"/>
        <v>Springs</v>
      </c>
      <c r="AL223" s="112" t="str">
        <f>AL1</f>
        <v>Operating</v>
      </c>
      <c r="AM223" s="112" t="str">
        <f>AM1</f>
        <v>Weights</v>
      </c>
      <c r="AN223" s="112" t="str">
        <f>AN1</f>
        <v>SPED</v>
      </c>
      <c r="AO223" s="112" t="str">
        <f t="shared" ref="AO223:AP223" si="549">AO1</f>
        <v>NSLP</v>
      </c>
      <c r="AP223" s="112" t="str">
        <f t="shared" si="549"/>
        <v>System Wide</v>
      </c>
      <c r="AR223" s="112" t="str">
        <f>AR1</f>
        <v>Operating</v>
      </c>
      <c r="AS223" s="112" t="str">
        <f>AS1</f>
        <v>Weights</v>
      </c>
      <c r="AT223" s="112" t="str">
        <f>AT1</f>
        <v>SPED</v>
      </c>
      <c r="AU223" s="112" t="str">
        <f t="shared" ref="AU223:AV223" si="550">AU1</f>
        <v>NSLP</v>
      </c>
      <c r="AV223" s="112" t="str">
        <f t="shared" si="550"/>
        <v>Virtual</v>
      </c>
      <c r="AX223" s="112" t="str">
        <f>AX1</f>
        <v>Operating</v>
      </c>
      <c r="AY223" s="112" t="str">
        <f>AY1</f>
        <v>Weights</v>
      </c>
      <c r="AZ223" s="112" t="str">
        <f>AZ1</f>
        <v>SPED</v>
      </c>
      <c r="BA223" s="112" t="str">
        <f t="shared" ref="BA223:BB223" si="551">BA1</f>
        <v>NSLP</v>
      </c>
      <c r="BB223" s="112" t="str">
        <f t="shared" si="551"/>
        <v>Pinecrest System</v>
      </c>
    </row>
    <row r="224" spans="1:54" x14ac:dyDescent="0.25">
      <c r="B224" s="109"/>
      <c r="C224" s="109"/>
      <c r="D224" s="109"/>
      <c r="E224" s="109"/>
      <c r="F224" s="109"/>
      <c r="H224" s="109"/>
      <c r="I224" s="109"/>
      <c r="J224" s="109"/>
      <c r="K224" s="109"/>
      <c r="L224" s="109"/>
      <c r="N224" s="109"/>
      <c r="O224" s="109"/>
      <c r="P224" s="109"/>
      <c r="Q224" s="109"/>
      <c r="R224" s="109"/>
      <c r="T224" s="109"/>
      <c r="U224" s="109"/>
      <c r="V224" s="109"/>
      <c r="W224" s="109"/>
      <c r="X224" s="109"/>
      <c r="Z224" s="109"/>
      <c r="AA224" s="109"/>
      <c r="AB224" s="109"/>
      <c r="AC224" s="109"/>
      <c r="AD224" s="109"/>
      <c r="AF224" s="109"/>
      <c r="AG224" s="109"/>
      <c r="AH224" s="109"/>
      <c r="AI224" s="109"/>
      <c r="AJ224" s="109"/>
      <c r="AL224" s="109"/>
      <c r="AM224" s="109"/>
      <c r="AN224" s="109"/>
      <c r="AO224" s="109"/>
      <c r="AP224" s="109"/>
      <c r="AR224" s="109"/>
      <c r="AS224" s="109"/>
      <c r="AT224" s="109"/>
      <c r="AU224" s="109"/>
      <c r="AV224" s="109"/>
      <c r="AX224" s="109"/>
      <c r="AY224" s="109"/>
      <c r="AZ224" s="109"/>
      <c r="BA224" s="109"/>
      <c r="BB224" s="109"/>
    </row>
    <row r="225" spans="1:54" x14ac:dyDescent="0.25">
      <c r="A225" s="112"/>
      <c r="B225" s="71"/>
      <c r="C225" s="71"/>
      <c r="D225" s="71"/>
      <c r="E225" s="71"/>
      <c r="F225" s="71"/>
      <c r="H225" s="71"/>
      <c r="I225" s="71"/>
      <c r="J225" s="71"/>
      <c r="K225" s="71"/>
      <c r="L225" s="71"/>
      <c r="N225" s="71"/>
      <c r="O225" s="71"/>
      <c r="P225" s="71"/>
      <c r="Q225" s="71"/>
      <c r="R225" s="71"/>
      <c r="T225" s="71"/>
      <c r="U225" s="71"/>
      <c r="V225" s="71"/>
      <c r="W225" s="71"/>
      <c r="X225" s="71"/>
      <c r="Z225" s="71"/>
      <c r="AA225" s="71"/>
      <c r="AB225" s="71"/>
      <c r="AC225" s="71"/>
      <c r="AD225" s="71"/>
      <c r="AF225" s="71"/>
      <c r="AG225" s="71"/>
      <c r="AH225" s="71"/>
      <c r="AI225" s="71"/>
      <c r="AJ225" s="71"/>
      <c r="AL225" s="71"/>
      <c r="AM225" s="71"/>
      <c r="AN225" s="71"/>
      <c r="AO225" s="71"/>
      <c r="AP225" s="71"/>
      <c r="AR225" s="71"/>
      <c r="AS225" s="71"/>
      <c r="AT225" s="71"/>
      <c r="AU225" s="71"/>
      <c r="AV225" s="71"/>
      <c r="AX225" s="71"/>
      <c r="AY225" s="71"/>
      <c r="AZ225" s="71"/>
      <c r="BA225" s="71"/>
      <c r="BB225" s="71"/>
    </row>
    <row r="226" spans="1:54" x14ac:dyDescent="0.25">
      <c r="B226" s="109"/>
      <c r="C226" s="109"/>
      <c r="D226" s="109"/>
      <c r="E226" s="109"/>
      <c r="F226" s="109"/>
      <c r="H226" s="109"/>
      <c r="I226" s="109"/>
      <c r="J226" s="109"/>
      <c r="K226" s="109"/>
      <c r="L226" s="109"/>
      <c r="N226" s="109"/>
      <c r="O226" s="109"/>
      <c r="P226" s="109"/>
      <c r="Q226" s="109"/>
      <c r="R226" s="109"/>
      <c r="T226" s="109"/>
      <c r="U226" s="109"/>
      <c r="V226" s="109"/>
      <c r="W226" s="109"/>
      <c r="X226" s="109"/>
      <c r="Z226" s="109"/>
      <c r="AA226" s="109"/>
      <c r="AB226" s="109"/>
      <c r="AC226" s="109"/>
      <c r="AD226" s="109"/>
      <c r="AF226" s="109"/>
      <c r="AG226" s="109"/>
      <c r="AH226" s="109"/>
      <c r="AI226" s="109"/>
      <c r="AJ226" s="109"/>
      <c r="AL226" s="109"/>
      <c r="AM226" s="109"/>
      <c r="AN226" s="109"/>
      <c r="AO226" s="109"/>
      <c r="AP226" s="109"/>
      <c r="AR226" s="109"/>
      <c r="AS226" s="109"/>
      <c r="AT226" s="109"/>
      <c r="AU226" s="109"/>
      <c r="AV226" s="109"/>
      <c r="AX226" s="109"/>
      <c r="AY226" s="109"/>
      <c r="AZ226" s="109"/>
      <c r="BA226" s="109"/>
      <c r="BB226" s="10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C226"/>
  <sheetViews>
    <sheetView topLeftCell="A20" zoomScale="75" zoomScaleNormal="75" workbookViewId="0">
      <pane xSplit="1" topLeftCell="X1" activePane="topRight" state="frozen"/>
      <selection pane="topRight" activeCell="AH52" sqref="AH52"/>
    </sheetView>
  </sheetViews>
  <sheetFormatPr defaultRowHeight="15" x14ac:dyDescent="0.25"/>
  <cols>
    <col min="1" max="1" width="46.85546875" customWidth="1"/>
    <col min="2" max="2" width="16.42578125" customWidth="1"/>
    <col min="3" max="3" width="14.85546875" customWidth="1"/>
    <col min="4" max="4" width="16.42578125" customWidth="1"/>
    <col min="5" max="6" width="14.85546875" customWidth="1"/>
    <col min="7" max="7" width="8.85546875" style="199"/>
    <col min="8" max="8" width="16.42578125" customWidth="1"/>
    <col min="9" max="9" width="14.85546875" customWidth="1"/>
    <col min="10" max="10" width="16.42578125" customWidth="1"/>
    <col min="11" max="12" width="14.85546875" customWidth="1"/>
    <col min="13" max="13" width="8.85546875" style="199"/>
    <col min="14" max="14" width="16.42578125" customWidth="1"/>
    <col min="15" max="15" width="14.85546875" customWidth="1"/>
    <col min="16" max="16" width="16.42578125" customWidth="1"/>
    <col min="17" max="18" width="14.85546875" customWidth="1"/>
    <col min="19" max="19" width="8.85546875" style="199"/>
    <col min="20" max="20" width="16.42578125" customWidth="1"/>
    <col min="21" max="21" width="14.85546875" customWidth="1"/>
    <col min="22" max="22" width="16.42578125" customWidth="1"/>
    <col min="23" max="24" width="14.85546875" customWidth="1"/>
    <col min="25" max="25" width="8.85546875" style="199"/>
    <col min="26" max="26" width="16.42578125" customWidth="1"/>
    <col min="27" max="27" width="14.85546875" customWidth="1"/>
    <col min="28" max="28" width="16.42578125" customWidth="1"/>
    <col min="29" max="30" width="14.85546875" customWidth="1"/>
    <col min="31" max="31" width="8.85546875" style="199"/>
    <col min="32" max="32" width="16.42578125" customWidth="1"/>
    <col min="33" max="33" width="14.85546875" customWidth="1"/>
    <col min="34" max="34" width="16.42578125" customWidth="1"/>
    <col min="35" max="36" width="14.85546875" customWidth="1"/>
    <col min="37" max="37" width="8.85546875" style="199"/>
    <col min="38" max="38" width="16.42578125" customWidth="1"/>
    <col min="39" max="39" width="14.85546875" customWidth="1"/>
    <col min="40" max="40" width="16.42578125" customWidth="1"/>
    <col min="41" max="42" width="14.85546875" customWidth="1"/>
    <col min="43" max="43" width="8.85546875" style="199"/>
    <col min="44" max="44" width="16.42578125" customWidth="1"/>
    <col min="45" max="45" width="14.85546875" customWidth="1"/>
    <col min="46" max="46" width="16.42578125" customWidth="1"/>
    <col min="47" max="48" width="14.85546875" customWidth="1"/>
    <col min="50" max="50" width="16.42578125" customWidth="1"/>
    <col min="51" max="51" width="14.85546875" customWidth="1"/>
    <col min="52" max="52" width="16.42578125" customWidth="1"/>
    <col min="53" max="53" width="14.85546875" customWidth="1"/>
    <col min="54" max="54" width="17.140625" bestFit="1" customWidth="1"/>
  </cols>
  <sheetData>
    <row r="1" spans="1:54" x14ac:dyDescent="0.25">
      <c r="A1" s="1" t="s">
        <v>259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238</v>
      </c>
      <c r="H1" s="3" t="s">
        <v>1</v>
      </c>
      <c r="I1" s="3" t="s">
        <v>2</v>
      </c>
      <c r="J1" s="3" t="s">
        <v>3</v>
      </c>
      <c r="K1" s="3" t="s">
        <v>4</v>
      </c>
      <c r="L1" s="3" t="s">
        <v>208</v>
      </c>
      <c r="N1" s="3" t="s">
        <v>1</v>
      </c>
      <c r="O1" s="3" t="s">
        <v>2</v>
      </c>
      <c r="P1" s="3" t="s">
        <v>3</v>
      </c>
      <c r="Q1" s="3" t="s">
        <v>4</v>
      </c>
      <c r="R1" s="3" t="s">
        <v>215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231</v>
      </c>
      <c r="Z1" s="3" t="s">
        <v>1</v>
      </c>
      <c r="AA1" s="3" t="s">
        <v>2</v>
      </c>
      <c r="AB1" s="3" t="s">
        <v>3</v>
      </c>
      <c r="AC1" s="3" t="s">
        <v>4</v>
      </c>
      <c r="AD1" s="3" t="s">
        <v>240</v>
      </c>
      <c r="AF1" s="3" t="s">
        <v>1</v>
      </c>
      <c r="AG1" s="3" t="s">
        <v>2</v>
      </c>
      <c r="AH1" s="3" t="s">
        <v>3</v>
      </c>
      <c r="AI1" s="3" t="s">
        <v>4</v>
      </c>
      <c r="AJ1" s="340" t="s">
        <v>258</v>
      </c>
      <c r="AL1" s="3" t="s">
        <v>1</v>
      </c>
      <c r="AM1" s="3" t="s">
        <v>2</v>
      </c>
      <c r="AN1" s="3" t="s">
        <v>3</v>
      </c>
      <c r="AO1" s="3" t="s">
        <v>4</v>
      </c>
      <c r="AP1" s="3" t="s">
        <v>241</v>
      </c>
      <c r="AR1" s="3" t="s">
        <v>1</v>
      </c>
      <c r="AS1" s="3" t="s">
        <v>2</v>
      </c>
      <c r="AT1" s="3" t="s">
        <v>3</v>
      </c>
      <c r="AU1" s="3" t="s">
        <v>4</v>
      </c>
      <c r="AV1" s="3" t="s">
        <v>242</v>
      </c>
      <c r="AX1" s="3" t="s">
        <v>1</v>
      </c>
      <c r="AY1" s="3" t="s">
        <v>2</v>
      </c>
      <c r="AZ1" s="3" t="s">
        <v>3</v>
      </c>
      <c r="BA1" s="3" t="s">
        <v>4</v>
      </c>
      <c r="BB1" s="3" t="s">
        <v>243</v>
      </c>
    </row>
    <row r="2" spans="1:54" x14ac:dyDescent="0.25">
      <c r="A2" s="6" t="s">
        <v>7</v>
      </c>
      <c r="B2" s="7">
        <f>7293*1.013*1.013</f>
        <v>7483.8505169999989</v>
      </c>
      <c r="C2" s="7">
        <v>0</v>
      </c>
      <c r="D2" s="7">
        <v>0</v>
      </c>
      <c r="E2" s="7">
        <v>0</v>
      </c>
      <c r="F2" s="7">
        <f>SUM(B2:E2)</f>
        <v>7483.8505169999989</v>
      </c>
      <c r="H2" s="7">
        <f>7293*1.013*1.013</f>
        <v>7483.8505169999989</v>
      </c>
      <c r="I2" s="7">
        <v>0</v>
      </c>
      <c r="J2" s="7">
        <v>0</v>
      </c>
      <c r="K2" s="7">
        <v>0</v>
      </c>
      <c r="L2" s="7">
        <f>SUM(H2:K2)</f>
        <v>7483.8505169999989</v>
      </c>
      <c r="N2" s="7">
        <f>7293*1.013*1.013</f>
        <v>7483.8505169999989</v>
      </c>
      <c r="O2" s="7">
        <v>0</v>
      </c>
      <c r="P2" s="7">
        <v>0</v>
      </c>
      <c r="Q2" s="7">
        <v>0</v>
      </c>
      <c r="R2" s="7">
        <f>SUM(N2:Q2)</f>
        <v>7483.8505169999989</v>
      </c>
      <c r="T2" s="7">
        <f>7293*1.013*1.013</f>
        <v>7483.8505169999989</v>
      </c>
      <c r="U2" s="7">
        <v>0</v>
      </c>
      <c r="V2" s="7">
        <v>0</v>
      </c>
      <c r="W2" s="7">
        <v>0</v>
      </c>
      <c r="X2" s="7">
        <f>SUM(T2:W2)</f>
        <v>7483.8505169999989</v>
      </c>
      <c r="Z2" s="7">
        <f>7293*1.013*1.013</f>
        <v>7483.8505169999989</v>
      </c>
      <c r="AA2" s="7">
        <v>0</v>
      </c>
      <c r="AB2" s="7">
        <v>0</v>
      </c>
      <c r="AC2" s="7">
        <v>0</v>
      </c>
      <c r="AD2" s="7">
        <f>SUM(Z2:AC2)</f>
        <v>7483.8505169999989</v>
      </c>
      <c r="AF2" s="7">
        <f>7293*1.013*1.013</f>
        <v>7483.8505169999989</v>
      </c>
      <c r="AG2" s="7">
        <v>0</v>
      </c>
      <c r="AH2" s="7">
        <v>0</v>
      </c>
      <c r="AI2" s="7">
        <v>0</v>
      </c>
      <c r="AJ2" s="7">
        <f>SUM(AF2:AI2)</f>
        <v>7483.8505169999989</v>
      </c>
      <c r="AL2" s="7">
        <v>0</v>
      </c>
      <c r="AM2" s="7">
        <v>0</v>
      </c>
      <c r="AN2" s="7">
        <v>0</v>
      </c>
      <c r="AO2" s="7">
        <v>0</v>
      </c>
      <c r="AP2" s="7">
        <f>SUM(AL2:AO2)</f>
        <v>0</v>
      </c>
      <c r="AR2" s="7">
        <v>7309</v>
      </c>
      <c r="AS2" s="7">
        <v>0</v>
      </c>
      <c r="AT2" s="7">
        <v>0</v>
      </c>
      <c r="AU2" s="7">
        <v>0</v>
      </c>
      <c r="AV2" s="7">
        <f>SUM(AR2:AU2)</f>
        <v>7309</v>
      </c>
      <c r="AX2" s="7">
        <f>AX87/AX19</f>
        <v>7479.0075489909132</v>
      </c>
      <c r="AY2" s="7">
        <v>0</v>
      </c>
      <c r="AZ2" s="7">
        <v>0</v>
      </c>
      <c r="BA2" s="7">
        <v>0</v>
      </c>
      <c r="BB2" s="7">
        <f>SUM(AX2:BA2)</f>
        <v>7479.0075489909132</v>
      </c>
    </row>
    <row r="3" spans="1:54" hidden="1" x14ac:dyDescent="0.25">
      <c r="A3" s="8"/>
      <c r="B3" s="7">
        <v>0</v>
      </c>
      <c r="C3" s="7">
        <v>0</v>
      </c>
      <c r="D3" s="7"/>
      <c r="E3" s="7">
        <v>0</v>
      </c>
      <c r="F3" s="7">
        <f>SUM(B3:E3)</f>
        <v>0</v>
      </c>
      <c r="H3" s="7">
        <v>0</v>
      </c>
      <c r="I3" s="7">
        <v>0</v>
      </c>
      <c r="J3" s="7"/>
      <c r="K3" s="7">
        <v>0</v>
      </c>
      <c r="L3" s="7">
        <f>SUM(H3:K3)</f>
        <v>0</v>
      </c>
      <c r="N3" s="7">
        <v>0</v>
      </c>
      <c r="O3" s="7">
        <v>0</v>
      </c>
      <c r="P3" s="7"/>
      <c r="Q3" s="7">
        <v>0</v>
      </c>
      <c r="R3" s="7">
        <f>SUM(N3:Q3)</f>
        <v>0</v>
      </c>
      <c r="T3" s="7">
        <v>0</v>
      </c>
      <c r="U3" s="7">
        <v>0</v>
      </c>
      <c r="V3" s="7"/>
      <c r="W3" s="7">
        <v>0</v>
      </c>
      <c r="X3" s="7">
        <f>SUM(T3:W3)</f>
        <v>0</v>
      </c>
      <c r="Z3" s="7">
        <v>0</v>
      </c>
      <c r="AA3" s="7">
        <v>0</v>
      </c>
      <c r="AB3" s="7"/>
      <c r="AC3" s="7">
        <v>0</v>
      </c>
      <c r="AD3" s="7">
        <f>SUM(Z3:AC3)</f>
        <v>0</v>
      </c>
      <c r="AF3" s="7">
        <v>0</v>
      </c>
      <c r="AG3" s="7">
        <v>0</v>
      </c>
      <c r="AH3" s="7"/>
      <c r="AI3" s="7">
        <v>0</v>
      </c>
      <c r="AJ3" s="7">
        <f>SUM(AF3:AI3)</f>
        <v>0</v>
      </c>
      <c r="AL3" s="7">
        <v>0</v>
      </c>
      <c r="AM3" s="7">
        <v>0</v>
      </c>
      <c r="AN3" s="7"/>
      <c r="AO3" s="7">
        <v>0</v>
      </c>
      <c r="AP3" s="7">
        <f>SUM(AL3:AO3)</f>
        <v>0</v>
      </c>
      <c r="AR3" s="7">
        <v>0</v>
      </c>
      <c r="AS3" s="7">
        <v>0</v>
      </c>
      <c r="AT3" s="7"/>
      <c r="AU3" s="7">
        <v>0</v>
      </c>
      <c r="AV3" s="7">
        <f>SUM(AR3:AU3)</f>
        <v>0</v>
      </c>
      <c r="AX3" s="7">
        <v>0</v>
      </c>
      <c r="AY3" s="7">
        <v>0</v>
      </c>
      <c r="AZ3" s="7"/>
      <c r="BA3" s="7">
        <v>0</v>
      </c>
      <c r="BB3" s="7">
        <f>SUM(AX3:BA3)</f>
        <v>0</v>
      </c>
    </row>
    <row r="4" spans="1:54" hidden="1" x14ac:dyDescent="0.25">
      <c r="A4" s="8"/>
      <c r="B4" s="139"/>
      <c r="C4" s="139"/>
      <c r="D4" s="139"/>
      <c r="E4" s="139"/>
      <c r="F4" s="153"/>
      <c r="H4" s="139"/>
      <c r="I4" s="139"/>
      <c r="J4" s="139"/>
      <c r="K4" s="139"/>
      <c r="L4" s="153"/>
      <c r="N4" s="139"/>
      <c r="O4" s="139"/>
      <c r="P4" s="139"/>
      <c r="Q4" s="139"/>
      <c r="R4" s="153"/>
      <c r="T4" s="139"/>
      <c r="U4" s="139"/>
      <c r="V4" s="139"/>
      <c r="W4" s="139"/>
      <c r="X4" s="153"/>
      <c r="Z4" s="139"/>
      <c r="AA4" s="139"/>
      <c r="AB4" s="139"/>
      <c r="AC4" s="139"/>
      <c r="AD4" s="153"/>
      <c r="AF4" s="139"/>
      <c r="AG4" s="139"/>
      <c r="AH4" s="139"/>
      <c r="AI4" s="139"/>
      <c r="AJ4" s="153"/>
      <c r="AL4" s="139"/>
      <c r="AM4" s="139"/>
      <c r="AN4" s="139"/>
      <c r="AO4" s="139"/>
      <c r="AP4" s="153"/>
      <c r="AR4" s="139"/>
      <c r="AS4" s="139"/>
      <c r="AT4" s="139"/>
      <c r="AU4" s="139"/>
      <c r="AV4" s="153"/>
      <c r="AX4" s="139"/>
      <c r="AY4" s="139"/>
      <c r="AZ4" s="139"/>
      <c r="BA4" s="139"/>
      <c r="BB4" s="153"/>
    </row>
    <row r="5" spans="1:54" x14ac:dyDescent="0.25">
      <c r="A5" s="8" t="s">
        <v>8</v>
      </c>
      <c r="B5" s="9">
        <f>B6+B7+B8+B9+B10+B11+B12+B13+B14+B15+B16+B17+B18</f>
        <v>936</v>
      </c>
      <c r="C5" s="9"/>
      <c r="D5" s="9"/>
      <c r="E5" s="9"/>
      <c r="F5" s="9">
        <f t="shared" ref="F5:F19" si="0">SUM(B5:E5)</f>
        <v>936</v>
      </c>
      <c r="H5" s="9">
        <f>H6+H7+H8+H9+H10+H11+H12+H13+H14+H15+H16+H17+H18</f>
        <v>2419</v>
      </c>
      <c r="I5" s="9"/>
      <c r="J5" s="9"/>
      <c r="K5" s="9"/>
      <c r="L5" s="9">
        <f t="shared" ref="L5:L19" si="1">SUM(H5:K5)</f>
        <v>2419</v>
      </c>
      <c r="N5" s="9">
        <f>N6+N7+N8+N9+N10+N11+N12+N13+N14+N15+N16+N17+N18</f>
        <v>1016</v>
      </c>
      <c r="O5" s="9"/>
      <c r="P5" s="9"/>
      <c r="Q5" s="9"/>
      <c r="R5" s="9">
        <f t="shared" ref="R5:R19" si="2">SUM(N5:Q5)</f>
        <v>1016</v>
      </c>
      <c r="T5" s="9">
        <f>T6+T7+T8+T9+T10+T11+T12+T13+T14+T15+T16+T17+T18</f>
        <v>1215</v>
      </c>
      <c r="U5" s="9"/>
      <c r="V5" s="9"/>
      <c r="W5" s="9"/>
      <c r="X5" s="9">
        <f t="shared" ref="X5:X19" si="3">SUM(T5:W5)</f>
        <v>1215</v>
      </c>
      <c r="Z5" s="9">
        <f>Z6+Z7+Z8+Z9+Z10+Z11+Z12+Z13+Z14+Z15+Z16+Z17+Z18</f>
        <v>2375</v>
      </c>
      <c r="AA5" s="9"/>
      <c r="AB5" s="9"/>
      <c r="AC5" s="9"/>
      <c r="AD5" s="9">
        <f t="shared" ref="AD5:AD19" si="4">SUM(Z5:AC5)</f>
        <v>2375</v>
      </c>
      <c r="AF5" s="9">
        <f>AF6+AF7+AF8+AF9+AF10+AF11+AF12+AF13+AF14+AF15+AF16+AF17+AF18</f>
        <v>815</v>
      </c>
      <c r="AG5" s="9"/>
      <c r="AH5" s="9"/>
      <c r="AI5" s="9"/>
      <c r="AJ5" s="9">
        <f t="shared" ref="AJ5:AJ19" si="5">SUM(AF5:AI5)</f>
        <v>815</v>
      </c>
      <c r="AL5" s="9">
        <f>AL6+AL7+AL8+AL9+AL10+AL11+AL12+AL13+AL14+AL15+AL16+AL17+AL18</f>
        <v>0</v>
      </c>
      <c r="AM5" s="9"/>
      <c r="AN5" s="9"/>
      <c r="AO5" s="9"/>
      <c r="AP5" s="9">
        <f t="shared" ref="AP5:AP19" si="6">SUM(AL5:AO5)</f>
        <v>0</v>
      </c>
      <c r="AR5" s="9">
        <f>AR6+AR7+AR8+AR9+AR10+AR11+AR12+AR13+AR14+AR15+AR16+AR17+AR18</f>
        <v>250</v>
      </c>
      <c r="AS5" s="9"/>
      <c r="AT5" s="9"/>
      <c r="AU5" s="9"/>
      <c r="AV5" s="9">
        <f t="shared" ref="AV5:AV19" si="7">SUM(AR5:AU5)</f>
        <v>250</v>
      </c>
      <c r="AX5" s="9">
        <f>B5+H5+N5+T5+Z5+AL5+AR5</f>
        <v>8211</v>
      </c>
      <c r="AY5" s="9">
        <f>C5+I5+O5+U5+AA5+AM5+AS5</f>
        <v>0</v>
      </c>
      <c r="AZ5" s="9">
        <f>D5+J5+P5+V5+AB5+AN5+AT5</f>
        <v>0</v>
      </c>
      <c r="BA5" s="9">
        <f>E5+K5+Q5+W5+AC5+AO5+AU5</f>
        <v>0</v>
      </c>
      <c r="BB5" s="9">
        <f t="shared" ref="BB5:BB19" si="8">SUM(AX5:BA5)</f>
        <v>8211</v>
      </c>
    </row>
    <row r="6" spans="1:54" x14ac:dyDescent="0.25">
      <c r="A6" s="10" t="s">
        <v>9</v>
      </c>
      <c r="B6" s="11">
        <f>6*25</f>
        <v>150</v>
      </c>
      <c r="C6" s="11"/>
      <c r="D6" s="11"/>
      <c r="E6" s="11"/>
      <c r="F6" s="9">
        <f t="shared" si="0"/>
        <v>150</v>
      </c>
      <c r="G6" s="222">
        <f>F6/25</f>
        <v>6</v>
      </c>
      <c r="H6" s="11">
        <f>25*5</f>
        <v>125</v>
      </c>
      <c r="I6" s="11"/>
      <c r="J6" s="11"/>
      <c r="K6" s="11"/>
      <c r="L6" s="9">
        <f t="shared" si="1"/>
        <v>125</v>
      </c>
      <c r="M6" s="221">
        <f>L6/25</f>
        <v>5</v>
      </c>
      <c r="N6" s="11">
        <f>25*4</f>
        <v>100</v>
      </c>
      <c r="O6" s="11"/>
      <c r="P6" s="11"/>
      <c r="Q6" s="11"/>
      <c r="R6" s="9">
        <f t="shared" si="2"/>
        <v>100</v>
      </c>
      <c r="S6" s="221">
        <f>R6/25</f>
        <v>4</v>
      </c>
      <c r="T6" s="11">
        <f>25*5</f>
        <v>125</v>
      </c>
      <c r="U6" s="11"/>
      <c r="V6" s="11"/>
      <c r="W6" s="11"/>
      <c r="X6" s="9">
        <f t="shared" si="3"/>
        <v>125</v>
      </c>
      <c r="Y6" s="221">
        <f>X6/25</f>
        <v>5</v>
      </c>
      <c r="Z6" s="11">
        <f>25*5</f>
        <v>125</v>
      </c>
      <c r="AA6" s="11"/>
      <c r="AB6" s="11"/>
      <c r="AC6" s="11"/>
      <c r="AD6" s="9">
        <f t="shared" si="4"/>
        <v>125</v>
      </c>
      <c r="AE6" s="221">
        <f>AD6/25</f>
        <v>5</v>
      </c>
      <c r="AF6" s="11">
        <f>25*4</f>
        <v>100</v>
      </c>
      <c r="AG6" s="11"/>
      <c r="AH6" s="11"/>
      <c r="AI6" s="11"/>
      <c r="AJ6" s="9">
        <f t="shared" si="5"/>
        <v>100</v>
      </c>
      <c r="AK6" s="221">
        <f>AJ6/25</f>
        <v>4</v>
      </c>
      <c r="AL6" s="11">
        <v>0</v>
      </c>
      <c r="AM6" s="11"/>
      <c r="AN6" s="11"/>
      <c r="AO6" s="11"/>
      <c r="AP6" s="9">
        <f t="shared" si="6"/>
        <v>0</v>
      </c>
      <c r="AR6" s="11"/>
      <c r="AS6" s="11"/>
      <c r="AT6" s="11"/>
      <c r="AU6" s="11"/>
      <c r="AV6" s="9">
        <f t="shared" si="7"/>
        <v>0</v>
      </c>
      <c r="AX6" s="94">
        <f>B6+H6+N6+T6+Z6+AF6+AL6+AR6</f>
        <v>725</v>
      </c>
      <c r="AY6" s="94">
        <f t="shared" ref="AY6:BA18" si="9">C6+I6+O6+U6+AA6+AG6+AM6+AS6</f>
        <v>0</v>
      </c>
      <c r="AZ6" s="94">
        <f t="shared" si="9"/>
        <v>0</v>
      </c>
      <c r="BA6" s="94">
        <f t="shared" si="9"/>
        <v>0</v>
      </c>
      <c r="BB6" s="9">
        <f t="shared" si="8"/>
        <v>725</v>
      </c>
    </row>
    <row r="7" spans="1:54" x14ac:dyDescent="0.25">
      <c r="A7" s="12" t="s">
        <v>10</v>
      </c>
      <c r="B7" s="11">
        <f>6*25</f>
        <v>150</v>
      </c>
      <c r="C7" s="11"/>
      <c r="D7" s="11"/>
      <c r="E7" s="11"/>
      <c r="F7" s="9">
        <f t="shared" si="0"/>
        <v>150</v>
      </c>
      <c r="G7" s="222">
        <f t="shared" ref="G7" si="10">F7/25</f>
        <v>6</v>
      </c>
      <c r="H7" s="11">
        <f>26*5</f>
        <v>130</v>
      </c>
      <c r="I7" s="11"/>
      <c r="J7" s="11"/>
      <c r="K7" s="11"/>
      <c r="L7" s="9">
        <f t="shared" si="1"/>
        <v>130</v>
      </c>
      <c r="M7" s="221">
        <f>L7/26</f>
        <v>5</v>
      </c>
      <c r="N7" s="11">
        <f>25*4</f>
        <v>100</v>
      </c>
      <c r="O7" s="11"/>
      <c r="P7" s="11"/>
      <c r="Q7" s="11"/>
      <c r="R7" s="9">
        <f t="shared" si="2"/>
        <v>100</v>
      </c>
      <c r="S7" s="221">
        <f>R7/25</f>
        <v>4</v>
      </c>
      <c r="T7" s="11">
        <f>25*5</f>
        <v>125</v>
      </c>
      <c r="U7" s="11"/>
      <c r="V7" s="11"/>
      <c r="W7" s="11"/>
      <c r="X7" s="9">
        <f t="shared" si="3"/>
        <v>125</v>
      </c>
      <c r="Y7" s="221">
        <f>X7/25</f>
        <v>5</v>
      </c>
      <c r="Z7" s="11">
        <f t="shared" ref="Z7" si="11">25*5</f>
        <v>125</v>
      </c>
      <c r="AA7" s="11"/>
      <c r="AB7" s="11"/>
      <c r="AC7" s="11"/>
      <c r="AD7" s="9">
        <f t="shared" si="4"/>
        <v>125</v>
      </c>
      <c r="AE7" s="221">
        <f>AD7/25</f>
        <v>5</v>
      </c>
      <c r="AF7" s="11">
        <f>25*4</f>
        <v>100</v>
      </c>
      <c r="AG7" s="11"/>
      <c r="AH7" s="11"/>
      <c r="AI7" s="11"/>
      <c r="AJ7" s="9">
        <f t="shared" si="5"/>
        <v>100</v>
      </c>
      <c r="AK7" s="221">
        <f t="shared" ref="AK7:AK11" si="12">AJ7/25</f>
        <v>4</v>
      </c>
      <c r="AL7" s="11">
        <v>0</v>
      </c>
      <c r="AM7" s="11"/>
      <c r="AN7" s="11"/>
      <c r="AO7" s="11"/>
      <c r="AP7" s="9">
        <f t="shared" si="6"/>
        <v>0</v>
      </c>
      <c r="AR7" s="11"/>
      <c r="AS7" s="11"/>
      <c r="AT7" s="11"/>
      <c r="AU7" s="11"/>
      <c r="AV7" s="9">
        <f t="shared" si="7"/>
        <v>0</v>
      </c>
      <c r="AX7" s="94">
        <f t="shared" ref="AX7:AX18" si="13">B7+H7+N7+T7+Z7+AF7+AL7+AR7</f>
        <v>730</v>
      </c>
      <c r="AY7" s="94">
        <f t="shared" si="9"/>
        <v>0</v>
      </c>
      <c r="AZ7" s="94">
        <f t="shared" si="9"/>
        <v>0</v>
      </c>
      <c r="BA7" s="94">
        <f t="shared" si="9"/>
        <v>0</v>
      </c>
      <c r="BB7" s="9">
        <f t="shared" si="8"/>
        <v>730</v>
      </c>
    </row>
    <row r="8" spans="1:54" x14ac:dyDescent="0.25">
      <c r="A8" s="12" t="s">
        <v>11</v>
      </c>
      <c r="B8" s="11">
        <f>6*26</f>
        <v>156</v>
      </c>
      <c r="C8" s="11"/>
      <c r="D8" s="11"/>
      <c r="E8" s="11"/>
      <c r="F8" s="9">
        <f t="shared" si="0"/>
        <v>156</v>
      </c>
      <c r="G8" s="222">
        <f>F8/26</f>
        <v>6</v>
      </c>
      <c r="H8" s="11">
        <f>27*5</f>
        <v>135</v>
      </c>
      <c r="I8" s="11"/>
      <c r="J8" s="11"/>
      <c r="K8" s="11"/>
      <c r="L8" s="9">
        <f t="shared" si="1"/>
        <v>135</v>
      </c>
      <c r="M8" s="221">
        <f>L8/27</f>
        <v>5</v>
      </c>
      <c r="N8" s="11">
        <f>26*4</f>
        <v>104</v>
      </c>
      <c r="O8" s="11"/>
      <c r="P8" s="11"/>
      <c r="Q8" s="11"/>
      <c r="R8" s="9">
        <f t="shared" si="2"/>
        <v>104</v>
      </c>
      <c r="S8" s="221">
        <f>R8/26</f>
        <v>4</v>
      </c>
      <c r="T8" s="11">
        <f>25*5</f>
        <v>125</v>
      </c>
      <c r="U8" s="11"/>
      <c r="V8" s="11"/>
      <c r="W8" s="11"/>
      <c r="X8" s="9">
        <f t="shared" si="3"/>
        <v>125</v>
      </c>
      <c r="Y8" s="221">
        <f>X8/25</f>
        <v>5</v>
      </c>
      <c r="Z8" s="11">
        <f>26*5</f>
        <v>130</v>
      </c>
      <c r="AA8" s="11"/>
      <c r="AB8" s="11"/>
      <c r="AC8" s="11"/>
      <c r="AD8" s="9">
        <f t="shared" si="4"/>
        <v>130</v>
      </c>
      <c r="AE8" s="221">
        <f>AD8/26</f>
        <v>5</v>
      </c>
      <c r="AF8" s="11">
        <f>25*4</f>
        <v>100</v>
      </c>
      <c r="AG8" s="11"/>
      <c r="AH8" s="11"/>
      <c r="AI8" s="11"/>
      <c r="AJ8" s="9">
        <f t="shared" si="5"/>
        <v>100</v>
      </c>
      <c r="AK8" s="221">
        <f t="shared" si="12"/>
        <v>4</v>
      </c>
      <c r="AL8" s="11">
        <v>0</v>
      </c>
      <c r="AM8" s="11"/>
      <c r="AN8" s="11"/>
      <c r="AO8" s="11"/>
      <c r="AP8" s="9">
        <f t="shared" si="6"/>
        <v>0</v>
      </c>
      <c r="AR8" s="11"/>
      <c r="AS8" s="11"/>
      <c r="AT8" s="11"/>
      <c r="AU8" s="11"/>
      <c r="AV8" s="9">
        <f t="shared" si="7"/>
        <v>0</v>
      </c>
      <c r="AX8" s="94">
        <f t="shared" si="13"/>
        <v>750</v>
      </c>
      <c r="AY8" s="94">
        <f t="shared" si="9"/>
        <v>0</v>
      </c>
      <c r="AZ8" s="94">
        <f t="shared" si="9"/>
        <v>0</v>
      </c>
      <c r="BA8" s="94">
        <f t="shared" si="9"/>
        <v>0</v>
      </c>
      <c r="BB8" s="9">
        <f t="shared" si="8"/>
        <v>750</v>
      </c>
    </row>
    <row r="9" spans="1:54" x14ac:dyDescent="0.25">
      <c r="A9" s="13" t="s">
        <v>12</v>
      </c>
      <c r="B9" s="11">
        <f>6*26</f>
        <v>156</v>
      </c>
      <c r="C9" s="11"/>
      <c r="D9" s="11"/>
      <c r="E9" s="11"/>
      <c r="F9" s="9">
        <f t="shared" si="0"/>
        <v>156</v>
      </c>
      <c r="G9" s="222">
        <f>F9/26</f>
        <v>6</v>
      </c>
      <c r="H9" s="11">
        <f>27*5</f>
        <v>135</v>
      </c>
      <c r="I9" s="11"/>
      <c r="J9" s="11"/>
      <c r="K9" s="11"/>
      <c r="L9" s="9">
        <f t="shared" si="1"/>
        <v>135</v>
      </c>
      <c r="M9" s="221">
        <f>L9/27</f>
        <v>5</v>
      </c>
      <c r="N9" s="11">
        <f>27*4</f>
        <v>108</v>
      </c>
      <c r="O9" s="11"/>
      <c r="P9" s="11"/>
      <c r="Q9" s="11"/>
      <c r="R9" s="9">
        <f t="shared" si="2"/>
        <v>108</v>
      </c>
      <c r="S9" s="221">
        <f>R9/27</f>
        <v>4</v>
      </c>
      <c r="T9" s="11">
        <f t="shared" ref="T9:T11" si="14">26*6</f>
        <v>156</v>
      </c>
      <c r="U9" s="11"/>
      <c r="V9" s="11"/>
      <c r="W9" s="11"/>
      <c r="X9" s="9">
        <f t="shared" si="3"/>
        <v>156</v>
      </c>
      <c r="Y9" s="221">
        <f t="shared" ref="Y9:Y11" si="15">X9/26</f>
        <v>6</v>
      </c>
      <c r="Z9" s="11">
        <f>26*5</f>
        <v>130</v>
      </c>
      <c r="AA9" s="11"/>
      <c r="AB9" s="11"/>
      <c r="AC9" s="11"/>
      <c r="AD9" s="9">
        <f t="shared" si="4"/>
        <v>130</v>
      </c>
      <c r="AE9" s="221">
        <f t="shared" ref="AE9" si="16">AD9/26</f>
        <v>5</v>
      </c>
      <c r="AF9" s="11">
        <f>25*4</f>
        <v>100</v>
      </c>
      <c r="AG9" s="11"/>
      <c r="AH9" s="11"/>
      <c r="AI9" s="11"/>
      <c r="AJ9" s="9">
        <f t="shared" si="5"/>
        <v>100</v>
      </c>
      <c r="AK9" s="221">
        <f t="shared" si="12"/>
        <v>4</v>
      </c>
      <c r="AL9" s="11">
        <v>0</v>
      </c>
      <c r="AM9" s="11"/>
      <c r="AN9" s="11"/>
      <c r="AO9" s="11"/>
      <c r="AP9" s="9">
        <f t="shared" si="6"/>
        <v>0</v>
      </c>
      <c r="AR9" s="11"/>
      <c r="AS9" s="11"/>
      <c r="AT9" s="11"/>
      <c r="AU9" s="11"/>
      <c r="AV9" s="9">
        <f t="shared" si="7"/>
        <v>0</v>
      </c>
      <c r="AX9" s="94">
        <f t="shared" si="13"/>
        <v>785</v>
      </c>
      <c r="AY9" s="94">
        <f t="shared" si="9"/>
        <v>0</v>
      </c>
      <c r="AZ9" s="94">
        <f t="shared" si="9"/>
        <v>0</v>
      </c>
      <c r="BA9" s="94">
        <f t="shared" si="9"/>
        <v>0</v>
      </c>
      <c r="BB9" s="9">
        <f t="shared" si="8"/>
        <v>785</v>
      </c>
    </row>
    <row r="10" spans="1:54" x14ac:dyDescent="0.25">
      <c r="A10" s="13" t="s">
        <v>13</v>
      </c>
      <c r="B10" s="11">
        <f>6*27</f>
        <v>162</v>
      </c>
      <c r="C10" s="11"/>
      <c r="D10" s="11"/>
      <c r="E10" s="11"/>
      <c r="F10" s="9">
        <f t="shared" si="0"/>
        <v>162</v>
      </c>
      <c r="G10" s="222">
        <f>F10/27</f>
        <v>6</v>
      </c>
      <c r="H10" s="11">
        <f>28*5</f>
        <v>140</v>
      </c>
      <c r="I10" s="11"/>
      <c r="J10" s="11"/>
      <c r="K10" s="11"/>
      <c r="L10" s="9">
        <f t="shared" si="1"/>
        <v>140</v>
      </c>
      <c r="M10" s="221">
        <f>L10/28</f>
        <v>5</v>
      </c>
      <c r="N10" s="11">
        <f>27*4</f>
        <v>108</v>
      </c>
      <c r="O10" s="11"/>
      <c r="P10" s="11"/>
      <c r="Q10" s="11"/>
      <c r="R10" s="9">
        <f t="shared" si="2"/>
        <v>108</v>
      </c>
      <c r="S10" s="221">
        <f>R10/27</f>
        <v>4</v>
      </c>
      <c r="T10" s="11">
        <f t="shared" si="14"/>
        <v>156</v>
      </c>
      <c r="U10" s="11"/>
      <c r="V10" s="11"/>
      <c r="W10" s="11"/>
      <c r="X10" s="9">
        <f t="shared" si="3"/>
        <v>156</v>
      </c>
      <c r="Y10" s="221">
        <f t="shared" si="15"/>
        <v>6</v>
      </c>
      <c r="Z10" s="11">
        <f>27*5</f>
        <v>135</v>
      </c>
      <c r="AA10" s="11"/>
      <c r="AB10" s="11"/>
      <c r="AC10" s="11"/>
      <c r="AD10" s="9">
        <f t="shared" si="4"/>
        <v>135</v>
      </c>
      <c r="AE10" s="221">
        <f>AD10/27</f>
        <v>5</v>
      </c>
      <c r="AF10" s="11">
        <f>25*4</f>
        <v>100</v>
      </c>
      <c r="AG10" s="11"/>
      <c r="AH10" s="11"/>
      <c r="AI10" s="11"/>
      <c r="AJ10" s="9">
        <f t="shared" si="5"/>
        <v>100</v>
      </c>
      <c r="AK10" s="221">
        <f t="shared" si="12"/>
        <v>4</v>
      </c>
      <c r="AL10" s="11">
        <v>0</v>
      </c>
      <c r="AM10" s="11"/>
      <c r="AN10" s="11"/>
      <c r="AO10" s="11"/>
      <c r="AP10" s="9">
        <f t="shared" si="6"/>
        <v>0</v>
      </c>
      <c r="AR10" s="11"/>
      <c r="AS10" s="11"/>
      <c r="AT10" s="11"/>
      <c r="AU10" s="11"/>
      <c r="AV10" s="9">
        <f t="shared" si="7"/>
        <v>0</v>
      </c>
      <c r="AX10" s="94">
        <f t="shared" si="13"/>
        <v>801</v>
      </c>
      <c r="AY10" s="94">
        <f t="shared" si="9"/>
        <v>0</v>
      </c>
      <c r="AZ10" s="94">
        <f t="shared" si="9"/>
        <v>0</v>
      </c>
      <c r="BA10" s="94">
        <f t="shared" si="9"/>
        <v>0</v>
      </c>
      <c r="BB10" s="9">
        <f t="shared" si="8"/>
        <v>801</v>
      </c>
    </row>
    <row r="11" spans="1:54" x14ac:dyDescent="0.25">
      <c r="A11" s="13" t="s">
        <v>14</v>
      </c>
      <c r="B11" s="11">
        <f>6*27</f>
        <v>162</v>
      </c>
      <c r="C11" s="11"/>
      <c r="D11" s="11"/>
      <c r="E11" s="11"/>
      <c r="F11" s="9">
        <f t="shared" si="0"/>
        <v>162</v>
      </c>
      <c r="G11" s="222">
        <f>F11/27</f>
        <v>6</v>
      </c>
      <c r="H11" s="11">
        <f>29*5</f>
        <v>145</v>
      </c>
      <c r="I11" s="11"/>
      <c r="J11" s="11"/>
      <c r="K11" s="11"/>
      <c r="L11" s="9">
        <f t="shared" si="1"/>
        <v>145</v>
      </c>
      <c r="M11" s="221">
        <f>L11/29</f>
        <v>5</v>
      </c>
      <c r="N11" s="11">
        <v>124</v>
      </c>
      <c r="O11" s="11"/>
      <c r="P11" s="11"/>
      <c r="Q11" s="11"/>
      <c r="R11" s="9">
        <f t="shared" si="2"/>
        <v>124</v>
      </c>
      <c r="S11" s="221">
        <f>R11/31</f>
        <v>4</v>
      </c>
      <c r="T11" s="11">
        <f t="shared" si="14"/>
        <v>156</v>
      </c>
      <c r="U11" s="11"/>
      <c r="V11" s="11"/>
      <c r="W11" s="11"/>
      <c r="X11" s="9">
        <f t="shared" si="3"/>
        <v>156</v>
      </c>
      <c r="Y11" s="221">
        <f t="shared" si="15"/>
        <v>6</v>
      </c>
      <c r="Z11" s="11">
        <f>27*5</f>
        <v>135</v>
      </c>
      <c r="AA11" s="11"/>
      <c r="AB11" s="11"/>
      <c r="AC11" s="11"/>
      <c r="AD11" s="9">
        <f t="shared" si="4"/>
        <v>135</v>
      </c>
      <c r="AE11" s="221">
        <f>AD11/27</f>
        <v>5</v>
      </c>
      <c r="AF11" s="11">
        <f>25*3</f>
        <v>75</v>
      </c>
      <c r="AG11" s="11"/>
      <c r="AH11" s="11"/>
      <c r="AI11" s="11"/>
      <c r="AJ11" s="9">
        <f t="shared" si="5"/>
        <v>75</v>
      </c>
      <c r="AK11" s="221">
        <f t="shared" si="12"/>
        <v>3</v>
      </c>
      <c r="AL11" s="11">
        <v>0</v>
      </c>
      <c r="AM11" s="11"/>
      <c r="AN11" s="11"/>
      <c r="AO11" s="11"/>
      <c r="AP11" s="9">
        <f t="shared" si="6"/>
        <v>0</v>
      </c>
      <c r="AR11" s="11"/>
      <c r="AS11" s="11"/>
      <c r="AT11" s="11"/>
      <c r="AU11" s="11"/>
      <c r="AV11" s="9">
        <f t="shared" si="7"/>
        <v>0</v>
      </c>
      <c r="AX11" s="94">
        <f t="shared" si="13"/>
        <v>797</v>
      </c>
      <c r="AY11" s="94">
        <f t="shared" si="9"/>
        <v>0</v>
      </c>
      <c r="AZ11" s="94">
        <f t="shared" si="9"/>
        <v>0</v>
      </c>
      <c r="BA11" s="94">
        <f t="shared" si="9"/>
        <v>0</v>
      </c>
      <c r="BB11" s="9">
        <f t="shared" si="8"/>
        <v>797</v>
      </c>
    </row>
    <row r="12" spans="1:54" x14ac:dyDescent="0.25">
      <c r="A12" s="13" t="s">
        <v>15</v>
      </c>
      <c r="B12" s="11"/>
      <c r="C12" s="7"/>
      <c r="D12" s="7"/>
      <c r="E12" s="7"/>
      <c r="F12" s="9">
        <f t="shared" si="0"/>
        <v>0</v>
      </c>
      <c r="H12" s="11">
        <f>31*8</f>
        <v>248</v>
      </c>
      <c r="I12" s="7"/>
      <c r="J12" s="7"/>
      <c r="K12" s="7"/>
      <c r="L12" s="9">
        <f t="shared" si="1"/>
        <v>248</v>
      </c>
      <c r="M12" s="221">
        <f>L12/31</f>
        <v>8</v>
      </c>
      <c r="N12" s="11">
        <f>31*4</f>
        <v>124</v>
      </c>
      <c r="O12" s="7"/>
      <c r="P12" s="7"/>
      <c r="Q12" s="7"/>
      <c r="R12" s="9">
        <f t="shared" si="2"/>
        <v>124</v>
      </c>
      <c r="S12" s="221">
        <f>R12/31</f>
        <v>4</v>
      </c>
      <c r="T12" s="11">
        <f>31*4</f>
        <v>124</v>
      </c>
      <c r="U12" s="7"/>
      <c r="V12" s="7"/>
      <c r="W12" s="7"/>
      <c r="X12" s="9">
        <f t="shared" si="3"/>
        <v>124</v>
      </c>
      <c r="Y12" s="221">
        <f>T12/31</f>
        <v>4</v>
      </c>
      <c r="Z12" s="11">
        <f>31*7</f>
        <v>217</v>
      </c>
      <c r="AA12" s="7"/>
      <c r="AB12" s="7"/>
      <c r="AC12" s="7"/>
      <c r="AD12" s="9">
        <f t="shared" si="4"/>
        <v>217</v>
      </c>
      <c r="AE12" s="221">
        <f>AD12/31</f>
        <v>7</v>
      </c>
      <c r="AF12" s="11">
        <f>30*4</f>
        <v>120</v>
      </c>
      <c r="AG12" s="7"/>
      <c r="AH12" s="7"/>
      <c r="AI12" s="7"/>
      <c r="AJ12" s="9">
        <f t="shared" si="5"/>
        <v>120</v>
      </c>
      <c r="AK12" s="221">
        <f>AJ12/30</f>
        <v>4</v>
      </c>
      <c r="AL12" s="11">
        <v>0</v>
      </c>
      <c r="AM12" s="7"/>
      <c r="AN12" s="7"/>
      <c r="AO12" s="7"/>
      <c r="AP12" s="9">
        <f t="shared" si="6"/>
        <v>0</v>
      </c>
      <c r="AR12" s="11">
        <v>40</v>
      </c>
      <c r="AS12" s="7"/>
      <c r="AT12" s="7"/>
      <c r="AU12" s="7"/>
      <c r="AV12" s="9">
        <f t="shared" si="7"/>
        <v>40</v>
      </c>
      <c r="AX12" s="94">
        <f t="shared" si="13"/>
        <v>873</v>
      </c>
      <c r="AY12" s="94">
        <f t="shared" si="9"/>
        <v>0</v>
      </c>
      <c r="AZ12" s="94">
        <f t="shared" si="9"/>
        <v>0</v>
      </c>
      <c r="BA12" s="94">
        <f t="shared" si="9"/>
        <v>0</v>
      </c>
      <c r="BB12" s="9">
        <f t="shared" si="8"/>
        <v>873</v>
      </c>
    </row>
    <row r="13" spans="1:54" x14ac:dyDescent="0.25">
      <c r="A13" s="13" t="s">
        <v>16</v>
      </c>
      <c r="B13" s="11"/>
      <c r="C13" s="7"/>
      <c r="D13" s="7"/>
      <c r="E13" s="7"/>
      <c r="F13" s="9">
        <f t="shared" si="0"/>
        <v>0</v>
      </c>
      <c r="H13" s="11">
        <f t="shared" ref="H13:H14" si="17">31*8</f>
        <v>248</v>
      </c>
      <c r="I13" s="7"/>
      <c r="J13" s="7"/>
      <c r="K13" s="7"/>
      <c r="L13" s="9">
        <f t="shared" si="1"/>
        <v>248</v>
      </c>
      <c r="M13" s="221">
        <f t="shared" ref="M13:M14" si="18">L13/31</f>
        <v>8</v>
      </c>
      <c r="N13" s="11">
        <f>31*4</f>
        <v>124</v>
      </c>
      <c r="O13" s="7"/>
      <c r="P13" s="7"/>
      <c r="Q13" s="7"/>
      <c r="R13" s="9">
        <f t="shared" si="2"/>
        <v>124</v>
      </c>
      <c r="S13" s="221">
        <f t="shared" ref="S13:S14" si="19">R13/31</f>
        <v>4</v>
      </c>
      <c r="T13" s="11">
        <f>31*4</f>
        <v>124</v>
      </c>
      <c r="U13" s="7"/>
      <c r="V13" s="7"/>
      <c r="W13" s="7"/>
      <c r="X13" s="9">
        <f t="shared" si="3"/>
        <v>124</v>
      </c>
      <c r="Y13" s="221">
        <f t="shared" ref="Y13:Y14" si="20">T13/31</f>
        <v>4</v>
      </c>
      <c r="Z13" s="11">
        <f>31*7</f>
        <v>217</v>
      </c>
      <c r="AA13" s="7"/>
      <c r="AB13" s="7"/>
      <c r="AC13" s="7"/>
      <c r="AD13" s="9">
        <f t="shared" si="4"/>
        <v>217</v>
      </c>
      <c r="AE13" s="221">
        <f t="shared" ref="AE13:AE15" si="21">AD13/31</f>
        <v>7</v>
      </c>
      <c r="AF13" s="11">
        <f>30*4</f>
        <v>120</v>
      </c>
      <c r="AG13" s="7"/>
      <c r="AH13" s="7"/>
      <c r="AI13" s="7"/>
      <c r="AJ13" s="9">
        <f t="shared" si="5"/>
        <v>120</v>
      </c>
      <c r="AK13" s="221">
        <f>AJ13/30</f>
        <v>4</v>
      </c>
      <c r="AL13" s="11">
        <v>0</v>
      </c>
      <c r="AM13" s="7"/>
      <c r="AN13" s="7"/>
      <c r="AO13" s="7"/>
      <c r="AP13" s="9">
        <f t="shared" si="6"/>
        <v>0</v>
      </c>
      <c r="AR13" s="11">
        <v>40</v>
      </c>
      <c r="AS13" s="7"/>
      <c r="AT13" s="7"/>
      <c r="AU13" s="7"/>
      <c r="AV13" s="9">
        <f t="shared" si="7"/>
        <v>40</v>
      </c>
      <c r="AX13" s="94">
        <f t="shared" si="13"/>
        <v>873</v>
      </c>
      <c r="AY13" s="94">
        <f t="shared" si="9"/>
        <v>0</v>
      </c>
      <c r="AZ13" s="94">
        <f t="shared" si="9"/>
        <v>0</v>
      </c>
      <c r="BA13" s="94">
        <f t="shared" si="9"/>
        <v>0</v>
      </c>
      <c r="BB13" s="9">
        <f t="shared" si="8"/>
        <v>873</v>
      </c>
    </row>
    <row r="14" spans="1:54" x14ac:dyDescent="0.25">
      <c r="A14" s="13" t="s">
        <v>17</v>
      </c>
      <c r="B14" s="11"/>
      <c r="C14" s="7"/>
      <c r="D14" s="7"/>
      <c r="E14" s="7"/>
      <c r="F14" s="9">
        <f t="shared" si="0"/>
        <v>0</v>
      </c>
      <c r="H14" s="11">
        <f t="shared" si="17"/>
        <v>248</v>
      </c>
      <c r="I14" s="7"/>
      <c r="J14" s="7"/>
      <c r="K14" s="7"/>
      <c r="L14" s="9">
        <f t="shared" si="1"/>
        <v>248</v>
      </c>
      <c r="M14" s="221">
        <f t="shared" si="18"/>
        <v>8</v>
      </c>
      <c r="N14" s="11">
        <f>31*4</f>
        <v>124</v>
      </c>
      <c r="O14" s="7"/>
      <c r="P14" s="7"/>
      <c r="Q14" s="7"/>
      <c r="R14" s="9">
        <f t="shared" si="2"/>
        <v>124</v>
      </c>
      <c r="S14" s="221">
        <f t="shared" si="19"/>
        <v>4</v>
      </c>
      <c r="T14" s="11">
        <f>31*4</f>
        <v>124</v>
      </c>
      <c r="U14" s="7"/>
      <c r="V14" s="7"/>
      <c r="W14" s="7"/>
      <c r="X14" s="9">
        <f t="shared" si="3"/>
        <v>124</v>
      </c>
      <c r="Y14" s="221">
        <f t="shared" si="20"/>
        <v>4</v>
      </c>
      <c r="Z14" s="11">
        <f>31*7</f>
        <v>217</v>
      </c>
      <c r="AA14" s="7"/>
      <c r="AB14" s="7"/>
      <c r="AC14" s="7"/>
      <c r="AD14" s="9">
        <f t="shared" si="4"/>
        <v>217</v>
      </c>
      <c r="AE14" s="221">
        <f t="shared" si="21"/>
        <v>7</v>
      </c>
      <c r="AF14" s="11"/>
      <c r="AG14" s="7"/>
      <c r="AH14" s="7"/>
      <c r="AI14" s="7"/>
      <c r="AJ14" s="9">
        <f t="shared" si="5"/>
        <v>0</v>
      </c>
      <c r="AK14" s="221"/>
      <c r="AL14" s="11">
        <v>0</v>
      </c>
      <c r="AM14" s="7"/>
      <c r="AN14" s="7"/>
      <c r="AO14" s="7"/>
      <c r="AP14" s="9">
        <f t="shared" si="6"/>
        <v>0</v>
      </c>
      <c r="AR14" s="11">
        <v>40</v>
      </c>
      <c r="AS14" s="7"/>
      <c r="AT14" s="7"/>
      <c r="AU14" s="7"/>
      <c r="AV14" s="9">
        <f t="shared" si="7"/>
        <v>40</v>
      </c>
      <c r="AX14" s="94">
        <f t="shared" si="13"/>
        <v>753</v>
      </c>
      <c r="AY14" s="94">
        <f t="shared" si="9"/>
        <v>0</v>
      </c>
      <c r="AZ14" s="94">
        <f t="shared" si="9"/>
        <v>0</v>
      </c>
      <c r="BA14" s="94">
        <f t="shared" si="9"/>
        <v>0</v>
      </c>
      <c r="BB14" s="9">
        <f t="shared" si="8"/>
        <v>753</v>
      </c>
    </row>
    <row r="15" spans="1:54" x14ac:dyDescent="0.25">
      <c r="A15" s="13" t="s">
        <v>18</v>
      </c>
      <c r="B15" s="11"/>
      <c r="C15" s="7"/>
      <c r="D15" s="7"/>
      <c r="E15" s="7"/>
      <c r="F15" s="9">
        <f t="shared" si="0"/>
        <v>0</v>
      </c>
      <c r="H15" s="11">
        <f>30*8</f>
        <v>240</v>
      </c>
      <c r="I15" s="7"/>
      <c r="J15" s="7"/>
      <c r="K15" s="7"/>
      <c r="L15" s="9">
        <f t="shared" si="1"/>
        <v>240</v>
      </c>
      <c r="M15" s="221">
        <f>L15/30</f>
        <v>8</v>
      </c>
      <c r="N15" s="11"/>
      <c r="O15" s="7"/>
      <c r="P15" s="7"/>
      <c r="Q15" s="7"/>
      <c r="R15" s="9">
        <f t="shared" si="2"/>
        <v>0</v>
      </c>
      <c r="T15" s="11"/>
      <c r="U15" s="7"/>
      <c r="V15" s="7"/>
      <c r="W15" s="7"/>
      <c r="X15" s="9">
        <f t="shared" si="3"/>
        <v>0</v>
      </c>
      <c r="Z15" s="11">
        <f>31*9</f>
        <v>279</v>
      </c>
      <c r="AA15" s="7"/>
      <c r="AB15" s="7"/>
      <c r="AC15" s="7"/>
      <c r="AD15" s="9">
        <f t="shared" si="4"/>
        <v>279</v>
      </c>
      <c r="AE15" s="221">
        <f t="shared" si="21"/>
        <v>9</v>
      </c>
      <c r="AF15" s="11"/>
      <c r="AG15" s="7"/>
      <c r="AH15" s="7"/>
      <c r="AI15" s="7"/>
      <c r="AJ15" s="9">
        <f t="shared" si="5"/>
        <v>0</v>
      </c>
      <c r="AK15" s="221"/>
      <c r="AL15" s="11">
        <v>0</v>
      </c>
      <c r="AM15" s="7"/>
      <c r="AN15" s="7"/>
      <c r="AO15" s="7"/>
      <c r="AP15" s="9">
        <f t="shared" si="6"/>
        <v>0</v>
      </c>
      <c r="AR15" s="11">
        <v>40</v>
      </c>
      <c r="AS15" s="7"/>
      <c r="AT15" s="7"/>
      <c r="AU15" s="7"/>
      <c r="AV15" s="9">
        <f t="shared" si="7"/>
        <v>40</v>
      </c>
      <c r="AX15" s="94">
        <f t="shared" si="13"/>
        <v>559</v>
      </c>
      <c r="AY15" s="94">
        <f t="shared" si="9"/>
        <v>0</v>
      </c>
      <c r="AZ15" s="94">
        <f t="shared" si="9"/>
        <v>0</v>
      </c>
      <c r="BA15" s="94">
        <f t="shared" si="9"/>
        <v>0</v>
      </c>
      <c r="BB15" s="9">
        <f t="shared" si="8"/>
        <v>559</v>
      </c>
    </row>
    <row r="16" spans="1:54" x14ac:dyDescent="0.25">
      <c r="A16" s="13" t="s">
        <v>19</v>
      </c>
      <c r="B16" s="11"/>
      <c r="C16" s="7"/>
      <c r="D16" s="7"/>
      <c r="E16" s="7"/>
      <c r="F16" s="9">
        <f t="shared" si="0"/>
        <v>0</v>
      </c>
      <c r="H16" s="11">
        <v>230</v>
      </c>
      <c r="I16" s="7"/>
      <c r="J16" s="7"/>
      <c r="K16" s="7"/>
      <c r="L16" s="9">
        <f t="shared" si="1"/>
        <v>230</v>
      </c>
      <c r="M16" s="221">
        <v>8</v>
      </c>
      <c r="N16" s="11"/>
      <c r="O16" s="7"/>
      <c r="P16" s="7"/>
      <c r="Q16" s="7"/>
      <c r="R16" s="9">
        <f t="shared" si="2"/>
        <v>0</v>
      </c>
      <c r="T16" s="11"/>
      <c r="U16" s="7"/>
      <c r="V16" s="7"/>
      <c r="W16" s="7"/>
      <c r="X16" s="9">
        <f t="shared" si="3"/>
        <v>0</v>
      </c>
      <c r="Z16" s="11">
        <f>30*8</f>
        <v>240</v>
      </c>
      <c r="AA16" s="7"/>
      <c r="AB16" s="7"/>
      <c r="AC16" s="7"/>
      <c r="AD16" s="9">
        <f t="shared" si="4"/>
        <v>240</v>
      </c>
      <c r="AE16" s="221">
        <f>AD16/30</f>
        <v>8</v>
      </c>
      <c r="AF16" s="11"/>
      <c r="AG16" s="7"/>
      <c r="AH16" s="7"/>
      <c r="AI16" s="7"/>
      <c r="AJ16" s="9">
        <f t="shared" si="5"/>
        <v>0</v>
      </c>
      <c r="AK16" s="221"/>
      <c r="AL16" s="11">
        <v>0</v>
      </c>
      <c r="AM16" s="7"/>
      <c r="AN16" s="7"/>
      <c r="AO16" s="7"/>
      <c r="AP16" s="9">
        <f t="shared" si="6"/>
        <v>0</v>
      </c>
      <c r="AR16" s="11">
        <v>40</v>
      </c>
      <c r="AS16" s="7"/>
      <c r="AT16" s="7"/>
      <c r="AU16" s="7"/>
      <c r="AV16" s="9">
        <f t="shared" si="7"/>
        <v>40</v>
      </c>
      <c r="AX16" s="94">
        <f t="shared" si="13"/>
        <v>510</v>
      </c>
      <c r="AY16" s="94">
        <f t="shared" si="9"/>
        <v>0</v>
      </c>
      <c r="AZ16" s="94">
        <f t="shared" si="9"/>
        <v>0</v>
      </c>
      <c r="BA16" s="94">
        <f t="shared" si="9"/>
        <v>0</v>
      </c>
      <c r="BB16" s="9">
        <f t="shared" si="8"/>
        <v>510</v>
      </c>
    </row>
    <row r="17" spans="1:55" x14ac:dyDescent="0.25">
      <c r="A17" s="13" t="s">
        <v>20</v>
      </c>
      <c r="B17" s="11"/>
      <c r="C17" s="7"/>
      <c r="D17" s="7"/>
      <c r="E17" s="7"/>
      <c r="F17" s="9">
        <f t="shared" si="0"/>
        <v>0</v>
      </c>
      <c r="H17" s="11">
        <v>210</v>
      </c>
      <c r="I17" s="7"/>
      <c r="J17" s="7"/>
      <c r="K17" s="7"/>
      <c r="L17" s="9">
        <f t="shared" si="1"/>
        <v>210</v>
      </c>
      <c r="M17" s="221">
        <v>7</v>
      </c>
      <c r="N17" s="11"/>
      <c r="O17" s="7"/>
      <c r="P17" s="7"/>
      <c r="Q17" s="7"/>
      <c r="R17" s="9">
        <f t="shared" si="2"/>
        <v>0</v>
      </c>
      <c r="T17" s="11"/>
      <c r="U17" s="7"/>
      <c r="V17" s="7"/>
      <c r="W17" s="7"/>
      <c r="X17" s="9">
        <f t="shared" si="3"/>
        <v>0</v>
      </c>
      <c r="Z17" s="11">
        <v>235</v>
      </c>
      <c r="AA17" s="7"/>
      <c r="AB17" s="7"/>
      <c r="AC17" s="7"/>
      <c r="AD17" s="9">
        <f t="shared" si="4"/>
        <v>235</v>
      </c>
      <c r="AE17" s="221">
        <v>8</v>
      </c>
      <c r="AF17" s="11"/>
      <c r="AG17" s="7"/>
      <c r="AH17" s="7"/>
      <c r="AI17" s="7"/>
      <c r="AJ17" s="9">
        <f t="shared" si="5"/>
        <v>0</v>
      </c>
      <c r="AK17" s="221"/>
      <c r="AL17" s="11">
        <v>0</v>
      </c>
      <c r="AM17" s="7"/>
      <c r="AN17" s="7"/>
      <c r="AO17" s="7"/>
      <c r="AP17" s="9">
        <f t="shared" si="6"/>
        <v>0</v>
      </c>
      <c r="AR17" s="11">
        <v>30</v>
      </c>
      <c r="AS17" s="7"/>
      <c r="AT17" s="7"/>
      <c r="AU17" s="7"/>
      <c r="AV17" s="9">
        <f t="shared" si="7"/>
        <v>30</v>
      </c>
      <c r="AX17" s="94">
        <f t="shared" si="13"/>
        <v>475</v>
      </c>
      <c r="AY17" s="94">
        <f t="shared" si="9"/>
        <v>0</v>
      </c>
      <c r="AZ17" s="94">
        <f t="shared" si="9"/>
        <v>0</v>
      </c>
      <c r="BA17" s="94">
        <f t="shared" si="9"/>
        <v>0</v>
      </c>
      <c r="BB17" s="9">
        <f t="shared" si="8"/>
        <v>475</v>
      </c>
    </row>
    <row r="18" spans="1:55" x14ac:dyDescent="0.25">
      <c r="A18" s="13" t="s">
        <v>21</v>
      </c>
      <c r="B18" s="11"/>
      <c r="C18" s="7"/>
      <c r="D18" s="7"/>
      <c r="E18" s="7"/>
      <c r="F18" s="9">
        <f t="shared" si="0"/>
        <v>0</v>
      </c>
      <c r="H18" s="11">
        <v>185</v>
      </c>
      <c r="I18" s="7"/>
      <c r="J18" s="7"/>
      <c r="K18" s="7"/>
      <c r="L18" s="9">
        <f t="shared" si="1"/>
        <v>185</v>
      </c>
      <c r="M18" s="221">
        <v>7</v>
      </c>
      <c r="N18" s="11"/>
      <c r="O18" s="7"/>
      <c r="P18" s="7"/>
      <c r="Q18" s="7"/>
      <c r="R18" s="9">
        <f t="shared" si="2"/>
        <v>0</v>
      </c>
      <c r="T18" s="11"/>
      <c r="U18" s="7"/>
      <c r="V18" s="7"/>
      <c r="W18" s="7"/>
      <c r="X18" s="9">
        <f t="shared" si="3"/>
        <v>0</v>
      </c>
      <c r="Z18" s="11">
        <v>190</v>
      </c>
      <c r="AA18" s="7"/>
      <c r="AB18" s="7"/>
      <c r="AC18" s="7"/>
      <c r="AD18" s="9">
        <f t="shared" si="4"/>
        <v>190</v>
      </c>
      <c r="AE18" s="221">
        <v>7</v>
      </c>
      <c r="AF18" s="11"/>
      <c r="AG18" s="7"/>
      <c r="AH18" s="7"/>
      <c r="AI18" s="7"/>
      <c r="AJ18" s="9">
        <f t="shared" si="5"/>
        <v>0</v>
      </c>
      <c r="AK18" s="221"/>
      <c r="AL18" s="11">
        <v>0</v>
      </c>
      <c r="AM18" s="7"/>
      <c r="AN18" s="7"/>
      <c r="AO18" s="7"/>
      <c r="AP18" s="9">
        <f t="shared" si="6"/>
        <v>0</v>
      </c>
      <c r="AR18" s="11">
        <v>20</v>
      </c>
      <c r="AS18" s="7"/>
      <c r="AT18" s="7"/>
      <c r="AU18" s="7"/>
      <c r="AV18" s="9">
        <f t="shared" si="7"/>
        <v>20</v>
      </c>
      <c r="AX18" s="94">
        <f t="shared" si="13"/>
        <v>395</v>
      </c>
      <c r="AY18" s="94">
        <f t="shared" si="9"/>
        <v>0</v>
      </c>
      <c r="AZ18" s="94">
        <f t="shared" si="9"/>
        <v>0</v>
      </c>
      <c r="BA18" s="94">
        <f t="shared" si="9"/>
        <v>0</v>
      </c>
      <c r="BB18" s="9">
        <f t="shared" si="8"/>
        <v>395</v>
      </c>
    </row>
    <row r="19" spans="1:55" x14ac:dyDescent="0.25">
      <c r="A19" s="13" t="s">
        <v>8</v>
      </c>
      <c r="B19" s="9">
        <f>SUM(B6:B18)</f>
        <v>936</v>
      </c>
      <c r="C19" s="9"/>
      <c r="D19" s="9"/>
      <c r="E19" s="9"/>
      <c r="F19" s="9">
        <f t="shared" si="0"/>
        <v>936</v>
      </c>
      <c r="H19" s="9">
        <f>SUM(H6:H18)</f>
        <v>2419</v>
      </c>
      <c r="I19" s="9"/>
      <c r="J19" s="9"/>
      <c r="K19" s="9"/>
      <c r="L19" s="9">
        <f t="shared" si="1"/>
        <v>2419</v>
      </c>
      <c r="N19" s="9">
        <f>SUM(N6:N18)</f>
        <v>1016</v>
      </c>
      <c r="O19" s="9"/>
      <c r="P19" s="9"/>
      <c r="Q19" s="9"/>
      <c r="R19" s="9">
        <f t="shared" si="2"/>
        <v>1016</v>
      </c>
      <c r="T19" s="9">
        <f>SUM(T6:T18)</f>
        <v>1215</v>
      </c>
      <c r="U19" s="9"/>
      <c r="V19" s="9"/>
      <c r="W19" s="9"/>
      <c r="X19" s="9">
        <f t="shared" si="3"/>
        <v>1215</v>
      </c>
      <c r="Z19" s="9">
        <f>SUM(Z6:Z18)</f>
        <v>2375</v>
      </c>
      <c r="AA19" s="9"/>
      <c r="AB19" s="9"/>
      <c r="AC19" s="9"/>
      <c r="AD19" s="9">
        <f t="shared" si="4"/>
        <v>2375</v>
      </c>
      <c r="AF19" s="9">
        <f>SUM(AF6:AF18)</f>
        <v>815</v>
      </c>
      <c r="AG19" s="9"/>
      <c r="AH19" s="9"/>
      <c r="AI19" s="9"/>
      <c r="AJ19" s="9">
        <f t="shared" si="5"/>
        <v>815</v>
      </c>
      <c r="AL19" s="9">
        <f>SUM(AL6:AL18)</f>
        <v>0</v>
      </c>
      <c r="AM19" s="9"/>
      <c r="AN19" s="9"/>
      <c r="AO19" s="9"/>
      <c r="AP19" s="9">
        <f t="shared" si="6"/>
        <v>0</v>
      </c>
      <c r="AR19" s="9">
        <f>SUM(AR6:AR18)</f>
        <v>250</v>
      </c>
      <c r="AS19" s="9"/>
      <c r="AT19" s="9"/>
      <c r="AU19" s="9"/>
      <c r="AV19" s="9">
        <f t="shared" si="7"/>
        <v>250</v>
      </c>
      <c r="AX19" s="9">
        <f>B19+H19+N19+T19+Z19+AF19+AL19+AR19</f>
        <v>9026</v>
      </c>
      <c r="AY19" s="9">
        <f>C19+I19+O19+U19+AA19+AM19+AS19</f>
        <v>0</v>
      </c>
      <c r="AZ19" s="9">
        <f>D19+J19+P19+V19+AB19+AN19+AT19</f>
        <v>0</v>
      </c>
      <c r="BA19" s="9">
        <f>E19+K19+Q19+W19+AC19+AO19+AU19</f>
        <v>0</v>
      </c>
      <c r="BB19" s="9">
        <f t="shared" si="8"/>
        <v>9026</v>
      </c>
      <c r="BC19" s="224" t="b">
        <f>BB19='Use this enrollment'!E70</f>
        <v>1</v>
      </c>
    </row>
    <row r="20" spans="1:55" x14ac:dyDescent="0.25">
      <c r="A20" s="16"/>
      <c r="B20" s="7"/>
      <c r="C20" s="7"/>
      <c r="D20" s="7"/>
      <c r="E20" s="7"/>
      <c r="F20" s="7"/>
      <c r="H20" s="7"/>
      <c r="I20" s="7"/>
      <c r="J20" s="7"/>
      <c r="K20" s="7"/>
      <c r="L20" s="7"/>
      <c r="N20" s="7"/>
      <c r="O20" s="7"/>
      <c r="P20" s="7"/>
      <c r="Q20" s="7"/>
      <c r="R20" s="7"/>
      <c r="T20" s="7"/>
      <c r="U20" s="7"/>
      <c r="V20" s="7"/>
      <c r="W20" s="7"/>
      <c r="X20" s="7"/>
      <c r="Z20" s="7"/>
      <c r="AA20" s="7"/>
      <c r="AB20" s="7"/>
      <c r="AC20" s="7"/>
      <c r="AD20" s="7"/>
      <c r="AF20" s="7"/>
      <c r="AG20" s="7"/>
      <c r="AH20" s="7"/>
      <c r="AI20" s="7"/>
      <c r="AJ20" s="7"/>
      <c r="AL20" s="7"/>
      <c r="AM20" s="7"/>
      <c r="AN20" s="7"/>
      <c r="AO20" s="7"/>
      <c r="AP20" s="7"/>
      <c r="AR20" s="7"/>
      <c r="AS20" s="7"/>
      <c r="AT20" s="7"/>
      <c r="AU20" s="7"/>
      <c r="AV20" s="7"/>
      <c r="AX20" s="7"/>
      <c r="AY20" s="7"/>
      <c r="AZ20" s="7"/>
      <c r="BA20" s="7"/>
      <c r="BB20" s="7"/>
    </row>
    <row r="21" spans="1:55" x14ac:dyDescent="0.25">
      <c r="A21" s="17" t="s">
        <v>22</v>
      </c>
      <c r="B21" s="18"/>
      <c r="C21" s="18"/>
      <c r="D21" s="18"/>
      <c r="E21" s="18"/>
      <c r="F21" s="18"/>
      <c r="H21" s="18"/>
      <c r="I21" s="18"/>
      <c r="J21" s="18"/>
      <c r="K21" s="18"/>
      <c r="L21" s="18"/>
      <c r="N21" s="18"/>
      <c r="O21" s="18"/>
      <c r="P21" s="18"/>
      <c r="Q21" s="18"/>
      <c r="R21" s="18"/>
      <c r="T21" s="18"/>
      <c r="U21" s="18"/>
      <c r="V21" s="18"/>
      <c r="W21" s="18"/>
      <c r="X21" s="18"/>
      <c r="Z21" s="18"/>
      <c r="AA21" s="18"/>
      <c r="AB21" s="18"/>
      <c r="AC21" s="18"/>
      <c r="AD21" s="18"/>
      <c r="AF21" s="18"/>
      <c r="AG21" s="18"/>
      <c r="AH21" s="18"/>
      <c r="AI21" s="18"/>
      <c r="AJ21" s="18"/>
      <c r="AL21" s="18"/>
      <c r="AM21" s="18"/>
      <c r="AN21" s="18"/>
      <c r="AO21" s="18"/>
      <c r="AP21" s="18"/>
      <c r="AR21" s="18"/>
      <c r="AS21" s="18"/>
      <c r="AT21" s="18"/>
      <c r="AU21" s="18"/>
      <c r="AV21" s="18"/>
      <c r="AX21" s="18"/>
      <c r="AY21" s="18"/>
      <c r="AZ21" s="18"/>
      <c r="BA21" s="18"/>
      <c r="BB21" s="18"/>
    </row>
    <row r="22" spans="1:55" x14ac:dyDescent="0.25">
      <c r="A22" s="140" t="s">
        <v>23</v>
      </c>
      <c r="B22" s="7"/>
      <c r="C22" s="7"/>
      <c r="D22" s="7">
        <f>('FY24'!D22/'FY24'!B19)*'FY25'!B19</f>
        <v>100.99221357063404</v>
      </c>
      <c r="E22" s="7"/>
      <c r="F22" s="7">
        <f t="shared" ref="F22:F27" si="22">SUM(B22:E22)</f>
        <v>100.99221357063404</v>
      </c>
      <c r="H22" s="7"/>
      <c r="I22" s="7"/>
      <c r="J22" s="7">
        <f>('FY24'!J22/'FY24'!H19)*'FY25'!H19</f>
        <v>307.22593582887703</v>
      </c>
      <c r="K22" s="7"/>
      <c r="L22" s="7">
        <f t="shared" ref="L22:L27" si="23">SUM(H22:K22)</f>
        <v>307.22593582887703</v>
      </c>
      <c r="M22" s="219">
        <f>J22/24</f>
        <v>12.801080659536543</v>
      </c>
      <c r="N22" s="7"/>
      <c r="O22" s="7"/>
      <c r="P22" s="7">
        <f>('FY24'!P22/'FY24'!N19)*'FY25'!N19</f>
        <v>74</v>
      </c>
      <c r="Q22" s="7"/>
      <c r="R22" s="7">
        <f t="shared" ref="R22:R27" si="24">SUM(N22:Q22)</f>
        <v>74</v>
      </c>
      <c r="T22" s="7"/>
      <c r="U22" s="7"/>
      <c r="V22" s="7">
        <f>('FY24'!V22/'FY24'!T19)*'FY25'!T19</f>
        <v>109.44120100083403</v>
      </c>
      <c r="W22" s="7"/>
      <c r="X22" s="7">
        <f t="shared" ref="X22:X27" si="25">SUM(T22:W22)</f>
        <v>109.44120100083403</v>
      </c>
      <c r="Z22" s="7"/>
      <c r="AA22" s="7"/>
      <c r="AB22" s="7">
        <f>('FY24'!AB22/'FY24'!Z19)*'FY25'!Z19</f>
        <v>194.31818181818181</v>
      </c>
      <c r="AC22" s="7"/>
      <c r="AD22" s="7">
        <f t="shared" ref="AD22:AD27" si="26">SUM(Z22:AC22)</f>
        <v>194.31818181818181</v>
      </c>
      <c r="AF22" s="7"/>
      <c r="AG22" s="7"/>
      <c r="AH22" s="7">
        <f>'FY24'!AF19*0.12</f>
        <v>77.399999999999991</v>
      </c>
      <c r="AI22" s="7"/>
      <c r="AJ22" s="7">
        <f t="shared" ref="AJ22:AJ27" si="27">SUM(AF22:AI22)</f>
        <v>77.399999999999991</v>
      </c>
      <c r="AL22" s="7"/>
      <c r="AM22" s="7"/>
      <c r="AN22" s="7">
        <v>0</v>
      </c>
      <c r="AO22" s="7"/>
      <c r="AP22" s="7">
        <f t="shared" ref="AP22:AP27" si="28">SUM(AL22:AO22)</f>
        <v>0</v>
      </c>
      <c r="AR22" s="7"/>
      <c r="AS22" s="7"/>
      <c r="AT22" s="7">
        <v>17</v>
      </c>
      <c r="AU22" s="7"/>
      <c r="AV22" s="7">
        <f t="shared" ref="AV22:AV27" si="29">SUM(AR22:AU22)</f>
        <v>17</v>
      </c>
      <c r="AX22" s="7">
        <f>B22+H22+N22+T22+Z22+AF22+AL22+AR22</f>
        <v>0</v>
      </c>
      <c r="AY22" s="7">
        <f t="shared" ref="AY22:BA22" si="30">C22+I22+O22+U22+AA22+AG22+AM22+AS22</f>
        <v>0</v>
      </c>
      <c r="AZ22" s="7">
        <f t="shared" si="30"/>
        <v>880.37753221852688</v>
      </c>
      <c r="BA22" s="7">
        <f t="shared" si="30"/>
        <v>0</v>
      </c>
      <c r="BB22" s="7">
        <f t="shared" ref="BB22:BB27" si="31">SUM(AX22:BA22)</f>
        <v>880.37753221852688</v>
      </c>
    </row>
    <row r="23" spans="1:55" x14ac:dyDescent="0.25">
      <c r="A23" s="140" t="s">
        <v>24</v>
      </c>
      <c r="B23" s="7"/>
      <c r="C23" s="7">
        <f>('FY24'!C23/'FY24'!B19)*'FY25'!B19</f>
        <v>15.617352614015573</v>
      </c>
      <c r="D23" s="7"/>
      <c r="E23" s="7"/>
      <c r="F23" s="7">
        <f t="shared" si="22"/>
        <v>15.617352614015573</v>
      </c>
      <c r="H23" s="7"/>
      <c r="I23" s="7">
        <f>('FY24'!I23/'FY24'!H19)*'FY25'!H19</f>
        <v>35.573529411764703</v>
      </c>
      <c r="J23" s="7"/>
      <c r="K23" s="7"/>
      <c r="L23" s="7">
        <f t="shared" si="23"/>
        <v>35.573529411764703</v>
      </c>
      <c r="N23" s="7"/>
      <c r="O23" s="7">
        <f>('FY24'!O23/'FY24'!N19)*'FY25'!N19</f>
        <v>18</v>
      </c>
      <c r="P23" s="7"/>
      <c r="Q23" s="7"/>
      <c r="R23" s="7">
        <f t="shared" si="24"/>
        <v>18</v>
      </c>
      <c r="T23" s="7"/>
      <c r="U23" s="7">
        <f>('FY24'!U23/'FY24'!T19)*'FY25'!T19</f>
        <v>8.1067556296914098</v>
      </c>
      <c r="V23" s="7"/>
      <c r="W23" s="7"/>
      <c r="X23" s="7">
        <f t="shared" si="25"/>
        <v>8.1067556296914098</v>
      </c>
      <c r="Z23" s="7"/>
      <c r="AA23" s="7">
        <f>('FY24'!AA23/'FY24'!Z19)*'FY25'!Z19</f>
        <v>26.136363636363637</v>
      </c>
      <c r="AB23" s="7"/>
      <c r="AC23" s="7"/>
      <c r="AD23" s="7">
        <f t="shared" si="26"/>
        <v>26.136363636363637</v>
      </c>
      <c r="AF23" s="7"/>
      <c r="AG23" s="357">
        <f>'FY24'!AF19*0.29</f>
        <v>187.04999999999998</v>
      </c>
      <c r="AH23" s="7"/>
      <c r="AI23" s="7"/>
      <c r="AJ23" s="7">
        <f t="shared" si="27"/>
        <v>187.04999999999998</v>
      </c>
      <c r="AL23" s="7"/>
      <c r="AM23" s="7">
        <v>0</v>
      </c>
      <c r="AN23" s="7"/>
      <c r="AO23" s="7"/>
      <c r="AP23" s="7">
        <f t="shared" si="28"/>
        <v>0</v>
      </c>
      <c r="AR23" s="7"/>
      <c r="AS23" s="7">
        <v>0</v>
      </c>
      <c r="AT23" s="7"/>
      <c r="AU23" s="7"/>
      <c r="AV23" s="7">
        <f t="shared" si="29"/>
        <v>0</v>
      </c>
      <c r="AX23" s="7">
        <f t="shared" ref="AX23:AX26" si="32">B23+H23+N23+T23+Z23+AL23+AR23</f>
        <v>0</v>
      </c>
      <c r="AY23" s="7">
        <f t="shared" ref="AY23:BA24" si="33">C23+I23+O23+U23+AA23+AM23+AS23</f>
        <v>103.43400129183532</v>
      </c>
      <c r="AZ23" s="7">
        <f t="shared" si="33"/>
        <v>0</v>
      </c>
      <c r="BA23" s="7">
        <f t="shared" si="33"/>
        <v>0</v>
      </c>
      <c r="BB23" s="7">
        <f t="shared" si="31"/>
        <v>103.43400129183532</v>
      </c>
    </row>
    <row r="24" spans="1:55" x14ac:dyDescent="0.25">
      <c r="A24" s="140" t="s">
        <v>25</v>
      </c>
      <c r="B24" s="7"/>
      <c r="C24" s="7">
        <f>('FY24'!C24/'FY24'!B19)*'FY25'!B19</f>
        <v>45.810901001112349</v>
      </c>
      <c r="D24" s="7"/>
      <c r="E24" s="7"/>
      <c r="F24" s="7">
        <f t="shared" si="22"/>
        <v>45.810901001112349</v>
      </c>
      <c r="H24" s="7"/>
      <c r="I24" s="7">
        <f>('FY24'!I24/'FY24'!H19)*'FY25'!H19</f>
        <v>56.055258467023179</v>
      </c>
      <c r="J24" s="7"/>
      <c r="K24" s="7"/>
      <c r="L24" s="7">
        <f t="shared" si="23"/>
        <v>56.055258467023179</v>
      </c>
      <c r="N24" s="7"/>
      <c r="O24" s="7">
        <f>('FY24'!O24/'FY24'!N19)*'FY25'!N19</f>
        <v>46</v>
      </c>
      <c r="P24" s="7"/>
      <c r="Q24" s="7"/>
      <c r="R24" s="7">
        <f t="shared" si="24"/>
        <v>46</v>
      </c>
      <c r="T24" s="7"/>
      <c r="U24" s="7">
        <f>('FY24'!U24/'FY24'!T19)*'FY25'!T19</f>
        <v>78.027522935779814</v>
      </c>
      <c r="V24" s="7"/>
      <c r="W24" s="7"/>
      <c r="X24" s="7">
        <f t="shared" si="25"/>
        <v>78.027522935779814</v>
      </c>
      <c r="Z24" s="7"/>
      <c r="AA24" s="7">
        <f>('FY24'!AA24/'FY24'!Z19)*'FY25'!Z19</f>
        <v>72.72727272727272</v>
      </c>
      <c r="AB24" s="7"/>
      <c r="AC24" s="7"/>
      <c r="AD24" s="7">
        <f t="shared" si="26"/>
        <v>72.72727272727272</v>
      </c>
      <c r="AF24" s="7"/>
      <c r="AG24" s="357">
        <v>0</v>
      </c>
      <c r="AH24" s="7"/>
      <c r="AI24" s="7"/>
      <c r="AJ24" s="7">
        <f t="shared" si="27"/>
        <v>0</v>
      </c>
      <c r="AL24" s="7"/>
      <c r="AM24" s="7">
        <v>0</v>
      </c>
      <c r="AN24" s="7"/>
      <c r="AO24" s="7"/>
      <c r="AP24" s="7">
        <f t="shared" si="28"/>
        <v>0</v>
      </c>
      <c r="AR24" s="7"/>
      <c r="AS24" s="7">
        <v>0</v>
      </c>
      <c r="AT24" s="7"/>
      <c r="AU24" s="7"/>
      <c r="AV24" s="7">
        <f t="shared" si="29"/>
        <v>0</v>
      </c>
      <c r="AX24" s="7">
        <f t="shared" si="32"/>
        <v>0</v>
      </c>
      <c r="AY24" s="7">
        <f t="shared" si="33"/>
        <v>298.62095513118805</v>
      </c>
      <c r="AZ24" s="7">
        <f t="shared" si="33"/>
        <v>0</v>
      </c>
      <c r="BA24" s="7">
        <f t="shared" si="33"/>
        <v>0</v>
      </c>
      <c r="BB24" s="7">
        <f t="shared" si="31"/>
        <v>298.62095513118805</v>
      </c>
    </row>
    <row r="25" spans="1:55" x14ac:dyDescent="0.25">
      <c r="A25" s="140" t="s">
        <v>26</v>
      </c>
      <c r="B25" s="19"/>
      <c r="C25" s="19"/>
      <c r="D25" s="19"/>
      <c r="E25" s="19">
        <v>0.38</v>
      </c>
      <c r="F25" s="19">
        <f t="shared" si="22"/>
        <v>0.38</v>
      </c>
      <c r="H25" s="19"/>
      <c r="I25" s="19"/>
      <c r="J25" s="19"/>
      <c r="K25" s="19">
        <v>0.4</v>
      </c>
      <c r="L25" s="19">
        <f t="shared" si="23"/>
        <v>0.4</v>
      </c>
      <c r="N25" s="19"/>
      <c r="O25" s="19"/>
      <c r="P25" s="19"/>
      <c r="Q25" s="19">
        <v>0.3</v>
      </c>
      <c r="R25" s="19">
        <f t="shared" si="24"/>
        <v>0.3</v>
      </c>
      <c r="T25" s="19"/>
      <c r="U25" s="19"/>
      <c r="V25" s="19"/>
      <c r="W25" s="19">
        <v>0.15</v>
      </c>
      <c r="X25" s="19">
        <f t="shared" si="25"/>
        <v>0.15</v>
      </c>
      <c r="Z25" s="19"/>
      <c r="AA25" s="19"/>
      <c r="AB25" s="19"/>
      <c r="AC25" s="19">
        <v>0.24</v>
      </c>
      <c r="AD25" s="19">
        <f t="shared" si="26"/>
        <v>0.24</v>
      </c>
      <c r="AF25" s="19"/>
      <c r="AG25" s="19"/>
      <c r="AH25" s="19"/>
      <c r="AI25" s="358">
        <v>0.64</v>
      </c>
      <c r="AJ25" s="19">
        <f t="shared" si="27"/>
        <v>0.64</v>
      </c>
      <c r="AL25" s="19"/>
      <c r="AM25" s="19"/>
      <c r="AN25" s="19"/>
      <c r="AO25" s="19">
        <v>0</v>
      </c>
      <c r="AP25" s="19">
        <f t="shared" si="28"/>
        <v>0</v>
      </c>
      <c r="AR25" s="19"/>
      <c r="AS25" s="19"/>
      <c r="AT25" s="19"/>
      <c r="AU25" s="19">
        <v>0.4</v>
      </c>
      <c r="AV25" s="19">
        <f t="shared" si="29"/>
        <v>0.4</v>
      </c>
      <c r="AX25" s="7">
        <f t="shared" si="32"/>
        <v>0</v>
      </c>
      <c r="AY25" s="7">
        <f>C25+I25+O25+U25+AA25+AM25+AS25</f>
        <v>0</v>
      </c>
      <c r="AZ25" s="7">
        <f>D25+J25+P25+V25+AB25+AN25+AT25</f>
        <v>0</v>
      </c>
      <c r="BA25" s="226">
        <f>((E25*B19)+(K25*H19)+(Q25*N19)+(W25*T19)+(AC25*Z19)+(AF19*AI25))/AX19</f>
        <v>0.3215078661644139</v>
      </c>
      <c r="BB25" s="19">
        <f t="shared" si="31"/>
        <v>0.3215078661644139</v>
      </c>
    </row>
    <row r="26" spans="1:55" x14ac:dyDescent="0.25">
      <c r="A26" s="140" t="s">
        <v>27</v>
      </c>
      <c r="B26" s="7"/>
      <c r="C26" s="7">
        <f>('FY24'!C26/'FY24'!B19)*'FY25'!B19</f>
        <v>241.54838709677418</v>
      </c>
      <c r="D26" s="7"/>
      <c r="E26" s="7"/>
      <c r="F26" s="7">
        <f t="shared" si="22"/>
        <v>241.54838709677418</v>
      </c>
      <c r="H26" s="7"/>
      <c r="I26" s="7">
        <f>('FY24'!I26/'FY24'!H19)*'FY25'!H19</f>
        <v>557.31862745098044</v>
      </c>
      <c r="J26" s="7"/>
      <c r="K26" s="7"/>
      <c r="L26" s="7">
        <f t="shared" si="23"/>
        <v>557.31862745098044</v>
      </c>
      <c r="N26" s="7"/>
      <c r="O26" s="7">
        <f>('FY24'!O26/'FY24'!N19)*'FY25'!N19</f>
        <v>241</v>
      </c>
      <c r="P26" s="7"/>
      <c r="Q26" s="7"/>
      <c r="R26" s="7">
        <f t="shared" si="24"/>
        <v>241</v>
      </c>
      <c r="T26" s="7"/>
      <c r="U26" s="7">
        <f>('FY24'!U26/'FY24'!T19)*'FY25'!T19</f>
        <v>132.74812343619683</v>
      </c>
      <c r="V26" s="7"/>
      <c r="W26" s="7"/>
      <c r="X26" s="7">
        <f t="shared" si="25"/>
        <v>132.74812343619683</v>
      </c>
      <c r="Z26" s="7"/>
      <c r="AA26" s="7">
        <f>('FY24'!AA26/'FY24'!Z19)*'FY25'!Z19</f>
        <v>278.40909090909088</v>
      </c>
      <c r="AB26" s="7"/>
      <c r="AC26" s="7"/>
      <c r="AD26" s="7">
        <f t="shared" si="26"/>
        <v>278.40909090909088</v>
      </c>
      <c r="AF26" s="7"/>
      <c r="AG26" s="7">
        <f>'FY24'!AF19*AI25-AG23-AH22</f>
        <v>148.35000000000002</v>
      </c>
      <c r="AH26" s="19"/>
      <c r="AI26" s="7"/>
      <c r="AJ26" s="7">
        <f t="shared" si="27"/>
        <v>148.35000000000002</v>
      </c>
      <c r="AL26" s="7"/>
      <c r="AM26" s="7">
        <v>0</v>
      </c>
      <c r="AN26" s="7"/>
      <c r="AO26" s="7"/>
      <c r="AP26" s="7">
        <f t="shared" si="28"/>
        <v>0</v>
      </c>
      <c r="AR26" s="7"/>
      <c r="AS26" s="7">
        <v>68</v>
      </c>
      <c r="AT26" s="7"/>
      <c r="AU26" s="7"/>
      <c r="AV26" s="7">
        <f t="shared" si="29"/>
        <v>68</v>
      </c>
      <c r="AX26" s="7">
        <f t="shared" si="32"/>
        <v>0</v>
      </c>
      <c r="AY26" s="7">
        <f>C26+I26+O26+U26+AA26+AM26+AS26</f>
        <v>1519.0242288930422</v>
      </c>
      <c r="AZ26" s="7">
        <f>D26+J26+P26+V26+AB26+AN26+AT26</f>
        <v>0</v>
      </c>
      <c r="BA26" s="7">
        <f>E26+K26+Q26+W26+AC26+AO26+AU26</f>
        <v>0</v>
      </c>
      <c r="BB26" s="7">
        <f t="shared" si="31"/>
        <v>1519.0242288930422</v>
      </c>
    </row>
    <row r="27" spans="1:55" x14ac:dyDescent="0.25">
      <c r="A27" s="20"/>
      <c r="B27" s="7"/>
      <c r="C27" s="7"/>
      <c r="D27" s="7"/>
      <c r="E27" s="7"/>
      <c r="F27" s="7">
        <f t="shared" si="22"/>
        <v>0</v>
      </c>
      <c r="H27" s="7"/>
      <c r="I27" s="7"/>
      <c r="J27" s="7"/>
      <c r="K27" s="7"/>
      <c r="L27" s="7">
        <f t="shared" si="23"/>
        <v>0</v>
      </c>
      <c r="N27" s="7"/>
      <c r="O27" s="7"/>
      <c r="P27" s="7"/>
      <c r="Q27" s="7"/>
      <c r="R27" s="7">
        <f t="shared" si="24"/>
        <v>0</v>
      </c>
      <c r="T27" s="7"/>
      <c r="U27" s="7"/>
      <c r="V27" s="7"/>
      <c r="W27" s="7"/>
      <c r="X27" s="7">
        <f t="shared" si="25"/>
        <v>0</v>
      </c>
      <c r="Z27" s="7"/>
      <c r="AA27" s="7"/>
      <c r="AB27" s="7"/>
      <c r="AC27" s="7"/>
      <c r="AD27" s="7">
        <f t="shared" si="26"/>
        <v>0</v>
      </c>
      <c r="AF27" s="7"/>
      <c r="AG27" s="7"/>
      <c r="AH27" s="7"/>
      <c r="AI27" s="7"/>
      <c r="AJ27" s="7">
        <f t="shared" si="27"/>
        <v>0</v>
      </c>
      <c r="AL27" s="7"/>
      <c r="AM27" s="7"/>
      <c r="AN27" s="7"/>
      <c r="AO27" s="7"/>
      <c r="AP27" s="7">
        <f t="shared" si="28"/>
        <v>0</v>
      </c>
      <c r="AR27" s="7"/>
      <c r="AS27" s="7"/>
      <c r="AT27" s="7"/>
      <c r="AU27" s="7"/>
      <c r="AV27" s="7">
        <f t="shared" si="29"/>
        <v>0</v>
      </c>
      <c r="AX27" s="7"/>
      <c r="AY27" s="7"/>
      <c r="AZ27" s="7"/>
      <c r="BA27" s="7"/>
      <c r="BB27" s="7">
        <f t="shared" si="31"/>
        <v>0</v>
      </c>
    </row>
    <row r="28" spans="1:55" x14ac:dyDescent="0.25">
      <c r="A28" s="17" t="s">
        <v>28</v>
      </c>
      <c r="B28" s="18"/>
      <c r="C28" s="18"/>
      <c r="D28" s="18"/>
      <c r="E28" s="18"/>
      <c r="F28" s="18"/>
      <c r="H28" s="18"/>
      <c r="I28" s="18"/>
      <c r="J28" s="18"/>
      <c r="K28" s="18"/>
      <c r="L28" s="18"/>
      <c r="N28" s="18"/>
      <c r="O28" s="18"/>
      <c r="P28" s="18"/>
      <c r="Q28" s="18"/>
      <c r="R28" s="18"/>
      <c r="T28" s="18"/>
      <c r="U28" s="18"/>
      <c r="V28" s="18"/>
      <c r="W28" s="18"/>
      <c r="X28" s="18"/>
      <c r="Z28" s="18"/>
      <c r="AA28" s="18"/>
      <c r="AB28" s="18"/>
      <c r="AC28" s="18"/>
      <c r="AD28" s="18"/>
      <c r="AF28" s="18"/>
      <c r="AG28" s="18"/>
      <c r="AH28" s="18"/>
      <c r="AI28" s="18"/>
      <c r="AJ28" s="18"/>
      <c r="AL28" s="18"/>
      <c r="AM28" s="18"/>
      <c r="AN28" s="18"/>
      <c r="AO28" s="18"/>
      <c r="AP28" s="18"/>
      <c r="AR28" s="18"/>
      <c r="AS28" s="18"/>
      <c r="AT28" s="18"/>
      <c r="AU28" s="18"/>
      <c r="AV28" s="18"/>
      <c r="AX28" s="18"/>
      <c r="AY28" s="18"/>
      <c r="AZ28" s="18"/>
      <c r="BA28" s="18"/>
      <c r="BB28" s="18"/>
    </row>
    <row r="29" spans="1:55" x14ac:dyDescent="0.25">
      <c r="A29" s="21" t="s">
        <v>29</v>
      </c>
      <c r="B29" s="23">
        <v>36</v>
      </c>
      <c r="C29" s="23">
        <v>0</v>
      </c>
      <c r="D29" s="23">
        <v>0</v>
      </c>
      <c r="E29" s="23">
        <v>0</v>
      </c>
      <c r="F29" s="23">
        <f t="shared" ref="F29:F38" si="34">SUM(B29:E29)</f>
        <v>36</v>
      </c>
      <c r="G29" s="223" t="b">
        <f>SUM(G6:G18)=B29</f>
        <v>1</v>
      </c>
      <c r="H29" s="23">
        <v>84</v>
      </c>
      <c r="I29" s="23">
        <v>0</v>
      </c>
      <c r="J29" s="23">
        <v>0</v>
      </c>
      <c r="K29" s="23">
        <v>0</v>
      </c>
      <c r="L29" s="23">
        <f t="shared" ref="L29:L38" si="35">SUM(H29:K29)</f>
        <v>84</v>
      </c>
      <c r="M29" s="223" t="b">
        <f>SUM(M6:M18)=H29</f>
        <v>1</v>
      </c>
      <c r="N29" s="23">
        <v>36</v>
      </c>
      <c r="O29" s="23">
        <v>0</v>
      </c>
      <c r="P29" s="23">
        <v>0</v>
      </c>
      <c r="Q29" s="23">
        <v>0</v>
      </c>
      <c r="R29" s="23">
        <f t="shared" ref="R29:R38" si="36">SUM(N29:Q29)</f>
        <v>36</v>
      </c>
      <c r="S29" s="223" t="b">
        <f>SUM(S6:S18)=N29</f>
        <v>1</v>
      </c>
      <c r="T29" s="23">
        <v>45</v>
      </c>
      <c r="U29" s="23">
        <v>0</v>
      </c>
      <c r="V29" s="23">
        <v>0</v>
      </c>
      <c r="W29" s="23">
        <v>0</v>
      </c>
      <c r="X29" s="23">
        <f t="shared" ref="X29:X38" si="37">SUM(T29:W29)</f>
        <v>45</v>
      </c>
      <c r="Y29" s="223" t="b">
        <f>SUM(Y6:Y18)=T29</f>
        <v>1</v>
      </c>
      <c r="Z29" s="23">
        <v>83</v>
      </c>
      <c r="AA29" s="23">
        <v>0</v>
      </c>
      <c r="AB29" s="23">
        <v>0</v>
      </c>
      <c r="AC29" s="23">
        <v>0</v>
      </c>
      <c r="AD29" s="23">
        <f t="shared" ref="AD29:AD38" si="38">SUM(Z29:AC29)</f>
        <v>83</v>
      </c>
      <c r="AE29" s="223" t="b">
        <f>SUM(AE6:AE18)=Z29</f>
        <v>1</v>
      </c>
      <c r="AF29" s="23">
        <v>31</v>
      </c>
      <c r="AG29" s="23">
        <v>0</v>
      </c>
      <c r="AH29" s="23">
        <v>0</v>
      </c>
      <c r="AI29" s="23">
        <v>0</v>
      </c>
      <c r="AJ29" s="23">
        <f t="shared" ref="AJ29:AJ38" si="39">SUM(AF29:AI29)</f>
        <v>31</v>
      </c>
      <c r="AK29" s="223" t="b">
        <f>SUM(AK6:AK18)=AF29</f>
        <v>1</v>
      </c>
      <c r="AL29" s="23">
        <v>0</v>
      </c>
      <c r="AM29" s="23">
        <v>0</v>
      </c>
      <c r="AN29" s="23">
        <v>0</v>
      </c>
      <c r="AO29" s="23">
        <v>0</v>
      </c>
      <c r="AP29" s="23">
        <f t="shared" ref="AP29:AP38" si="40">SUM(AL29:AO29)</f>
        <v>0</v>
      </c>
      <c r="AQ29" s="200">
        <f>AP29/6</f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f t="shared" ref="AV29:AV38" si="41">SUM(AR29:AU29)</f>
        <v>0</v>
      </c>
      <c r="AX29" s="23">
        <f>B29+H29+N29+T29+Z29+AF29+AL29+AR29</f>
        <v>315</v>
      </c>
      <c r="AY29" s="23">
        <f t="shared" ref="AY29:BA38" si="42">C29+I29+O29+U29+AA29+AG29+AM29+AS29</f>
        <v>0</v>
      </c>
      <c r="AZ29" s="23">
        <f t="shared" si="42"/>
        <v>0</v>
      </c>
      <c r="BA29" s="23">
        <f t="shared" si="42"/>
        <v>0</v>
      </c>
      <c r="BB29" s="23">
        <f t="shared" ref="BB29:BB38" si="43">SUM(AX29:BA29)</f>
        <v>315</v>
      </c>
    </row>
    <row r="30" spans="1:55" x14ac:dyDescent="0.25">
      <c r="A30" s="21" t="s">
        <v>30</v>
      </c>
      <c r="B30" s="23">
        <v>0</v>
      </c>
      <c r="C30" s="23">
        <v>0</v>
      </c>
      <c r="D30" s="23">
        <v>4</v>
      </c>
      <c r="E30" s="23">
        <v>0</v>
      </c>
      <c r="F30" s="23">
        <f t="shared" si="34"/>
        <v>4</v>
      </c>
      <c r="G30" s="223">
        <f>D22/23</f>
        <v>4.3909658074188709</v>
      </c>
      <c r="H30" s="23">
        <v>0</v>
      </c>
      <c r="I30" s="23">
        <v>0</v>
      </c>
      <c r="J30" s="23">
        <v>13</v>
      </c>
      <c r="K30" s="23">
        <v>0</v>
      </c>
      <c r="L30" s="23">
        <f t="shared" si="35"/>
        <v>13</v>
      </c>
      <c r="M30" s="223">
        <f>J22/23</f>
        <v>13.357649383864219</v>
      </c>
      <c r="N30" s="23">
        <v>0</v>
      </c>
      <c r="O30" s="23">
        <v>0</v>
      </c>
      <c r="P30" s="23">
        <v>4</v>
      </c>
      <c r="Q30" s="23">
        <v>0</v>
      </c>
      <c r="R30" s="23">
        <f t="shared" si="36"/>
        <v>4</v>
      </c>
      <c r="S30" s="223">
        <f>P22/23</f>
        <v>3.2173913043478262</v>
      </c>
      <c r="T30" s="23">
        <v>0</v>
      </c>
      <c r="U30" s="23">
        <v>0</v>
      </c>
      <c r="V30" s="23">
        <v>5</v>
      </c>
      <c r="W30" s="23">
        <v>0</v>
      </c>
      <c r="X30" s="23">
        <f t="shared" si="37"/>
        <v>5</v>
      </c>
      <c r="Y30" s="223">
        <f>V22/23</f>
        <v>4.7583130869927839</v>
      </c>
      <c r="Z30" s="23">
        <v>0</v>
      </c>
      <c r="AA30" s="23">
        <v>0</v>
      </c>
      <c r="AB30" s="23">
        <v>10</v>
      </c>
      <c r="AC30" s="23">
        <v>0</v>
      </c>
      <c r="AD30" s="23">
        <f t="shared" si="38"/>
        <v>10</v>
      </c>
      <c r="AE30" s="223">
        <f>AB22/23</f>
        <v>8.4486166007905137</v>
      </c>
      <c r="AF30" s="23">
        <v>0</v>
      </c>
      <c r="AG30" s="23">
        <v>0</v>
      </c>
      <c r="AH30" s="23">
        <v>3.5</v>
      </c>
      <c r="AI30" s="23">
        <v>0</v>
      </c>
      <c r="AJ30" s="23">
        <f t="shared" si="39"/>
        <v>3.5</v>
      </c>
      <c r="AK30" s="223">
        <f>AH22/23</f>
        <v>3.3652173913043475</v>
      </c>
      <c r="AL30" s="23">
        <v>0</v>
      </c>
      <c r="AM30" s="23">
        <v>0</v>
      </c>
      <c r="AN30" s="23">
        <v>0</v>
      </c>
      <c r="AO30" s="23">
        <v>0</v>
      </c>
      <c r="AP30" s="23">
        <f t="shared" si="40"/>
        <v>0</v>
      </c>
      <c r="AQ30" s="199">
        <f>(AL19*0.13)/23</f>
        <v>0</v>
      </c>
      <c r="AR30" s="23">
        <v>0</v>
      </c>
      <c r="AS30" s="23">
        <v>0</v>
      </c>
      <c r="AT30" s="23">
        <v>1</v>
      </c>
      <c r="AU30" s="23">
        <v>0</v>
      </c>
      <c r="AV30" s="23">
        <f t="shared" si="41"/>
        <v>1</v>
      </c>
      <c r="AX30" s="23">
        <f t="shared" ref="AX30:AX38" si="44">B30+H30+N30+T30+Z30+AF30+AL30+AR30</f>
        <v>0</v>
      </c>
      <c r="AY30" s="23">
        <f t="shared" si="42"/>
        <v>0</v>
      </c>
      <c r="AZ30" s="23">
        <f t="shared" si="42"/>
        <v>40.5</v>
      </c>
      <c r="BA30" s="23">
        <f t="shared" si="42"/>
        <v>0</v>
      </c>
      <c r="BB30" s="23">
        <f t="shared" si="43"/>
        <v>40.5</v>
      </c>
    </row>
    <row r="31" spans="1:55" x14ac:dyDescent="0.25">
      <c r="A31" s="21" t="s">
        <v>31</v>
      </c>
      <c r="B31" s="23">
        <v>1</v>
      </c>
      <c r="C31" s="23">
        <v>0</v>
      </c>
      <c r="D31" s="23">
        <v>0</v>
      </c>
      <c r="E31" s="23">
        <v>0</v>
      </c>
      <c r="F31" s="23">
        <f t="shared" si="34"/>
        <v>1</v>
      </c>
      <c r="H31" s="23">
        <v>2</v>
      </c>
      <c r="I31" s="23">
        <v>0</v>
      </c>
      <c r="J31" s="23">
        <v>0</v>
      </c>
      <c r="K31" s="23">
        <v>0</v>
      </c>
      <c r="L31" s="23">
        <f t="shared" si="35"/>
        <v>2</v>
      </c>
      <c r="N31" s="23">
        <v>1</v>
      </c>
      <c r="O31" s="23">
        <v>0</v>
      </c>
      <c r="P31" s="23">
        <v>0</v>
      </c>
      <c r="Q31" s="23">
        <v>0</v>
      </c>
      <c r="R31" s="23">
        <f t="shared" si="36"/>
        <v>1</v>
      </c>
      <c r="T31" s="23">
        <v>1</v>
      </c>
      <c r="U31" s="23">
        <v>0</v>
      </c>
      <c r="V31" s="23">
        <v>0</v>
      </c>
      <c r="W31" s="23">
        <v>0</v>
      </c>
      <c r="X31" s="23">
        <f t="shared" si="37"/>
        <v>1</v>
      </c>
      <c r="Z31" s="23">
        <v>2</v>
      </c>
      <c r="AA31" s="23">
        <v>0</v>
      </c>
      <c r="AB31" s="23">
        <v>0</v>
      </c>
      <c r="AC31" s="23">
        <v>0</v>
      </c>
      <c r="AD31" s="23">
        <f t="shared" si="38"/>
        <v>2</v>
      </c>
      <c r="AF31" s="23">
        <v>1</v>
      </c>
      <c r="AG31" s="23">
        <v>0</v>
      </c>
      <c r="AH31" s="23">
        <v>0</v>
      </c>
      <c r="AI31" s="23">
        <v>0</v>
      </c>
      <c r="AJ31" s="23">
        <f t="shared" si="39"/>
        <v>1</v>
      </c>
      <c r="AL31" s="23">
        <v>0</v>
      </c>
      <c r="AM31" s="23">
        <v>0</v>
      </c>
      <c r="AN31" s="23">
        <v>0</v>
      </c>
      <c r="AO31" s="23">
        <v>0</v>
      </c>
      <c r="AP31" s="23">
        <f t="shared" si="40"/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f t="shared" si="41"/>
        <v>0</v>
      </c>
      <c r="AX31" s="23">
        <f t="shared" si="44"/>
        <v>8</v>
      </c>
      <c r="AY31" s="23">
        <f t="shared" si="42"/>
        <v>0</v>
      </c>
      <c r="AZ31" s="23">
        <f t="shared" si="42"/>
        <v>0</v>
      </c>
      <c r="BA31" s="23">
        <f t="shared" si="42"/>
        <v>0</v>
      </c>
      <c r="BB31" s="23">
        <f t="shared" si="43"/>
        <v>8</v>
      </c>
    </row>
    <row r="32" spans="1:55" x14ac:dyDescent="0.25">
      <c r="A32" s="21" t="s">
        <v>32</v>
      </c>
      <c r="B32" s="23">
        <v>1</v>
      </c>
      <c r="C32" s="23">
        <v>0</v>
      </c>
      <c r="D32" s="23">
        <v>0</v>
      </c>
      <c r="E32" s="23">
        <v>0</v>
      </c>
      <c r="F32" s="23">
        <f t="shared" si="34"/>
        <v>1</v>
      </c>
      <c r="H32" s="23">
        <v>2</v>
      </c>
      <c r="I32" s="23">
        <v>0</v>
      </c>
      <c r="J32" s="23">
        <v>0</v>
      </c>
      <c r="K32" s="23">
        <v>0</v>
      </c>
      <c r="L32" s="23">
        <f t="shared" si="35"/>
        <v>2</v>
      </c>
      <c r="N32" s="23">
        <v>1</v>
      </c>
      <c r="O32" s="23">
        <v>0</v>
      </c>
      <c r="P32" s="23">
        <v>0</v>
      </c>
      <c r="Q32" s="23">
        <v>0</v>
      </c>
      <c r="R32" s="23">
        <f t="shared" si="36"/>
        <v>1</v>
      </c>
      <c r="T32" s="23">
        <v>1</v>
      </c>
      <c r="U32" s="23">
        <v>0</v>
      </c>
      <c r="V32" s="23">
        <v>0</v>
      </c>
      <c r="W32" s="23">
        <v>0</v>
      </c>
      <c r="X32" s="23">
        <f t="shared" si="37"/>
        <v>1</v>
      </c>
      <c r="Z32" s="23">
        <v>2</v>
      </c>
      <c r="AA32" s="23">
        <v>0</v>
      </c>
      <c r="AB32" s="23">
        <v>0</v>
      </c>
      <c r="AC32" s="23">
        <v>0</v>
      </c>
      <c r="AD32" s="23">
        <f t="shared" si="38"/>
        <v>2</v>
      </c>
      <c r="AF32" s="23">
        <v>1</v>
      </c>
      <c r="AG32" s="23">
        <v>0</v>
      </c>
      <c r="AH32" s="23">
        <v>0</v>
      </c>
      <c r="AI32" s="23">
        <v>0</v>
      </c>
      <c r="AJ32" s="23">
        <f t="shared" si="39"/>
        <v>1</v>
      </c>
      <c r="AL32" s="23">
        <v>0</v>
      </c>
      <c r="AM32" s="23">
        <v>0</v>
      </c>
      <c r="AN32" s="23">
        <v>0</v>
      </c>
      <c r="AO32" s="23">
        <v>0</v>
      </c>
      <c r="AP32" s="23">
        <f t="shared" si="40"/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f t="shared" si="41"/>
        <v>0</v>
      </c>
      <c r="AX32" s="23">
        <f t="shared" si="44"/>
        <v>8</v>
      </c>
      <c r="AY32" s="23">
        <f t="shared" si="42"/>
        <v>0</v>
      </c>
      <c r="AZ32" s="23">
        <f t="shared" si="42"/>
        <v>0</v>
      </c>
      <c r="BA32" s="23">
        <f t="shared" si="42"/>
        <v>0</v>
      </c>
      <c r="BB32" s="23">
        <f t="shared" si="43"/>
        <v>8</v>
      </c>
    </row>
    <row r="33" spans="1:54" x14ac:dyDescent="0.25">
      <c r="A33" s="21" t="s">
        <v>33</v>
      </c>
      <c r="B33" s="23">
        <v>1</v>
      </c>
      <c r="C33" s="23">
        <v>0</v>
      </c>
      <c r="D33" s="23">
        <v>0</v>
      </c>
      <c r="E33" s="23">
        <v>0</v>
      </c>
      <c r="F33" s="23">
        <f t="shared" si="34"/>
        <v>1</v>
      </c>
      <c r="H33" s="23">
        <v>3</v>
      </c>
      <c r="I33" s="23">
        <v>0</v>
      </c>
      <c r="J33" s="23">
        <v>0</v>
      </c>
      <c r="K33" s="23">
        <v>0</v>
      </c>
      <c r="L33" s="23">
        <f t="shared" si="35"/>
        <v>3</v>
      </c>
      <c r="N33" s="23">
        <v>1</v>
      </c>
      <c r="O33" s="23">
        <v>0</v>
      </c>
      <c r="P33" s="23">
        <v>0</v>
      </c>
      <c r="Q33" s="23">
        <v>0</v>
      </c>
      <c r="R33" s="23">
        <f t="shared" si="36"/>
        <v>1</v>
      </c>
      <c r="T33" s="23">
        <v>1</v>
      </c>
      <c r="U33" s="23">
        <v>0</v>
      </c>
      <c r="V33" s="23">
        <v>0</v>
      </c>
      <c r="W33" s="23">
        <v>0</v>
      </c>
      <c r="X33" s="23">
        <f t="shared" si="37"/>
        <v>1</v>
      </c>
      <c r="Z33" s="23">
        <v>2</v>
      </c>
      <c r="AA33" s="23">
        <v>0</v>
      </c>
      <c r="AB33" s="23">
        <v>0</v>
      </c>
      <c r="AC33" s="23">
        <v>0</v>
      </c>
      <c r="AD33" s="23">
        <f t="shared" si="38"/>
        <v>2</v>
      </c>
      <c r="AF33" s="23">
        <v>1</v>
      </c>
      <c r="AG33" s="23">
        <v>0</v>
      </c>
      <c r="AH33" s="23">
        <v>0</v>
      </c>
      <c r="AI33" s="23">
        <v>0</v>
      </c>
      <c r="AJ33" s="23">
        <f t="shared" si="39"/>
        <v>1</v>
      </c>
      <c r="AL33" s="23">
        <v>0</v>
      </c>
      <c r="AM33" s="23">
        <v>0</v>
      </c>
      <c r="AN33" s="23">
        <v>0</v>
      </c>
      <c r="AO33" s="23">
        <v>0</v>
      </c>
      <c r="AP33" s="23">
        <f t="shared" si="40"/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f t="shared" si="41"/>
        <v>0</v>
      </c>
      <c r="AX33" s="23">
        <f t="shared" si="44"/>
        <v>9</v>
      </c>
      <c r="AY33" s="23">
        <f t="shared" si="42"/>
        <v>0</v>
      </c>
      <c r="AZ33" s="23">
        <f t="shared" si="42"/>
        <v>0</v>
      </c>
      <c r="BA33" s="23">
        <f t="shared" si="42"/>
        <v>0</v>
      </c>
      <c r="BB33" s="23">
        <f t="shared" si="43"/>
        <v>9</v>
      </c>
    </row>
    <row r="34" spans="1:54" x14ac:dyDescent="0.25">
      <c r="A34" s="24" t="s">
        <v>34</v>
      </c>
      <c r="B34" s="23">
        <v>0</v>
      </c>
      <c r="C34" s="23">
        <v>0</v>
      </c>
      <c r="D34" s="23">
        <v>0</v>
      </c>
      <c r="E34" s="23">
        <v>0</v>
      </c>
      <c r="F34" s="23">
        <f t="shared" si="34"/>
        <v>0</v>
      </c>
      <c r="H34" s="23">
        <v>0</v>
      </c>
      <c r="I34" s="23">
        <v>0</v>
      </c>
      <c r="J34" s="23">
        <v>0</v>
      </c>
      <c r="K34" s="23">
        <v>0</v>
      </c>
      <c r="L34" s="23">
        <f t="shared" si="35"/>
        <v>0</v>
      </c>
      <c r="N34" s="23">
        <v>0</v>
      </c>
      <c r="O34" s="23">
        <v>0</v>
      </c>
      <c r="P34" s="23">
        <v>0</v>
      </c>
      <c r="Q34" s="23">
        <v>0</v>
      </c>
      <c r="R34" s="23">
        <f t="shared" si="36"/>
        <v>0</v>
      </c>
      <c r="T34" s="23">
        <v>0</v>
      </c>
      <c r="U34" s="23">
        <v>0</v>
      </c>
      <c r="V34" s="23">
        <v>0</v>
      </c>
      <c r="W34" s="23">
        <v>0</v>
      </c>
      <c r="X34" s="23">
        <f t="shared" si="37"/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f t="shared" si="38"/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f t="shared" si="39"/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f t="shared" si="40"/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f t="shared" si="41"/>
        <v>0</v>
      </c>
      <c r="AX34" s="23">
        <f t="shared" si="44"/>
        <v>0</v>
      </c>
      <c r="AY34" s="23">
        <f t="shared" si="42"/>
        <v>0</v>
      </c>
      <c r="AZ34" s="23">
        <f t="shared" si="42"/>
        <v>0</v>
      </c>
      <c r="BA34" s="23">
        <f t="shared" si="42"/>
        <v>0</v>
      </c>
      <c r="BB34" s="23">
        <f t="shared" si="43"/>
        <v>0</v>
      </c>
    </row>
    <row r="35" spans="1:54" x14ac:dyDescent="0.25">
      <c r="A35" s="27" t="s">
        <v>35</v>
      </c>
      <c r="B35" s="23">
        <v>1</v>
      </c>
      <c r="C35" s="23">
        <v>0</v>
      </c>
      <c r="D35" s="23">
        <v>0</v>
      </c>
      <c r="E35" s="23">
        <v>0</v>
      </c>
      <c r="F35" s="23">
        <f t="shared" si="34"/>
        <v>1</v>
      </c>
      <c r="H35" s="23">
        <v>2</v>
      </c>
      <c r="I35" s="23">
        <v>0</v>
      </c>
      <c r="J35" s="23">
        <v>0</v>
      </c>
      <c r="K35" s="23">
        <v>0</v>
      </c>
      <c r="L35" s="23">
        <f t="shared" si="35"/>
        <v>2</v>
      </c>
      <c r="N35" s="23">
        <v>1</v>
      </c>
      <c r="O35" s="23">
        <v>0</v>
      </c>
      <c r="P35" s="23">
        <v>0</v>
      </c>
      <c r="Q35" s="23">
        <v>0</v>
      </c>
      <c r="R35" s="23">
        <f t="shared" si="36"/>
        <v>1</v>
      </c>
      <c r="T35" s="23">
        <v>1</v>
      </c>
      <c r="U35" s="23">
        <v>0</v>
      </c>
      <c r="V35" s="23">
        <v>0</v>
      </c>
      <c r="W35" s="23">
        <v>0</v>
      </c>
      <c r="X35" s="23">
        <f t="shared" si="37"/>
        <v>1</v>
      </c>
      <c r="Z35" s="23">
        <v>2</v>
      </c>
      <c r="AA35" s="23">
        <v>0</v>
      </c>
      <c r="AB35" s="23">
        <v>0</v>
      </c>
      <c r="AC35" s="23">
        <v>0</v>
      </c>
      <c r="AD35" s="23">
        <f t="shared" si="38"/>
        <v>2</v>
      </c>
      <c r="AF35" s="23">
        <v>0</v>
      </c>
      <c r="AG35" s="23">
        <v>0</v>
      </c>
      <c r="AH35" s="23">
        <v>0</v>
      </c>
      <c r="AI35" s="23">
        <v>0</v>
      </c>
      <c r="AJ35" s="23">
        <f t="shared" si="39"/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f t="shared" si="40"/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f t="shared" si="41"/>
        <v>0</v>
      </c>
      <c r="AX35" s="23">
        <f t="shared" si="44"/>
        <v>7</v>
      </c>
      <c r="AY35" s="23">
        <f t="shared" si="42"/>
        <v>0</v>
      </c>
      <c r="AZ35" s="23">
        <f t="shared" si="42"/>
        <v>0</v>
      </c>
      <c r="BA35" s="23">
        <f t="shared" si="42"/>
        <v>0</v>
      </c>
      <c r="BB35" s="23">
        <f t="shared" si="43"/>
        <v>7</v>
      </c>
    </row>
    <row r="36" spans="1:54" x14ac:dyDescent="0.25">
      <c r="A36" s="28" t="s">
        <v>36</v>
      </c>
      <c r="B36" s="23">
        <v>0</v>
      </c>
      <c r="C36" s="23">
        <v>0</v>
      </c>
      <c r="D36" s="23">
        <v>0</v>
      </c>
      <c r="E36" s="23">
        <v>0</v>
      </c>
      <c r="F36" s="23">
        <f t="shared" si="34"/>
        <v>0</v>
      </c>
      <c r="H36" s="23">
        <v>0</v>
      </c>
      <c r="I36" s="23">
        <v>0</v>
      </c>
      <c r="J36" s="23">
        <v>0</v>
      </c>
      <c r="K36" s="23">
        <v>0</v>
      </c>
      <c r="L36" s="23">
        <f t="shared" si="35"/>
        <v>0</v>
      </c>
      <c r="N36" s="23">
        <v>0</v>
      </c>
      <c r="O36" s="23">
        <v>0</v>
      </c>
      <c r="P36" s="23">
        <v>0</v>
      </c>
      <c r="Q36" s="23">
        <v>0</v>
      </c>
      <c r="R36" s="23">
        <f t="shared" si="36"/>
        <v>0</v>
      </c>
      <c r="T36" s="23">
        <v>0</v>
      </c>
      <c r="U36" s="23">
        <v>0</v>
      </c>
      <c r="V36" s="23">
        <v>0</v>
      </c>
      <c r="W36" s="23">
        <v>0</v>
      </c>
      <c r="X36" s="23">
        <f t="shared" si="37"/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f t="shared" si="38"/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f t="shared" si="39"/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f t="shared" si="40"/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f t="shared" si="41"/>
        <v>0</v>
      </c>
      <c r="AX36" s="23">
        <f t="shared" si="44"/>
        <v>0</v>
      </c>
      <c r="AY36" s="23">
        <f t="shared" si="42"/>
        <v>0</v>
      </c>
      <c r="AZ36" s="23">
        <f t="shared" si="42"/>
        <v>0</v>
      </c>
      <c r="BA36" s="23">
        <f t="shared" si="42"/>
        <v>0</v>
      </c>
      <c r="BB36" s="23">
        <f t="shared" si="43"/>
        <v>0</v>
      </c>
    </row>
    <row r="37" spans="1:54" x14ac:dyDescent="0.25">
      <c r="A37" s="27" t="s">
        <v>37</v>
      </c>
      <c r="B37" s="23">
        <v>1</v>
      </c>
      <c r="C37" s="23">
        <v>0</v>
      </c>
      <c r="D37" s="23">
        <v>0</v>
      </c>
      <c r="E37" s="23">
        <v>0</v>
      </c>
      <c r="F37" s="23">
        <f t="shared" si="34"/>
        <v>1</v>
      </c>
      <c r="H37" s="23">
        <v>2</v>
      </c>
      <c r="I37" s="23">
        <v>0</v>
      </c>
      <c r="J37" s="23">
        <v>0</v>
      </c>
      <c r="K37" s="23">
        <v>0</v>
      </c>
      <c r="L37" s="23">
        <f t="shared" si="35"/>
        <v>2</v>
      </c>
      <c r="N37" s="23">
        <v>1</v>
      </c>
      <c r="O37" s="23">
        <v>0</v>
      </c>
      <c r="P37" s="23">
        <v>0</v>
      </c>
      <c r="Q37" s="23">
        <v>0</v>
      </c>
      <c r="R37" s="23">
        <f t="shared" si="36"/>
        <v>1</v>
      </c>
      <c r="T37" s="23">
        <v>1</v>
      </c>
      <c r="U37" s="23">
        <v>0</v>
      </c>
      <c r="V37" s="23">
        <v>0</v>
      </c>
      <c r="W37" s="23">
        <v>0</v>
      </c>
      <c r="X37" s="23">
        <f t="shared" si="37"/>
        <v>1</v>
      </c>
      <c r="Z37" s="23">
        <v>1</v>
      </c>
      <c r="AA37" s="23">
        <v>0</v>
      </c>
      <c r="AB37" s="23">
        <v>0</v>
      </c>
      <c r="AC37" s="23">
        <v>0</v>
      </c>
      <c r="AD37" s="23">
        <f t="shared" si="38"/>
        <v>1</v>
      </c>
      <c r="AF37" s="23">
        <v>0</v>
      </c>
      <c r="AG37" s="23">
        <v>0</v>
      </c>
      <c r="AH37" s="23">
        <v>0</v>
      </c>
      <c r="AI37" s="23">
        <v>0</v>
      </c>
      <c r="AJ37" s="23">
        <f t="shared" si="39"/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f t="shared" si="40"/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f t="shared" si="41"/>
        <v>0</v>
      </c>
      <c r="AX37" s="23">
        <f t="shared" si="44"/>
        <v>6</v>
      </c>
      <c r="AY37" s="23">
        <f t="shared" si="42"/>
        <v>0</v>
      </c>
      <c r="AZ37" s="23">
        <f t="shared" si="42"/>
        <v>0</v>
      </c>
      <c r="BA37" s="23">
        <f t="shared" si="42"/>
        <v>0</v>
      </c>
      <c r="BB37" s="23">
        <f t="shared" si="43"/>
        <v>6</v>
      </c>
    </row>
    <row r="38" spans="1:54" x14ac:dyDescent="0.25">
      <c r="A38" s="27" t="s">
        <v>38</v>
      </c>
      <c r="B38" s="23">
        <v>0.5</v>
      </c>
      <c r="C38" s="23">
        <v>0</v>
      </c>
      <c r="D38" s="23">
        <v>0</v>
      </c>
      <c r="E38" s="23">
        <v>0</v>
      </c>
      <c r="F38" s="23">
        <f t="shared" si="34"/>
        <v>0.5</v>
      </c>
      <c r="H38" s="23">
        <v>3</v>
      </c>
      <c r="I38" s="23">
        <v>0</v>
      </c>
      <c r="J38" s="23">
        <v>0</v>
      </c>
      <c r="K38" s="23">
        <v>0</v>
      </c>
      <c r="L38" s="23">
        <f t="shared" si="35"/>
        <v>3</v>
      </c>
      <c r="N38" s="23">
        <v>2</v>
      </c>
      <c r="O38" s="23">
        <v>0</v>
      </c>
      <c r="P38" s="23">
        <v>0</v>
      </c>
      <c r="Q38" s="23">
        <v>0</v>
      </c>
      <c r="R38" s="23">
        <f t="shared" si="36"/>
        <v>2</v>
      </c>
      <c r="T38" s="23">
        <v>3</v>
      </c>
      <c r="U38" s="23">
        <v>0</v>
      </c>
      <c r="V38" s="23">
        <v>0</v>
      </c>
      <c r="W38" s="23">
        <v>0</v>
      </c>
      <c r="X38" s="23">
        <f t="shared" si="37"/>
        <v>3</v>
      </c>
      <c r="Z38" s="23">
        <v>3.5</v>
      </c>
      <c r="AA38" s="23">
        <v>0</v>
      </c>
      <c r="AB38" s="23">
        <v>0</v>
      </c>
      <c r="AC38" s="23">
        <v>0</v>
      </c>
      <c r="AD38" s="23">
        <f t="shared" si="38"/>
        <v>3.5</v>
      </c>
      <c r="AF38" s="23">
        <v>0</v>
      </c>
      <c r="AG38" s="23">
        <v>0</v>
      </c>
      <c r="AH38" s="23">
        <v>0</v>
      </c>
      <c r="AI38" s="23">
        <v>0</v>
      </c>
      <c r="AJ38" s="23">
        <f t="shared" si="39"/>
        <v>0</v>
      </c>
      <c r="AL38" s="23">
        <v>0</v>
      </c>
      <c r="AM38" s="23">
        <v>0</v>
      </c>
      <c r="AN38" s="23">
        <v>0</v>
      </c>
      <c r="AO38" s="23">
        <v>0</v>
      </c>
      <c r="AP38" s="23">
        <f t="shared" si="40"/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f t="shared" si="41"/>
        <v>0</v>
      </c>
      <c r="AX38" s="23">
        <f t="shared" si="44"/>
        <v>12</v>
      </c>
      <c r="AY38" s="23">
        <f t="shared" si="42"/>
        <v>0</v>
      </c>
      <c r="AZ38" s="23">
        <f t="shared" si="42"/>
        <v>0</v>
      </c>
      <c r="BA38" s="23">
        <f t="shared" si="42"/>
        <v>0</v>
      </c>
      <c r="BB38" s="23">
        <f t="shared" si="43"/>
        <v>12</v>
      </c>
    </row>
    <row r="39" spans="1:54" x14ac:dyDescent="0.25">
      <c r="A39" s="29" t="s">
        <v>39</v>
      </c>
      <c r="B39" s="30">
        <f>SUM(B29:B38)</f>
        <v>41.5</v>
      </c>
      <c r="C39" s="30">
        <f>SUM(C29:C38)</f>
        <v>0</v>
      </c>
      <c r="D39" s="30">
        <f t="shared" ref="D39:F39" si="45">SUM(D29:D38)</f>
        <v>4</v>
      </c>
      <c r="E39" s="30">
        <f t="shared" si="45"/>
        <v>0</v>
      </c>
      <c r="F39" s="30">
        <f t="shared" si="45"/>
        <v>45.5</v>
      </c>
      <c r="H39" s="30">
        <f>SUM(H29:H38)</f>
        <v>98</v>
      </c>
      <c r="I39" s="30">
        <f>SUM(I29:I38)</f>
        <v>0</v>
      </c>
      <c r="J39" s="30">
        <f t="shared" ref="J39:L39" si="46">SUM(J29:J38)</f>
        <v>13</v>
      </c>
      <c r="K39" s="30">
        <f t="shared" si="46"/>
        <v>0</v>
      </c>
      <c r="L39" s="30">
        <f t="shared" si="46"/>
        <v>111</v>
      </c>
      <c r="N39" s="30">
        <f>SUM(N29:N38)</f>
        <v>43</v>
      </c>
      <c r="O39" s="30">
        <f>SUM(O29:O38)</f>
        <v>0</v>
      </c>
      <c r="P39" s="30">
        <f t="shared" ref="P39:R39" si="47">SUM(P29:P38)</f>
        <v>4</v>
      </c>
      <c r="Q39" s="30">
        <f t="shared" si="47"/>
        <v>0</v>
      </c>
      <c r="R39" s="30">
        <f t="shared" si="47"/>
        <v>47</v>
      </c>
      <c r="T39" s="30">
        <f>SUM(T29:T38)</f>
        <v>53</v>
      </c>
      <c r="U39" s="30">
        <f>SUM(U29:U38)</f>
        <v>0</v>
      </c>
      <c r="V39" s="30">
        <f t="shared" ref="V39:X39" si="48">SUM(V29:V38)</f>
        <v>5</v>
      </c>
      <c r="W39" s="30">
        <f t="shared" si="48"/>
        <v>0</v>
      </c>
      <c r="X39" s="30">
        <f t="shared" si="48"/>
        <v>58</v>
      </c>
      <c r="Z39" s="30">
        <f>SUM(Z29:Z38)</f>
        <v>95.5</v>
      </c>
      <c r="AA39" s="30">
        <f>SUM(AA29:AA38)</f>
        <v>0</v>
      </c>
      <c r="AB39" s="30">
        <f t="shared" ref="AB39:AD39" si="49">SUM(AB29:AB38)</f>
        <v>10</v>
      </c>
      <c r="AC39" s="30">
        <f t="shared" si="49"/>
        <v>0</v>
      </c>
      <c r="AD39" s="30">
        <f t="shared" si="49"/>
        <v>105.5</v>
      </c>
      <c r="AF39" s="30">
        <f>SUM(AF29:AF38)</f>
        <v>34</v>
      </c>
      <c r="AG39" s="30">
        <f>SUM(AG29:AG38)</f>
        <v>0</v>
      </c>
      <c r="AH39" s="30">
        <f t="shared" ref="AH39:AJ39" si="50">SUM(AH29:AH38)</f>
        <v>3.5</v>
      </c>
      <c r="AI39" s="30">
        <f t="shared" si="50"/>
        <v>0</v>
      </c>
      <c r="AJ39" s="30">
        <f t="shared" si="50"/>
        <v>37.5</v>
      </c>
      <c r="AL39" s="30">
        <f>SUM(AL29:AL38)</f>
        <v>0</v>
      </c>
      <c r="AM39" s="30">
        <f>SUM(AM29:AM38)</f>
        <v>0</v>
      </c>
      <c r="AN39" s="30">
        <f t="shared" ref="AN39:AP39" si="51">SUM(AN29:AN38)</f>
        <v>0</v>
      </c>
      <c r="AO39" s="30">
        <f t="shared" si="51"/>
        <v>0</v>
      </c>
      <c r="AP39" s="30">
        <f t="shared" si="51"/>
        <v>0</v>
      </c>
      <c r="AR39" s="30">
        <f>SUM(AR29:AR38)</f>
        <v>0</v>
      </c>
      <c r="AS39" s="30">
        <f>SUM(AS29:AS38)</f>
        <v>0</v>
      </c>
      <c r="AT39" s="30">
        <f t="shared" ref="AT39:AV39" si="52">SUM(AT29:AT38)</f>
        <v>1</v>
      </c>
      <c r="AU39" s="30">
        <f t="shared" si="52"/>
        <v>0</v>
      </c>
      <c r="AV39" s="30">
        <f t="shared" si="52"/>
        <v>1</v>
      </c>
      <c r="AX39" s="30">
        <f>SUM(AX29:AX38)</f>
        <v>365</v>
      </c>
      <c r="AY39" s="30">
        <f>SUM(AY29:AY38)</f>
        <v>0</v>
      </c>
      <c r="AZ39" s="30">
        <f t="shared" ref="AZ39:BB39" si="53">SUM(AZ29:AZ38)</f>
        <v>40.5</v>
      </c>
      <c r="BA39" s="30">
        <f t="shared" si="53"/>
        <v>0</v>
      </c>
      <c r="BB39" s="30">
        <f t="shared" si="53"/>
        <v>405.5</v>
      </c>
    </row>
    <row r="40" spans="1:54" x14ac:dyDescent="0.25">
      <c r="A40" s="31"/>
      <c r="B40" s="23"/>
      <c r="C40" s="23"/>
      <c r="D40" s="23"/>
      <c r="E40" s="23"/>
      <c r="F40" s="23"/>
      <c r="H40" s="23"/>
      <c r="I40" s="23"/>
      <c r="J40" s="23"/>
      <c r="K40" s="23"/>
      <c r="L40" s="23"/>
      <c r="N40" s="23"/>
      <c r="O40" s="23"/>
      <c r="P40" s="23"/>
      <c r="Q40" s="23"/>
      <c r="R40" s="23"/>
      <c r="T40" s="23"/>
      <c r="U40" s="23"/>
      <c r="V40" s="23"/>
      <c r="W40" s="23"/>
      <c r="X40" s="23"/>
      <c r="Z40" s="23"/>
      <c r="AA40" s="23"/>
      <c r="AB40" s="23"/>
      <c r="AC40" s="23"/>
      <c r="AD40" s="23"/>
      <c r="AF40" s="23"/>
      <c r="AG40" s="23"/>
      <c r="AH40" s="23"/>
      <c r="AI40" s="23"/>
      <c r="AJ40" s="23"/>
      <c r="AL40" s="23"/>
      <c r="AM40" s="23"/>
      <c r="AN40" s="23"/>
      <c r="AO40" s="23"/>
      <c r="AP40" s="23"/>
      <c r="AR40" s="23"/>
      <c r="AS40" s="23"/>
      <c r="AT40" s="23"/>
      <c r="AU40" s="23"/>
      <c r="AV40" s="23"/>
      <c r="AX40" s="23"/>
      <c r="AY40" s="23"/>
      <c r="AZ40" s="23"/>
      <c r="BA40" s="23"/>
      <c r="BB40" s="23"/>
    </row>
    <row r="41" spans="1:54" x14ac:dyDescent="0.25">
      <c r="A41" s="17" t="s">
        <v>40</v>
      </c>
      <c r="B41" s="32" t="str">
        <f>B1</f>
        <v>Operating</v>
      </c>
      <c r="C41" s="32" t="str">
        <f t="shared" ref="C41:F41" si="54">C1</f>
        <v>Weights</v>
      </c>
      <c r="D41" s="32" t="str">
        <f t="shared" si="54"/>
        <v>SPED</v>
      </c>
      <c r="E41" s="32" t="str">
        <f t="shared" si="54"/>
        <v>NSLP</v>
      </c>
      <c r="F41" s="32" t="str">
        <f t="shared" si="54"/>
        <v>Horizon</v>
      </c>
      <c r="H41" s="32" t="str">
        <f>H1</f>
        <v>Operating</v>
      </c>
      <c r="I41" s="32" t="str">
        <f t="shared" ref="I41:L41" si="55">I1</f>
        <v>Weights</v>
      </c>
      <c r="J41" s="32" t="str">
        <f t="shared" si="55"/>
        <v>SPED</v>
      </c>
      <c r="K41" s="32" t="str">
        <f t="shared" si="55"/>
        <v>NSLP</v>
      </c>
      <c r="L41" s="32" t="str">
        <f t="shared" si="55"/>
        <v>Cadence</v>
      </c>
      <c r="N41" s="32" t="str">
        <f>N1</f>
        <v>Operating</v>
      </c>
      <c r="O41" s="32" t="str">
        <f t="shared" ref="O41:R41" si="56">O1</f>
        <v>Weights</v>
      </c>
      <c r="P41" s="32" t="str">
        <f t="shared" si="56"/>
        <v>SPED</v>
      </c>
      <c r="Q41" s="32" t="str">
        <f t="shared" si="56"/>
        <v>NSLP</v>
      </c>
      <c r="R41" s="32" t="str">
        <f t="shared" si="56"/>
        <v>St. Rose</v>
      </c>
      <c r="T41" s="32" t="str">
        <f>T1</f>
        <v>Operating</v>
      </c>
      <c r="U41" s="32" t="str">
        <f t="shared" ref="U41:X41" si="57">U1</f>
        <v>Weights</v>
      </c>
      <c r="V41" s="32" t="str">
        <f t="shared" si="57"/>
        <v>SPED</v>
      </c>
      <c r="W41" s="32" t="str">
        <f t="shared" si="57"/>
        <v>NSLP</v>
      </c>
      <c r="X41" s="32" t="str">
        <f t="shared" si="57"/>
        <v>Inspirada</v>
      </c>
      <c r="Z41" s="32" t="str">
        <f>Z1</f>
        <v>Operating</v>
      </c>
      <c r="AA41" s="32" t="str">
        <f t="shared" ref="AA41:AD41" si="58">AA1</f>
        <v>Weights</v>
      </c>
      <c r="AB41" s="32" t="str">
        <f t="shared" si="58"/>
        <v>SPED</v>
      </c>
      <c r="AC41" s="32" t="str">
        <f t="shared" si="58"/>
        <v>NSLP</v>
      </c>
      <c r="AD41" s="32" t="str">
        <f t="shared" si="58"/>
        <v>Sloan Canyon</v>
      </c>
      <c r="AF41" s="32" t="str">
        <f>AF1</f>
        <v>Operating</v>
      </c>
      <c r="AG41" s="32" t="str">
        <f t="shared" ref="AG41:AJ41" si="59">AG1</f>
        <v>Weights</v>
      </c>
      <c r="AH41" s="32" t="str">
        <f t="shared" si="59"/>
        <v>SPED</v>
      </c>
      <c r="AI41" s="32" t="str">
        <f t="shared" si="59"/>
        <v>NSLP</v>
      </c>
      <c r="AJ41" s="32" t="str">
        <f t="shared" si="59"/>
        <v>Springs</v>
      </c>
      <c r="AL41" s="32" t="str">
        <f>AL1</f>
        <v>Operating</v>
      </c>
      <c r="AM41" s="32" t="str">
        <f t="shared" ref="AM41:AP41" si="60">AM1</f>
        <v>Weights</v>
      </c>
      <c r="AN41" s="32" t="str">
        <f t="shared" si="60"/>
        <v>SPED</v>
      </c>
      <c r="AO41" s="32" t="str">
        <f t="shared" si="60"/>
        <v>NSLP</v>
      </c>
      <c r="AP41" s="32" t="str">
        <f t="shared" si="60"/>
        <v>System Wide</v>
      </c>
      <c r="AR41" s="32" t="str">
        <f>AR1</f>
        <v>Operating</v>
      </c>
      <c r="AS41" s="32" t="str">
        <f t="shared" ref="AS41:AV41" si="61">AS1</f>
        <v>Weights</v>
      </c>
      <c r="AT41" s="32" t="str">
        <f t="shared" si="61"/>
        <v>SPED</v>
      </c>
      <c r="AU41" s="32" t="str">
        <f t="shared" si="61"/>
        <v>NSLP</v>
      </c>
      <c r="AV41" s="32" t="str">
        <f t="shared" si="61"/>
        <v>Virtual</v>
      </c>
      <c r="AX41" s="32" t="str">
        <f>AX1</f>
        <v>Operating</v>
      </c>
      <c r="AY41" s="32" t="str">
        <f t="shared" ref="AY41:BB41" si="62">AY1</f>
        <v>Weights</v>
      </c>
      <c r="AZ41" s="32" t="str">
        <f t="shared" si="62"/>
        <v>SPED</v>
      </c>
      <c r="BA41" s="32" t="str">
        <f t="shared" si="62"/>
        <v>NSLP</v>
      </c>
      <c r="BB41" s="32" t="str">
        <f t="shared" si="62"/>
        <v>Pinecrest System</v>
      </c>
    </row>
    <row r="42" spans="1:54" x14ac:dyDescent="0.25">
      <c r="A42" s="21" t="s">
        <v>41</v>
      </c>
      <c r="B42" s="23">
        <v>1</v>
      </c>
      <c r="C42" s="23">
        <v>0</v>
      </c>
      <c r="D42" s="23">
        <v>0</v>
      </c>
      <c r="E42" s="23">
        <v>0</v>
      </c>
      <c r="F42" s="23">
        <f>SUM(B42:E42)</f>
        <v>1</v>
      </c>
      <c r="H42" s="328">
        <v>1</v>
      </c>
      <c r="I42" s="328"/>
      <c r="J42" s="328"/>
      <c r="K42" s="328"/>
      <c r="L42" s="23">
        <f>SUM(H42:K42)</f>
        <v>1</v>
      </c>
      <c r="N42" s="328">
        <v>1</v>
      </c>
      <c r="O42" s="328"/>
      <c r="P42" s="328"/>
      <c r="Q42" s="328"/>
      <c r="R42" s="23">
        <f>SUM(N42:Q42)</f>
        <v>1</v>
      </c>
      <c r="T42" s="328">
        <v>1</v>
      </c>
      <c r="U42" s="328"/>
      <c r="V42" s="328"/>
      <c r="W42" s="328"/>
      <c r="X42" s="23">
        <f>SUM(T42:W42)</f>
        <v>1</v>
      </c>
      <c r="Z42" s="328">
        <v>1</v>
      </c>
      <c r="AA42" s="328"/>
      <c r="AB42" s="328"/>
      <c r="AC42" s="328"/>
      <c r="AD42" s="23">
        <f>SUM(Z42:AC42)</f>
        <v>1</v>
      </c>
      <c r="AF42" s="328">
        <v>1</v>
      </c>
      <c r="AG42" s="328"/>
      <c r="AH42" s="328"/>
      <c r="AI42" s="328"/>
      <c r="AJ42" s="23">
        <f>SUM(AF42:AI42)</f>
        <v>1</v>
      </c>
      <c r="AL42" s="23">
        <v>0</v>
      </c>
      <c r="AM42" s="23">
        <v>0</v>
      </c>
      <c r="AN42" s="23">
        <v>0</v>
      </c>
      <c r="AO42" s="23">
        <v>0</v>
      </c>
      <c r="AP42" s="23">
        <f>SUM(AL42:AO42)</f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f>SUM(AR42:AU42)</f>
        <v>0</v>
      </c>
      <c r="AX42" s="23">
        <f>B42+H42+N42+T42+Z42+AF42+AL42+AR42</f>
        <v>6</v>
      </c>
      <c r="AY42" s="23">
        <f t="shared" ref="AY42:BA57" si="63">C42+I42+O42+U42+AA42+AG42+AM42+AS42</f>
        <v>0</v>
      </c>
      <c r="AZ42" s="23">
        <f t="shared" si="63"/>
        <v>0</v>
      </c>
      <c r="BA42" s="23">
        <f t="shared" si="63"/>
        <v>0</v>
      </c>
      <c r="BB42" s="23">
        <f>SUM(AX42:BA42)</f>
        <v>6</v>
      </c>
    </row>
    <row r="43" spans="1:54" x14ac:dyDescent="0.25">
      <c r="A43" s="21" t="s">
        <v>42</v>
      </c>
      <c r="B43" s="23">
        <v>2</v>
      </c>
      <c r="C43" s="23">
        <v>1</v>
      </c>
      <c r="D43" s="23">
        <v>0</v>
      </c>
      <c r="E43" s="23">
        <v>0</v>
      </c>
      <c r="F43" s="23">
        <f t="shared" ref="F43:F61" si="64">SUM(B43:E43)</f>
        <v>3</v>
      </c>
      <c r="H43" s="328">
        <v>4</v>
      </c>
      <c r="I43" s="328"/>
      <c r="J43" s="328"/>
      <c r="K43" s="328"/>
      <c r="L43" s="23">
        <f t="shared" ref="L43:L61" si="65">SUM(H43:K43)</f>
        <v>4</v>
      </c>
      <c r="N43" s="328">
        <v>2</v>
      </c>
      <c r="O43" s="328"/>
      <c r="P43" s="328"/>
      <c r="Q43" s="328"/>
      <c r="R43" s="23">
        <f t="shared" ref="R43:R61" si="66">SUM(N43:Q43)</f>
        <v>2</v>
      </c>
      <c r="T43" s="328">
        <v>2</v>
      </c>
      <c r="U43" s="328"/>
      <c r="V43" s="328"/>
      <c r="W43" s="328"/>
      <c r="X43" s="23">
        <f t="shared" ref="X43:X61" si="67">SUM(T43:W43)</f>
        <v>2</v>
      </c>
      <c r="Z43" s="328">
        <v>3</v>
      </c>
      <c r="AA43" s="328"/>
      <c r="AB43" s="328">
        <v>1</v>
      </c>
      <c r="AC43" s="328"/>
      <c r="AD43" s="23">
        <f t="shared" ref="AD43:AD61" si="68">SUM(Z43:AC43)</f>
        <v>4</v>
      </c>
      <c r="AF43" s="328">
        <v>2</v>
      </c>
      <c r="AG43" s="328"/>
      <c r="AH43" s="328">
        <v>0</v>
      </c>
      <c r="AI43" s="328"/>
      <c r="AJ43" s="23">
        <f t="shared" ref="AJ43:AJ61" si="69">SUM(AF43:AI43)</f>
        <v>2</v>
      </c>
      <c r="AL43" s="23">
        <v>0</v>
      </c>
      <c r="AM43" s="23">
        <v>0</v>
      </c>
      <c r="AN43" s="23">
        <v>0</v>
      </c>
      <c r="AO43" s="23">
        <v>0</v>
      </c>
      <c r="AP43" s="23">
        <f t="shared" ref="AP43:AP61" si="70">SUM(AL43:AO43)</f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f t="shared" ref="AV43:AV61" si="71">SUM(AR43:AU43)</f>
        <v>0</v>
      </c>
      <c r="AX43" s="23">
        <f t="shared" ref="AX43:BA61" si="72">B43+H43+N43+T43+Z43+AF43+AL43+AR43</f>
        <v>15</v>
      </c>
      <c r="AY43" s="23">
        <f t="shared" si="63"/>
        <v>1</v>
      </c>
      <c r="AZ43" s="23">
        <f t="shared" si="63"/>
        <v>1</v>
      </c>
      <c r="BA43" s="23">
        <f t="shared" si="63"/>
        <v>0</v>
      </c>
      <c r="BB43" s="23">
        <f t="shared" ref="BB43:BB61" si="73">SUM(AX43:BA43)</f>
        <v>17</v>
      </c>
    </row>
    <row r="44" spans="1:54" x14ac:dyDescent="0.25">
      <c r="A44" s="34" t="s">
        <v>43</v>
      </c>
      <c r="B44" s="23">
        <v>0</v>
      </c>
      <c r="C44" s="23">
        <v>0</v>
      </c>
      <c r="D44" s="23">
        <v>0</v>
      </c>
      <c r="E44" s="23">
        <v>0</v>
      </c>
      <c r="F44" s="23">
        <f t="shared" si="64"/>
        <v>0</v>
      </c>
      <c r="H44" s="328">
        <v>0</v>
      </c>
      <c r="I44" s="328"/>
      <c r="J44" s="328"/>
      <c r="K44" s="328"/>
      <c r="L44" s="23">
        <f t="shared" si="65"/>
        <v>0</v>
      </c>
      <c r="N44" s="328">
        <v>0</v>
      </c>
      <c r="O44" s="328"/>
      <c r="P44" s="328"/>
      <c r="Q44" s="328"/>
      <c r="R44" s="23">
        <f t="shared" si="66"/>
        <v>0</v>
      </c>
      <c r="T44" s="328">
        <v>0</v>
      </c>
      <c r="U44" s="328"/>
      <c r="V44" s="328"/>
      <c r="W44" s="328"/>
      <c r="X44" s="23">
        <f t="shared" si="67"/>
        <v>0</v>
      </c>
      <c r="Z44" s="328">
        <v>0</v>
      </c>
      <c r="AA44" s="328"/>
      <c r="AB44" s="328"/>
      <c r="AC44" s="328"/>
      <c r="AD44" s="23">
        <f t="shared" si="68"/>
        <v>0</v>
      </c>
      <c r="AF44" s="328">
        <v>0</v>
      </c>
      <c r="AG44" s="328">
        <v>1</v>
      </c>
      <c r="AH44" s="328"/>
      <c r="AI44" s="328"/>
      <c r="AJ44" s="23">
        <f t="shared" si="69"/>
        <v>1</v>
      </c>
      <c r="AL44" s="23">
        <v>0</v>
      </c>
      <c r="AM44" s="23">
        <v>0</v>
      </c>
      <c r="AN44" s="23">
        <v>0</v>
      </c>
      <c r="AO44" s="23">
        <v>0</v>
      </c>
      <c r="AP44" s="23">
        <f t="shared" si="70"/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f t="shared" si="71"/>
        <v>0</v>
      </c>
      <c r="AX44" s="23">
        <f t="shared" si="72"/>
        <v>0</v>
      </c>
      <c r="AY44" s="23">
        <f t="shared" si="63"/>
        <v>1</v>
      </c>
      <c r="AZ44" s="23">
        <f t="shared" si="63"/>
        <v>0</v>
      </c>
      <c r="BA44" s="23">
        <f t="shared" si="63"/>
        <v>0</v>
      </c>
      <c r="BB44" s="23">
        <f t="shared" si="73"/>
        <v>1</v>
      </c>
    </row>
    <row r="45" spans="1:54" x14ac:dyDescent="0.25">
      <c r="A45" s="33" t="s">
        <v>44</v>
      </c>
      <c r="B45" s="23">
        <v>1</v>
      </c>
      <c r="C45" s="23">
        <v>0</v>
      </c>
      <c r="D45" s="23">
        <v>0</v>
      </c>
      <c r="E45" s="23">
        <v>0</v>
      </c>
      <c r="F45" s="23">
        <f t="shared" si="64"/>
        <v>1</v>
      </c>
      <c r="H45" s="328">
        <v>5</v>
      </c>
      <c r="I45" s="328"/>
      <c r="J45" s="328"/>
      <c r="K45" s="328"/>
      <c r="L45" s="23">
        <f t="shared" si="65"/>
        <v>5</v>
      </c>
      <c r="N45" s="328">
        <v>1</v>
      </c>
      <c r="O45" s="328"/>
      <c r="P45" s="328"/>
      <c r="Q45" s="328"/>
      <c r="R45" s="23">
        <f t="shared" si="66"/>
        <v>1</v>
      </c>
      <c r="T45" s="328">
        <v>1</v>
      </c>
      <c r="U45" s="328"/>
      <c r="V45" s="328"/>
      <c r="W45" s="328"/>
      <c r="X45" s="23">
        <f t="shared" si="67"/>
        <v>1</v>
      </c>
      <c r="Z45" s="328">
        <v>2</v>
      </c>
      <c r="AA45" s="328"/>
      <c r="AB45" s="328"/>
      <c r="AC45" s="328"/>
      <c r="AD45" s="23">
        <f t="shared" si="68"/>
        <v>2</v>
      </c>
      <c r="AF45" s="328">
        <v>0</v>
      </c>
      <c r="AG45" s="328"/>
      <c r="AH45" s="328"/>
      <c r="AI45" s="328"/>
      <c r="AJ45" s="23">
        <f t="shared" si="69"/>
        <v>0</v>
      </c>
      <c r="AL45" s="23">
        <v>0</v>
      </c>
      <c r="AM45" s="23">
        <v>0</v>
      </c>
      <c r="AN45" s="23">
        <v>0</v>
      </c>
      <c r="AO45" s="23">
        <v>0</v>
      </c>
      <c r="AP45" s="23">
        <f t="shared" si="70"/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f t="shared" si="71"/>
        <v>0</v>
      </c>
      <c r="AX45" s="23">
        <f t="shared" si="72"/>
        <v>10</v>
      </c>
      <c r="AY45" s="23">
        <f t="shared" si="63"/>
        <v>0</v>
      </c>
      <c r="AZ45" s="23">
        <f t="shared" si="63"/>
        <v>0</v>
      </c>
      <c r="BA45" s="23">
        <f t="shared" si="63"/>
        <v>0</v>
      </c>
      <c r="BB45" s="23">
        <f t="shared" si="73"/>
        <v>10</v>
      </c>
    </row>
    <row r="46" spans="1:54" x14ac:dyDescent="0.25">
      <c r="A46" s="33" t="s">
        <v>45</v>
      </c>
      <c r="B46" s="23">
        <v>0</v>
      </c>
      <c r="C46" s="23">
        <v>0</v>
      </c>
      <c r="D46" s="23">
        <v>0</v>
      </c>
      <c r="E46" s="23">
        <v>0</v>
      </c>
      <c r="F46" s="23">
        <f t="shared" si="64"/>
        <v>0</v>
      </c>
      <c r="H46" s="328">
        <v>1</v>
      </c>
      <c r="I46" s="328">
        <v>1</v>
      </c>
      <c r="J46" s="328"/>
      <c r="K46" s="328"/>
      <c r="L46" s="23">
        <f t="shared" si="65"/>
        <v>2</v>
      </c>
      <c r="N46" s="328">
        <v>1</v>
      </c>
      <c r="O46" s="328"/>
      <c r="P46" s="328"/>
      <c r="Q46" s="328"/>
      <c r="R46" s="23">
        <f t="shared" si="66"/>
        <v>1</v>
      </c>
      <c r="T46" s="328">
        <v>2</v>
      </c>
      <c r="U46" s="328"/>
      <c r="V46" s="328"/>
      <c r="W46" s="328"/>
      <c r="X46" s="23">
        <f t="shared" si="67"/>
        <v>2</v>
      </c>
      <c r="Z46" s="328">
        <v>2</v>
      </c>
      <c r="AA46" s="328"/>
      <c r="AB46" s="328"/>
      <c r="AC46" s="328"/>
      <c r="AD46" s="23">
        <f t="shared" si="68"/>
        <v>2</v>
      </c>
      <c r="AF46" s="328">
        <v>0</v>
      </c>
      <c r="AG46" s="328"/>
      <c r="AH46" s="328"/>
      <c r="AI46" s="328"/>
      <c r="AJ46" s="23">
        <f t="shared" si="69"/>
        <v>0</v>
      </c>
      <c r="AL46" s="23">
        <v>1</v>
      </c>
      <c r="AM46" s="23">
        <v>0</v>
      </c>
      <c r="AN46" s="23">
        <v>0</v>
      </c>
      <c r="AO46" s="23">
        <v>0</v>
      </c>
      <c r="AP46" s="23">
        <f t="shared" si="70"/>
        <v>1</v>
      </c>
      <c r="AR46" s="23">
        <v>0</v>
      </c>
      <c r="AS46" s="23">
        <v>0</v>
      </c>
      <c r="AT46" s="23">
        <v>0</v>
      </c>
      <c r="AU46" s="23">
        <v>0</v>
      </c>
      <c r="AV46" s="23">
        <f t="shared" si="71"/>
        <v>0</v>
      </c>
      <c r="AX46" s="23">
        <f t="shared" si="72"/>
        <v>7</v>
      </c>
      <c r="AY46" s="23">
        <f t="shared" si="63"/>
        <v>1</v>
      </c>
      <c r="AZ46" s="23">
        <f t="shared" si="63"/>
        <v>0</v>
      </c>
      <c r="BA46" s="23">
        <f t="shared" si="63"/>
        <v>0</v>
      </c>
      <c r="BB46" s="23">
        <f t="shared" si="73"/>
        <v>8</v>
      </c>
    </row>
    <row r="47" spans="1:54" x14ac:dyDescent="0.25">
      <c r="A47" s="21" t="s">
        <v>200</v>
      </c>
      <c r="B47" s="23">
        <v>1</v>
      </c>
      <c r="C47" s="23">
        <v>0</v>
      </c>
      <c r="D47" s="23">
        <v>0</v>
      </c>
      <c r="E47" s="23">
        <v>0</v>
      </c>
      <c r="F47" s="23">
        <f t="shared" si="64"/>
        <v>1</v>
      </c>
      <c r="H47" s="328">
        <v>2</v>
      </c>
      <c r="I47" s="328"/>
      <c r="J47" s="328"/>
      <c r="K47" s="328"/>
      <c r="L47" s="23">
        <f t="shared" si="65"/>
        <v>2</v>
      </c>
      <c r="N47" s="328">
        <v>1</v>
      </c>
      <c r="O47" s="328"/>
      <c r="P47" s="328"/>
      <c r="Q47" s="328"/>
      <c r="R47" s="23">
        <f t="shared" si="66"/>
        <v>1</v>
      </c>
      <c r="T47" s="328">
        <v>1</v>
      </c>
      <c r="U47" s="328"/>
      <c r="V47" s="328"/>
      <c r="W47" s="328"/>
      <c r="X47" s="23">
        <f t="shared" si="67"/>
        <v>1</v>
      </c>
      <c r="Z47" s="328">
        <v>2</v>
      </c>
      <c r="AA47" s="328"/>
      <c r="AB47" s="328"/>
      <c r="AC47" s="328"/>
      <c r="AD47" s="23">
        <f t="shared" si="68"/>
        <v>2</v>
      </c>
      <c r="AF47" s="328">
        <v>1</v>
      </c>
      <c r="AG47" s="328"/>
      <c r="AH47" s="328"/>
      <c r="AI47" s="328"/>
      <c r="AJ47" s="23">
        <f t="shared" si="69"/>
        <v>1</v>
      </c>
      <c r="AL47" s="23">
        <v>1</v>
      </c>
      <c r="AM47" s="23">
        <v>0</v>
      </c>
      <c r="AN47" s="23">
        <v>0</v>
      </c>
      <c r="AO47" s="23">
        <v>0</v>
      </c>
      <c r="AP47" s="23">
        <f t="shared" si="70"/>
        <v>1</v>
      </c>
      <c r="AR47" s="23">
        <v>0</v>
      </c>
      <c r="AS47" s="23">
        <v>0</v>
      </c>
      <c r="AT47" s="23">
        <v>0</v>
      </c>
      <c r="AU47" s="23">
        <v>0</v>
      </c>
      <c r="AV47" s="23">
        <f t="shared" si="71"/>
        <v>0</v>
      </c>
      <c r="AX47" s="23">
        <f t="shared" si="72"/>
        <v>9</v>
      </c>
      <c r="AY47" s="23">
        <f t="shared" si="63"/>
        <v>0</v>
      </c>
      <c r="AZ47" s="23">
        <f t="shared" si="63"/>
        <v>0</v>
      </c>
      <c r="BA47" s="23">
        <f t="shared" si="63"/>
        <v>0</v>
      </c>
      <c r="BB47" s="23">
        <f t="shared" si="73"/>
        <v>9</v>
      </c>
    </row>
    <row r="48" spans="1:54" x14ac:dyDescent="0.25">
      <c r="A48" s="21" t="s">
        <v>47</v>
      </c>
      <c r="B48" s="23">
        <v>1</v>
      </c>
      <c r="C48" s="23">
        <v>0</v>
      </c>
      <c r="D48" s="23">
        <v>0</v>
      </c>
      <c r="E48" s="23">
        <v>0</v>
      </c>
      <c r="F48" s="23">
        <f t="shared" si="64"/>
        <v>1</v>
      </c>
      <c r="H48" s="328">
        <v>2</v>
      </c>
      <c r="I48" s="328"/>
      <c r="J48" s="328"/>
      <c r="K48" s="328"/>
      <c r="L48" s="23">
        <f t="shared" si="65"/>
        <v>2</v>
      </c>
      <c r="N48" s="328">
        <v>1</v>
      </c>
      <c r="O48" s="328"/>
      <c r="P48" s="328"/>
      <c r="Q48" s="328"/>
      <c r="R48" s="23">
        <f t="shared" si="66"/>
        <v>1</v>
      </c>
      <c r="T48" s="328">
        <v>1</v>
      </c>
      <c r="U48" s="328"/>
      <c r="V48" s="328"/>
      <c r="W48" s="328"/>
      <c r="X48" s="23">
        <f t="shared" si="67"/>
        <v>1</v>
      </c>
      <c r="Z48" s="328">
        <v>1.5</v>
      </c>
      <c r="AA48" s="328"/>
      <c r="AB48" s="328"/>
      <c r="AC48" s="328"/>
      <c r="AD48" s="23">
        <f t="shared" si="68"/>
        <v>1.5</v>
      </c>
      <c r="AF48" s="328">
        <v>1</v>
      </c>
      <c r="AG48" s="328"/>
      <c r="AH48" s="328"/>
      <c r="AI48" s="328"/>
      <c r="AJ48" s="23">
        <f t="shared" si="69"/>
        <v>1</v>
      </c>
      <c r="AL48" s="23">
        <v>0</v>
      </c>
      <c r="AM48" s="23">
        <v>0</v>
      </c>
      <c r="AN48" s="23">
        <v>0</v>
      </c>
      <c r="AO48" s="23">
        <v>0</v>
      </c>
      <c r="AP48" s="23">
        <f t="shared" si="70"/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f t="shared" si="71"/>
        <v>0</v>
      </c>
      <c r="AX48" s="23">
        <f t="shared" si="72"/>
        <v>7.5</v>
      </c>
      <c r="AY48" s="23">
        <f t="shared" si="63"/>
        <v>0</v>
      </c>
      <c r="AZ48" s="23">
        <f t="shared" si="63"/>
        <v>0</v>
      </c>
      <c r="BA48" s="23">
        <f t="shared" si="63"/>
        <v>0</v>
      </c>
      <c r="BB48" s="23">
        <f t="shared" si="73"/>
        <v>7.5</v>
      </c>
    </row>
    <row r="49" spans="1:54" x14ac:dyDescent="0.25">
      <c r="A49" s="21" t="s">
        <v>48</v>
      </c>
      <c r="B49" s="23">
        <v>1</v>
      </c>
      <c r="C49" s="23">
        <v>0</v>
      </c>
      <c r="D49" s="23">
        <v>0</v>
      </c>
      <c r="E49" s="23">
        <v>0</v>
      </c>
      <c r="F49" s="23">
        <f t="shared" si="64"/>
        <v>1</v>
      </c>
      <c r="H49" s="328">
        <v>2</v>
      </c>
      <c r="I49" s="328"/>
      <c r="J49" s="328"/>
      <c r="K49" s="328"/>
      <c r="L49" s="23">
        <f t="shared" si="65"/>
        <v>2</v>
      </c>
      <c r="N49" s="328">
        <v>1</v>
      </c>
      <c r="O49" s="328"/>
      <c r="P49" s="328"/>
      <c r="Q49" s="328"/>
      <c r="R49" s="23">
        <f t="shared" si="66"/>
        <v>1</v>
      </c>
      <c r="T49" s="328">
        <v>1</v>
      </c>
      <c r="U49" s="328"/>
      <c r="V49" s="328"/>
      <c r="W49" s="328"/>
      <c r="X49" s="23">
        <f t="shared" si="67"/>
        <v>1</v>
      </c>
      <c r="Z49" s="328">
        <v>2</v>
      </c>
      <c r="AA49" s="328"/>
      <c r="AB49" s="328"/>
      <c r="AC49" s="328"/>
      <c r="AD49" s="23">
        <f t="shared" si="68"/>
        <v>2</v>
      </c>
      <c r="AF49" s="328">
        <v>1</v>
      </c>
      <c r="AG49" s="328"/>
      <c r="AH49" s="328"/>
      <c r="AI49" s="328"/>
      <c r="AJ49" s="23">
        <f t="shared" si="69"/>
        <v>1</v>
      </c>
      <c r="AL49" s="23">
        <v>0</v>
      </c>
      <c r="AM49" s="23">
        <v>0</v>
      </c>
      <c r="AN49" s="23">
        <v>0</v>
      </c>
      <c r="AO49" s="23">
        <v>0</v>
      </c>
      <c r="AP49" s="23">
        <f t="shared" si="70"/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f t="shared" si="71"/>
        <v>0</v>
      </c>
      <c r="AX49" s="23">
        <f t="shared" si="72"/>
        <v>8</v>
      </c>
      <c r="AY49" s="23">
        <f t="shared" si="63"/>
        <v>0</v>
      </c>
      <c r="AZ49" s="23">
        <f t="shared" si="63"/>
        <v>0</v>
      </c>
      <c r="BA49" s="23">
        <f t="shared" si="63"/>
        <v>0</v>
      </c>
      <c r="BB49" s="23">
        <f t="shared" si="73"/>
        <v>8</v>
      </c>
    </row>
    <row r="50" spans="1:54" x14ac:dyDescent="0.25">
      <c r="A50" s="21" t="s">
        <v>49</v>
      </c>
      <c r="B50" s="23">
        <v>1</v>
      </c>
      <c r="C50" s="23">
        <v>0</v>
      </c>
      <c r="D50" s="23">
        <v>0</v>
      </c>
      <c r="E50" s="23">
        <v>0</v>
      </c>
      <c r="F50" s="23">
        <f t="shared" si="64"/>
        <v>1</v>
      </c>
      <c r="H50" s="328">
        <v>2</v>
      </c>
      <c r="I50" s="328"/>
      <c r="J50" s="328"/>
      <c r="K50" s="328"/>
      <c r="L50" s="23">
        <f t="shared" si="65"/>
        <v>2</v>
      </c>
      <c r="N50" s="328">
        <v>1</v>
      </c>
      <c r="O50" s="328"/>
      <c r="P50" s="328"/>
      <c r="Q50" s="328"/>
      <c r="R50" s="23">
        <f t="shared" si="66"/>
        <v>1</v>
      </c>
      <c r="T50" s="328">
        <v>1</v>
      </c>
      <c r="U50" s="328"/>
      <c r="V50" s="328"/>
      <c r="W50" s="328"/>
      <c r="X50" s="23">
        <f t="shared" si="67"/>
        <v>1</v>
      </c>
      <c r="Z50" s="328">
        <v>2</v>
      </c>
      <c r="AA50" s="328"/>
      <c r="AB50" s="328"/>
      <c r="AC50" s="328"/>
      <c r="AD50" s="23">
        <f t="shared" si="68"/>
        <v>2</v>
      </c>
      <c r="AF50" s="328">
        <v>1</v>
      </c>
      <c r="AG50" s="328"/>
      <c r="AH50" s="328"/>
      <c r="AI50" s="328"/>
      <c r="AJ50" s="23">
        <f t="shared" si="69"/>
        <v>1</v>
      </c>
      <c r="AL50" s="23">
        <v>0</v>
      </c>
      <c r="AM50" s="23">
        <v>0</v>
      </c>
      <c r="AN50" s="23">
        <v>0</v>
      </c>
      <c r="AO50" s="23">
        <v>0</v>
      </c>
      <c r="AP50" s="23">
        <f t="shared" si="70"/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f t="shared" si="71"/>
        <v>0</v>
      </c>
      <c r="AX50" s="23">
        <f t="shared" si="72"/>
        <v>8</v>
      </c>
      <c r="AY50" s="23">
        <f t="shared" si="63"/>
        <v>0</v>
      </c>
      <c r="AZ50" s="23">
        <f t="shared" si="63"/>
        <v>0</v>
      </c>
      <c r="BA50" s="23">
        <f t="shared" si="63"/>
        <v>0</v>
      </c>
      <c r="BB50" s="23">
        <f t="shared" si="73"/>
        <v>8</v>
      </c>
    </row>
    <row r="51" spans="1:54" x14ac:dyDescent="0.25">
      <c r="A51" s="21" t="s">
        <v>50</v>
      </c>
      <c r="B51" s="23">
        <v>0</v>
      </c>
      <c r="C51" s="23">
        <v>1.5</v>
      </c>
      <c r="D51" s="23">
        <v>4</v>
      </c>
      <c r="E51" s="23">
        <v>0</v>
      </c>
      <c r="F51" s="23">
        <f t="shared" si="64"/>
        <v>5.5</v>
      </c>
      <c r="H51" s="328">
        <v>0</v>
      </c>
      <c r="I51" s="328">
        <v>6</v>
      </c>
      <c r="J51" s="328">
        <v>13</v>
      </c>
      <c r="K51" s="328">
        <v>0</v>
      </c>
      <c r="L51" s="23">
        <f t="shared" si="65"/>
        <v>19</v>
      </c>
      <c r="N51" s="328">
        <v>0</v>
      </c>
      <c r="O51" s="328">
        <v>4.5</v>
      </c>
      <c r="P51" s="328">
        <v>4</v>
      </c>
      <c r="Q51" s="328">
        <v>0</v>
      </c>
      <c r="R51" s="23">
        <f t="shared" si="66"/>
        <v>8.5</v>
      </c>
      <c r="T51" s="328">
        <v>1.5</v>
      </c>
      <c r="U51" s="328">
        <v>2</v>
      </c>
      <c r="V51" s="328">
        <v>5</v>
      </c>
      <c r="W51" s="328">
        <v>0</v>
      </c>
      <c r="X51" s="23">
        <f t="shared" si="67"/>
        <v>8.5</v>
      </c>
      <c r="Z51" s="328">
        <v>0</v>
      </c>
      <c r="AA51" s="328">
        <v>4</v>
      </c>
      <c r="AB51" s="328">
        <v>10</v>
      </c>
      <c r="AC51" s="328">
        <v>0</v>
      </c>
      <c r="AD51" s="23">
        <f t="shared" si="68"/>
        <v>14</v>
      </c>
      <c r="AF51" s="328">
        <v>0</v>
      </c>
      <c r="AG51" s="359">
        <v>0</v>
      </c>
      <c r="AH51" s="359">
        <v>5</v>
      </c>
      <c r="AI51" s="359">
        <v>0</v>
      </c>
      <c r="AJ51" s="23">
        <f t="shared" si="69"/>
        <v>5</v>
      </c>
      <c r="AL51" s="23">
        <v>1</v>
      </c>
      <c r="AM51" s="23">
        <v>0</v>
      </c>
      <c r="AN51" s="23">
        <v>0</v>
      </c>
      <c r="AO51" s="23">
        <v>0</v>
      </c>
      <c r="AP51" s="23">
        <f t="shared" si="70"/>
        <v>1</v>
      </c>
      <c r="AR51" s="23">
        <v>0</v>
      </c>
      <c r="AS51" s="23">
        <v>0</v>
      </c>
      <c r="AT51" s="23">
        <v>1</v>
      </c>
      <c r="AU51" s="23">
        <v>0</v>
      </c>
      <c r="AV51" s="23">
        <f t="shared" si="71"/>
        <v>1</v>
      </c>
      <c r="AX51" s="23">
        <f t="shared" si="72"/>
        <v>2.5</v>
      </c>
      <c r="AY51" s="23">
        <f t="shared" si="63"/>
        <v>18</v>
      </c>
      <c r="AZ51" s="23">
        <f t="shared" si="63"/>
        <v>42</v>
      </c>
      <c r="BA51" s="23">
        <f t="shared" si="63"/>
        <v>0</v>
      </c>
      <c r="BB51" s="23">
        <f t="shared" si="73"/>
        <v>62.5</v>
      </c>
    </row>
    <row r="52" spans="1:54" x14ac:dyDescent="0.25">
      <c r="A52" s="21" t="s">
        <v>51</v>
      </c>
      <c r="B52" s="23">
        <v>1</v>
      </c>
      <c r="C52" s="23">
        <v>0</v>
      </c>
      <c r="D52" s="23">
        <v>0</v>
      </c>
      <c r="E52" s="23">
        <v>0</v>
      </c>
      <c r="F52" s="23">
        <f t="shared" si="64"/>
        <v>1</v>
      </c>
      <c r="H52" s="328">
        <v>5</v>
      </c>
      <c r="I52" s="328"/>
      <c r="J52" s="328"/>
      <c r="K52" s="328"/>
      <c r="L52" s="23">
        <f t="shared" si="65"/>
        <v>5</v>
      </c>
      <c r="N52" s="328">
        <v>2</v>
      </c>
      <c r="O52" s="328"/>
      <c r="P52" s="328"/>
      <c r="Q52" s="328"/>
      <c r="R52" s="23">
        <f t="shared" si="66"/>
        <v>2</v>
      </c>
      <c r="T52" s="328">
        <v>2</v>
      </c>
      <c r="U52" s="328"/>
      <c r="V52" s="328"/>
      <c r="W52" s="328"/>
      <c r="X52" s="23">
        <f t="shared" si="67"/>
        <v>2</v>
      </c>
      <c r="Z52" s="328">
        <v>4</v>
      </c>
      <c r="AA52" s="328"/>
      <c r="AB52" s="328"/>
      <c r="AC52" s="328"/>
      <c r="AD52" s="23">
        <f t="shared" si="68"/>
        <v>4</v>
      </c>
      <c r="AF52" s="328">
        <v>1</v>
      </c>
      <c r="AG52" s="328"/>
      <c r="AH52" s="328"/>
      <c r="AI52" s="328"/>
      <c r="AJ52" s="23">
        <f t="shared" si="69"/>
        <v>1</v>
      </c>
      <c r="AL52" s="23">
        <v>0</v>
      </c>
      <c r="AM52" s="23">
        <v>0</v>
      </c>
      <c r="AN52" s="23">
        <v>0</v>
      </c>
      <c r="AO52" s="23">
        <v>0</v>
      </c>
      <c r="AP52" s="23">
        <f t="shared" si="70"/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f t="shared" si="71"/>
        <v>0</v>
      </c>
      <c r="AX52" s="23">
        <f t="shared" si="72"/>
        <v>15</v>
      </c>
      <c r="AY52" s="23">
        <f t="shared" si="63"/>
        <v>0</v>
      </c>
      <c r="AZ52" s="23">
        <f t="shared" si="63"/>
        <v>0</v>
      </c>
      <c r="BA52" s="23">
        <f t="shared" si="63"/>
        <v>0</v>
      </c>
      <c r="BB52" s="23">
        <f t="shared" si="73"/>
        <v>15</v>
      </c>
    </row>
    <row r="53" spans="1:54" x14ac:dyDescent="0.25">
      <c r="A53" s="21" t="s">
        <v>52</v>
      </c>
      <c r="B53" s="23">
        <v>0</v>
      </c>
      <c r="C53" s="23">
        <v>0</v>
      </c>
      <c r="D53" s="23">
        <v>0</v>
      </c>
      <c r="E53" s="23">
        <v>1</v>
      </c>
      <c r="F53" s="23">
        <f t="shared" si="64"/>
        <v>1</v>
      </c>
      <c r="H53" s="328">
        <v>0</v>
      </c>
      <c r="I53" s="328"/>
      <c r="J53" s="328"/>
      <c r="K53" s="328">
        <v>3</v>
      </c>
      <c r="L53" s="23">
        <f t="shared" si="65"/>
        <v>3</v>
      </c>
      <c r="N53" s="328"/>
      <c r="O53" s="328"/>
      <c r="P53" s="328"/>
      <c r="Q53" s="328">
        <v>1</v>
      </c>
      <c r="R53" s="23">
        <f t="shared" si="66"/>
        <v>1</v>
      </c>
      <c r="T53" s="328"/>
      <c r="U53" s="328"/>
      <c r="V53" s="328"/>
      <c r="W53" s="328">
        <v>1</v>
      </c>
      <c r="X53" s="23">
        <f t="shared" si="67"/>
        <v>1</v>
      </c>
      <c r="Z53" s="328"/>
      <c r="AA53" s="328"/>
      <c r="AB53" s="328"/>
      <c r="AC53" s="328">
        <v>2</v>
      </c>
      <c r="AD53" s="23">
        <f t="shared" si="68"/>
        <v>2</v>
      </c>
      <c r="AF53" s="328"/>
      <c r="AG53" s="328"/>
      <c r="AH53" s="328"/>
      <c r="AI53" s="328">
        <v>1</v>
      </c>
      <c r="AJ53" s="23">
        <f t="shared" si="69"/>
        <v>1</v>
      </c>
      <c r="AL53" s="23">
        <v>0</v>
      </c>
      <c r="AM53" s="23">
        <v>0</v>
      </c>
      <c r="AN53" s="23">
        <v>0</v>
      </c>
      <c r="AO53" s="23">
        <v>0</v>
      </c>
      <c r="AP53" s="23">
        <f t="shared" si="70"/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f t="shared" si="71"/>
        <v>0</v>
      </c>
      <c r="AX53" s="23">
        <f t="shared" si="72"/>
        <v>0</v>
      </c>
      <c r="AY53" s="23">
        <f t="shared" si="63"/>
        <v>0</v>
      </c>
      <c r="AZ53" s="23">
        <f t="shared" si="63"/>
        <v>0</v>
      </c>
      <c r="BA53" s="23">
        <f t="shared" si="63"/>
        <v>9</v>
      </c>
      <c r="BB53" s="23">
        <f t="shared" si="73"/>
        <v>9</v>
      </c>
    </row>
    <row r="54" spans="1:54" x14ac:dyDescent="0.25">
      <c r="A54" s="21" t="s">
        <v>244</v>
      </c>
      <c r="B54" s="23">
        <v>0</v>
      </c>
      <c r="C54" s="23">
        <v>0</v>
      </c>
      <c r="D54" s="23">
        <v>0</v>
      </c>
      <c r="E54" s="23">
        <v>0</v>
      </c>
      <c r="F54" s="23">
        <f t="shared" si="64"/>
        <v>0</v>
      </c>
      <c r="H54" s="328">
        <v>0</v>
      </c>
      <c r="I54" s="328">
        <v>0</v>
      </c>
      <c r="J54" s="328"/>
      <c r="K54" s="328"/>
      <c r="L54" s="23">
        <f t="shared" si="65"/>
        <v>0</v>
      </c>
      <c r="N54" s="328">
        <v>0</v>
      </c>
      <c r="O54" s="328">
        <v>0</v>
      </c>
      <c r="P54" s="328"/>
      <c r="Q54" s="328"/>
      <c r="R54" s="23">
        <f t="shared" si="66"/>
        <v>0</v>
      </c>
      <c r="T54" s="328">
        <v>0</v>
      </c>
      <c r="U54" s="328">
        <v>0</v>
      </c>
      <c r="V54" s="328"/>
      <c r="W54" s="328"/>
      <c r="X54" s="23">
        <f t="shared" si="67"/>
        <v>0</v>
      </c>
      <c r="Z54" s="328">
        <v>0</v>
      </c>
      <c r="AA54" s="328">
        <v>0</v>
      </c>
      <c r="AB54" s="328"/>
      <c r="AC54" s="328"/>
      <c r="AD54" s="23">
        <f t="shared" si="68"/>
        <v>0</v>
      </c>
      <c r="AF54" s="328">
        <v>0</v>
      </c>
      <c r="AG54" s="328">
        <v>0</v>
      </c>
      <c r="AH54" s="328"/>
      <c r="AI54" s="328"/>
      <c r="AJ54" s="23">
        <f t="shared" si="69"/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f t="shared" si="70"/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f t="shared" si="71"/>
        <v>0</v>
      </c>
      <c r="AX54" s="23">
        <f t="shared" si="72"/>
        <v>0</v>
      </c>
      <c r="AY54" s="23">
        <f t="shared" si="63"/>
        <v>0</v>
      </c>
      <c r="AZ54" s="23">
        <f t="shared" si="63"/>
        <v>0</v>
      </c>
      <c r="BA54" s="23">
        <f t="shared" si="63"/>
        <v>0</v>
      </c>
      <c r="BB54" s="23">
        <f t="shared" si="73"/>
        <v>0</v>
      </c>
    </row>
    <row r="55" spans="1:54" x14ac:dyDescent="0.25">
      <c r="A55" s="34" t="s">
        <v>54</v>
      </c>
      <c r="B55" s="23">
        <v>0</v>
      </c>
      <c r="C55" s="23">
        <v>0</v>
      </c>
      <c r="D55" s="23">
        <v>1</v>
      </c>
      <c r="E55" s="23">
        <v>0</v>
      </c>
      <c r="F55" s="23">
        <f t="shared" si="64"/>
        <v>1</v>
      </c>
      <c r="H55" s="328">
        <v>0</v>
      </c>
      <c r="I55" s="328"/>
      <c r="J55" s="328">
        <v>1</v>
      </c>
      <c r="K55" s="328"/>
      <c r="L55" s="23">
        <f t="shared" si="65"/>
        <v>1</v>
      </c>
      <c r="N55" s="328">
        <v>0</v>
      </c>
      <c r="O55" s="328"/>
      <c r="P55" s="328">
        <v>0.33</v>
      </c>
      <c r="Q55" s="328"/>
      <c r="R55" s="23">
        <f t="shared" si="66"/>
        <v>0.33</v>
      </c>
      <c r="T55" s="328">
        <v>0</v>
      </c>
      <c r="U55" s="328"/>
      <c r="V55" s="328">
        <v>1</v>
      </c>
      <c r="W55" s="328"/>
      <c r="X55" s="23">
        <f t="shared" si="67"/>
        <v>1</v>
      </c>
      <c r="Z55" s="328">
        <v>0</v>
      </c>
      <c r="AA55" s="328"/>
      <c r="AB55" s="328">
        <v>0</v>
      </c>
      <c r="AC55" s="328"/>
      <c r="AD55" s="23">
        <f t="shared" si="68"/>
        <v>0</v>
      </c>
      <c r="AF55" s="328">
        <v>0</v>
      </c>
      <c r="AG55" s="328"/>
      <c r="AH55" s="328">
        <v>0</v>
      </c>
      <c r="AI55" s="328"/>
      <c r="AJ55" s="23">
        <f t="shared" si="69"/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f t="shared" si="70"/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f t="shared" si="71"/>
        <v>0</v>
      </c>
      <c r="AX55" s="23">
        <f t="shared" si="72"/>
        <v>0</v>
      </c>
      <c r="AY55" s="23">
        <f t="shared" si="63"/>
        <v>0</v>
      </c>
      <c r="AZ55" s="23">
        <f t="shared" si="63"/>
        <v>3.33</v>
      </c>
      <c r="BA55" s="23">
        <f t="shared" si="63"/>
        <v>0</v>
      </c>
      <c r="BB55" s="23">
        <f t="shared" si="73"/>
        <v>3.33</v>
      </c>
    </row>
    <row r="56" spans="1:54" x14ac:dyDescent="0.25">
      <c r="A56" s="34" t="s">
        <v>55</v>
      </c>
      <c r="B56" s="23">
        <v>0</v>
      </c>
      <c r="C56" s="23">
        <v>0</v>
      </c>
      <c r="D56" s="23">
        <v>0</v>
      </c>
      <c r="E56" s="23">
        <v>0</v>
      </c>
      <c r="F56" s="23">
        <f t="shared" si="64"/>
        <v>0</v>
      </c>
      <c r="H56" s="328">
        <v>0</v>
      </c>
      <c r="I56" s="328">
        <v>0</v>
      </c>
      <c r="J56" s="328">
        <v>1</v>
      </c>
      <c r="K56" s="328"/>
      <c r="L56" s="23">
        <f t="shared" si="65"/>
        <v>1</v>
      </c>
      <c r="N56" s="328">
        <v>0</v>
      </c>
      <c r="O56" s="328">
        <v>0</v>
      </c>
      <c r="P56" s="328"/>
      <c r="Q56" s="328"/>
      <c r="R56" s="23">
        <f t="shared" si="66"/>
        <v>0</v>
      </c>
      <c r="T56" s="328">
        <v>0</v>
      </c>
      <c r="U56" s="328">
        <v>0</v>
      </c>
      <c r="V56" s="328">
        <v>1</v>
      </c>
      <c r="W56" s="328"/>
      <c r="X56" s="23">
        <f t="shared" si="67"/>
        <v>1</v>
      </c>
      <c r="Z56" s="328">
        <v>0</v>
      </c>
      <c r="AA56" s="328">
        <v>0</v>
      </c>
      <c r="AB56" s="328">
        <v>0</v>
      </c>
      <c r="AC56" s="328"/>
      <c r="AD56" s="23">
        <f t="shared" si="68"/>
        <v>0</v>
      </c>
      <c r="AF56" s="328">
        <v>0</v>
      </c>
      <c r="AG56" s="328">
        <v>0</v>
      </c>
      <c r="AH56" s="328">
        <v>0</v>
      </c>
      <c r="AI56" s="328"/>
      <c r="AJ56" s="23">
        <f t="shared" si="69"/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f t="shared" si="70"/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f t="shared" si="71"/>
        <v>0</v>
      </c>
      <c r="AX56" s="23">
        <f t="shared" si="72"/>
        <v>0</v>
      </c>
      <c r="AY56" s="23">
        <f t="shared" si="63"/>
        <v>0</v>
      </c>
      <c r="AZ56" s="23">
        <f t="shared" si="63"/>
        <v>2</v>
      </c>
      <c r="BA56" s="23">
        <f t="shared" si="63"/>
        <v>0</v>
      </c>
      <c r="BB56" s="23">
        <f t="shared" si="73"/>
        <v>2</v>
      </c>
    </row>
    <row r="57" spans="1:54" x14ac:dyDescent="0.25">
      <c r="A57" s="34" t="s">
        <v>56</v>
      </c>
      <c r="B57" s="23">
        <v>0</v>
      </c>
      <c r="C57" s="23">
        <v>0</v>
      </c>
      <c r="D57" s="23">
        <v>0</v>
      </c>
      <c r="E57" s="23">
        <v>0</v>
      </c>
      <c r="F57" s="23">
        <f t="shared" si="64"/>
        <v>0</v>
      </c>
      <c r="H57" s="328">
        <v>0</v>
      </c>
      <c r="I57" s="328">
        <v>0</v>
      </c>
      <c r="J57" s="328">
        <v>0</v>
      </c>
      <c r="K57" s="328"/>
      <c r="L57" s="23">
        <f t="shared" si="65"/>
        <v>0</v>
      </c>
      <c r="N57" s="328">
        <v>0</v>
      </c>
      <c r="O57" s="328">
        <v>0</v>
      </c>
      <c r="P57" s="328"/>
      <c r="Q57" s="328"/>
      <c r="R57" s="23">
        <f t="shared" si="66"/>
        <v>0</v>
      </c>
      <c r="T57" s="328">
        <v>0</v>
      </c>
      <c r="U57" s="328">
        <v>0</v>
      </c>
      <c r="V57" s="328">
        <v>1</v>
      </c>
      <c r="W57" s="328"/>
      <c r="X57" s="23">
        <f t="shared" si="67"/>
        <v>1</v>
      </c>
      <c r="Z57" s="328">
        <v>0</v>
      </c>
      <c r="AA57" s="328">
        <v>0</v>
      </c>
      <c r="AB57" s="328">
        <v>0.5</v>
      </c>
      <c r="AC57" s="328"/>
      <c r="AD57" s="23">
        <f t="shared" si="68"/>
        <v>0.5</v>
      </c>
      <c r="AF57" s="328">
        <v>0</v>
      </c>
      <c r="AG57" s="328">
        <v>0</v>
      </c>
      <c r="AH57" s="328">
        <v>0</v>
      </c>
      <c r="AI57" s="328"/>
      <c r="AJ57" s="23">
        <f t="shared" si="69"/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f t="shared" si="70"/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f t="shared" si="71"/>
        <v>0</v>
      </c>
      <c r="AX57" s="23">
        <f t="shared" si="72"/>
        <v>0</v>
      </c>
      <c r="AY57" s="23">
        <f t="shared" si="63"/>
        <v>0</v>
      </c>
      <c r="AZ57" s="23">
        <f t="shared" si="63"/>
        <v>1.5</v>
      </c>
      <c r="BA57" s="23">
        <f t="shared" si="63"/>
        <v>0</v>
      </c>
      <c r="BB57" s="23">
        <f t="shared" si="73"/>
        <v>1.5</v>
      </c>
    </row>
    <row r="58" spans="1:54" x14ac:dyDescent="0.25">
      <c r="A58" s="34" t="s">
        <v>57</v>
      </c>
      <c r="B58" s="23">
        <v>0</v>
      </c>
      <c r="C58" s="23">
        <v>0</v>
      </c>
      <c r="D58" s="23">
        <v>0</v>
      </c>
      <c r="E58" s="23">
        <v>0</v>
      </c>
      <c r="F58" s="23">
        <f t="shared" si="64"/>
        <v>0</v>
      </c>
      <c r="H58" s="328">
        <v>0</v>
      </c>
      <c r="I58" s="328">
        <v>0</v>
      </c>
      <c r="J58" s="328"/>
      <c r="K58" s="328"/>
      <c r="L58" s="23">
        <f t="shared" si="65"/>
        <v>0</v>
      </c>
      <c r="N58" s="328">
        <v>0</v>
      </c>
      <c r="O58" s="328">
        <v>0</v>
      </c>
      <c r="P58" s="328"/>
      <c r="Q58" s="328"/>
      <c r="R58" s="23">
        <f t="shared" si="66"/>
        <v>0</v>
      </c>
      <c r="T58" s="328">
        <v>0</v>
      </c>
      <c r="U58" s="328">
        <v>0</v>
      </c>
      <c r="V58" s="328">
        <v>0.34</v>
      </c>
      <c r="W58" s="328"/>
      <c r="X58" s="23">
        <f t="shared" si="67"/>
        <v>0.34</v>
      </c>
      <c r="Z58" s="328">
        <v>0</v>
      </c>
      <c r="AA58" s="328">
        <v>0</v>
      </c>
      <c r="AB58" s="328">
        <v>0.33</v>
      </c>
      <c r="AC58" s="328"/>
      <c r="AD58" s="23">
        <f t="shared" si="68"/>
        <v>0.33</v>
      </c>
      <c r="AF58" s="328">
        <v>0</v>
      </c>
      <c r="AG58" s="328">
        <v>0</v>
      </c>
      <c r="AH58" s="328">
        <v>0</v>
      </c>
      <c r="AI58" s="328"/>
      <c r="AJ58" s="23">
        <f t="shared" si="69"/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f t="shared" si="70"/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f t="shared" si="71"/>
        <v>0</v>
      </c>
      <c r="AX58" s="23">
        <f t="shared" si="72"/>
        <v>0</v>
      </c>
      <c r="AY58" s="23">
        <f t="shared" si="72"/>
        <v>0</v>
      </c>
      <c r="AZ58" s="23">
        <f t="shared" si="72"/>
        <v>0.67</v>
      </c>
      <c r="BA58" s="23">
        <f t="shared" si="72"/>
        <v>0</v>
      </c>
      <c r="BB58" s="23">
        <f t="shared" si="73"/>
        <v>0.67</v>
      </c>
    </row>
    <row r="59" spans="1:54" x14ac:dyDescent="0.25">
      <c r="A59" s="34" t="s">
        <v>58</v>
      </c>
      <c r="B59" s="23">
        <v>0</v>
      </c>
      <c r="C59" s="23">
        <v>0</v>
      </c>
      <c r="D59" s="23">
        <v>0</v>
      </c>
      <c r="E59" s="23">
        <v>0</v>
      </c>
      <c r="F59" s="23">
        <f t="shared" si="64"/>
        <v>0</v>
      </c>
      <c r="H59" s="328">
        <v>0</v>
      </c>
      <c r="I59" s="328">
        <v>0</v>
      </c>
      <c r="J59" s="328">
        <v>1</v>
      </c>
      <c r="K59" s="328"/>
      <c r="L59" s="23">
        <f t="shared" si="65"/>
        <v>1</v>
      </c>
      <c r="N59" s="328">
        <v>0</v>
      </c>
      <c r="O59" s="328">
        <v>0</v>
      </c>
      <c r="P59" s="328"/>
      <c r="Q59" s="328"/>
      <c r="R59" s="23">
        <f t="shared" si="66"/>
        <v>0</v>
      </c>
      <c r="T59" s="328">
        <v>0</v>
      </c>
      <c r="U59" s="328">
        <v>0</v>
      </c>
      <c r="V59" s="328"/>
      <c r="W59" s="328"/>
      <c r="X59" s="23">
        <f t="shared" si="67"/>
        <v>0</v>
      </c>
      <c r="Z59" s="328">
        <v>0</v>
      </c>
      <c r="AA59" s="328">
        <v>0</v>
      </c>
      <c r="AB59" s="328">
        <v>1</v>
      </c>
      <c r="AC59" s="328"/>
      <c r="AD59" s="23">
        <f t="shared" si="68"/>
        <v>1</v>
      </c>
      <c r="AF59" s="328">
        <v>0</v>
      </c>
      <c r="AG59" s="328">
        <v>0</v>
      </c>
      <c r="AH59" s="328">
        <v>0</v>
      </c>
      <c r="AI59" s="328"/>
      <c r="AJ59" s="23">
        <f t="shared" si="69"/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f t="shared" si="70"/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f t="shared" si="71"/>
        <v>0</v>
      </c>
      <c r="AX59" s="23">
        <f t="shared" si="72"/>
        <v>0</v>
      </c>
      <c r="AY59" s="23">
        <f t="shared" si="72"/>
        <v>0</v>
      </c>
      <c r="AZ59" s="23">
        <f t="shared" si="72"/>
        <v>2</v>
      </c>
      <c r="BA59" s="23">
        <f t="shared" si="72"/>
        <v>0</v>
      </c>
      <c r="BB59" s="23">
        <f t="shared" si="73"/>
        <v>2</v>
      </c>
    </row>
    <row r="60" spans="1:54" x14ac:dyDescent="0.25">
      <c r="A60" s="34" t="s">
        <v>59</v>
      </c>
      <c r="B60" s="23">
        <v>0</v>
      </c>
      <c r="C60" s="23">
        <v>0.5</v>
      </c>
      <c r="D60" s="23">
        <v>0</v>
      </c>
      <c r="E60" s="23">
        <v>0</v>
      </c>
      <c r="F60" s="23">
        <f t="shared" si="64"/>
        <v>0.5</v>
      </c>
      <c r="H60" s="328">
        <v>0</v>
      </c>
      <c r="I60" s="328">
        <v>1</v>
      </c>
      <c r="J60" s="328"/>
      <c r="K60" s="328"/>
      <c r="L60" s="23">
        <f t="shared" si="65"/>
        <v>1</v>
      </c>
      <c r="N60" s="328">
        <v>0</v>
      </c>
      <c r="O60" s="328">
        <v>0.5</v>
      </c>
      <c r="P60" s="328"/>
      <c r="Q60" s="328"/>
      <c r="R60" s="23">
        <f t="shared" si="66"/>
        <v>0.5</v>
      </c>
      <c r="T60" s="328">
        <v>0</v>
      </c>
      <c r="U60" s="328">
        <v>1.5</v>
      </c>
      <c r="V60" s="328"/>
      <c r="W60" s="328"/>
      <c r="X60" s="23">
        <f t="shared" si="67"/>
        <v>1.5</v>
      </c>
      <c r="Z60" s="328">
        <v>0</v>
      </c>
      <c r="AA60" s="328">
        <v>1.5</v>
      </c>
      <c r="AB60" s="328"/>
      <c r="AC60" s="328"/>
      <c r="AD60" s="23">
        <f t="shared" si="68"/>
        <v>1.5</v>
      </c>
      <c r="AF60" s="328">
        <v>0</v>
      </c>
      <c r="AG60" s="328">
        <v>0.5</v>
      </c>
      <c r="AH60" s="328"/>
      <c r="AI60" s="328"/>
      <c r="AJ60" s="23">
        <f t="shared" si="69"/>
        <v>0.5</v>
      </c>
      <c r="AL60" s="23">
        <v>0</v>
      </c>
      <c r="AM60" s="23">
        <v>0.5</v>
      </c>
      <c r="AN60" s="23">
        <v>0</v>
      </c>
      <c r="AO60" s="23">
        <v>0</v>
      </c>
      <c r="AP60" s="23">
        <f t="shared" si="70"/>
        <v>0.5</v>
      </c>
      <c r="AR60" s="23">
        <v>0</v>
      </c>
      <c r="AS60" s="23">
        <v>0</v>
      </c>
      <c r="AT60" s="23">
        <v>0</v>
      </c>
      <c r="AU60" s="23">
        <v>0</v>
      </c>
      <c r="AV60" s="23">
        <f t="shared" si="71"/>
        <v>0</v>
      </c>
      <c r="AX60" s="23">
        <f t="shared" si="72"/>
        <v>0</v>
      </c>
      <c r="AY60" s="23">
        <f t="shared" si="72"/>
        <v>6</v>
      </c>
      <c r="AZ60" s="23">
        <f t="shared" si="72"/>
        <v>0</v>
      </c>
      <c r="BA60" s="23">
        <f t="shared" si="72"/>
        <v>0</v>
      </c>
      <c r="BB60" s="23">
        <f t="shared" si="73"/>
        <v>6</v>
      </c>
    </row>
    <row r="61" spans="1:54" x14ac:dyDescent="0.25">
      <c r="A61" s="35" t="s">
        <v>245</v>
      </c>
      <c r="B61" s="23">
        <v>0</v>
      </c>
      <c r="C61" s="23">
        <v>0</v>
      </c>
      <c r="D61" s="23">
        <v>0</v>
      </c>
      <c r="E61" s="23">
        <v>0</v>
      </c>
      <c r="F61" s="23">
        <f t="shared" si="64"/>
        <v>0</v>
      </c>
      <c r="H61" s="23">
        <v>0</v>
      </c>
      <c r="I61" s="23">
        <v>0</v>
      </c>
      <c r="J61" s="23">
        <v>0</v>
      </c>
      <c r="K61" s="23">
        <v>0</v>
      </c>
      <c r="L61" s="23">
        <f t="shared" si="65"/>
        <v>0</v>
      </c>
      <c r="N61" s="23">
        <v>0</v>
      </c>
      <c r="O61" s="23">
        <v>0</v>
      </c>
      <c r="P61" s="23">
        <v>0</v>
      </c>
      <c r="Q61" s="23">
        <v>0</v>
      </c>
      <c r="R61" s="23">
        <f t="shared" si="66"/>
        <v>0</v>
      </c>
      <c r="T61" s="328">
        <v>0</v>
      </c>
      <c r="U61" s="328">
        <v>0</v>
      </c>
      <c r="V61" s="328"/>
      <c r="W61" s="328"/>
      <c r="X61" s="23">
        <f t="shared" si="67"/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f t="shared" si="68"/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f t="shared" si="69"/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f t="shared" si="70"/>
        <v>0</v>
      </c>
      <c r="AR61" s="23">
        <v>1</v>
      </c>
      <c r="AS61" s="23">
        <v>0</v>
      </c>
      <c r="AT61" s="23">
        <v>0</v>
      </c>
      <c r="AU61" s="23">
        <v>0</v>
      </c>
      <c r="AV61" s="23">
        <f t="shared" si="71"/>
        <v>1</v>
      </c>
      <c r="AX61" s="23">
        <f t="shared" si="72"/>
        <v>1</v>
      </c>
      <c r="AY61" s="23">
        <f t="shared" si="72"/>
        <v>0</v>
      </c>
      <c r="AZ61" s="23">
        <f t="shared" si="72"/>
        <v>0</v>
      </c>
      <c r="BA61" s="23">
        <f t="shared" si="72"/>
        <v>0</v>
      </c>
      <c r="BB61" s="23">
        <f t="shared" si="73"/>
        <v>1</v>
      </c>
    </row>
    <row r="62" spans="1:54" x14ac:dyDescent="0.25">
      <c r="A62" s="29" t="s">
        <v>60</v>
      </c>
      <c r="B62" s="30">
        <f>SUM(B42:B61)</f>
        <v>9</v>
      </c>
      <c r="C62" s="30">
        <f t="shared" ref="C62:F62" si="74">SUM(C42:C61)</f>
        <v>3</v>
      </c>
      <c r="D62" s="30">
        <f t="shared" si="74"/>
        <v>5</v>
      </c>
      <c r="E62" s="30">
        <f t="shared" si="74"/>
        <v>1</v>
      </c>
      <c r="F62" s="30">
        <f t="shared" si="74"/>
        <v>18</v>
      </c>
      <c r="H62" s="30">
        <f>SUM(H42:H61)</f>
        <v>24</v>
      </c>
      <c r="I62" s="30">
        <f t="shared" ref="I62:L62" si="75">SUM(I42:I61)</f>
        <v>8</v>
      </c>
      <c r="J62" s="30">
        <f t="shared" si="75"/>
        <v>16</v>
      </c>
      <c r="K62" s="30">
        <f t="shared" si="75"/>
        <v>3</v>
      </c>
      <c r="L62" s="30">
        <f t="shared" si="75"/>
        <v>51</v>
      </c>
      <c r="N62" s="30">
        <f>SUM(N42:N61)</f>
        <v>11</v>
      </c>
      <c r="O62" s="30">
        <f t="shared" ref="O62:R62" si="76">SUM(O42:O61)</f>
        <v>5</v>
      </c>
      <c r="P62" s="30">
        <f t="shared" si="76"/>
        <v>4.33</v>
      </c>
      <c r="Q62" s="30">
        <f t="shared" si="76"/>
        <v>1</v>
      </c>
      <c r="R62" s="30">
        <f t="shared" si="76"/>
        <v>21.33</v>
      </c>
      <c r="T62" s="30">
        <f>SUM(T42:T61)</f>
        <v>13.5</v>
      </c>
      <c r="U62" s="30">
        <f t="shared" ref="U62:X62" si="77">SUM(U42:U61)</f>
        <v>3.5</v>
      </c>
      <c r="V62" s="30">
        <f t="shared" si="77"/>
        <v>8.34</v>
      </c>
      <c r="W62" s="30">
        <f t="shared" si="77"/>
        <v>1</v>
      </c>
      <c r="X62" s="30">
        <f t="shared" si="77"/>
        <v>26.34</v>
      </c>
      <c r="Z62" s="30">
        <f>SUM(Z42:Z61)</f>
        <v>19.5</v>
      </c>
      <c r="AA62" s="30">
        <f t="shared" ref="AA62:AD62" si="78">SUM(AA42:AA61)</f>
        <v>5.5</v>
      </c>
      <c r="AB62" s="30">
        <f t="shared" si="78"/>
        <v>12.83</v>
      </c>
      <c r="AC62" s="30">
        <f t="shared" si="78"/>
        <v>2</v>
      </c>
      <c r="AD62" s="30">
        <f t="shared" si="78"/>
        <v>39.83</v>
      </c>
      <c r="AF62" s="30">
        <f>SUM(AF42:AF61)</f>
        <v>8</v>
      </c>
      <c r="AG62" s="30">
        <f t="shared" ref="AG62:AJ62" si="79">SUM(AG42:AG61)</f>
        <v>1.5</v>
      </c>
      <c r="AH62" s="30">
        <f t="shared" si="79"/>
        <v>5</v>
      </c>
      <c r="AI62" s="30">
        <f t="shared" si="79"/>
        <v>1</v>
      </c>
      <c r="AJ62" s="30">
        <f t="shared" si="79"/>
        <v>15.5</v>
      </c>
      <c r="AL62" s="30">
        <f>SUM(AL42:AL61)</f>
        <v>3</v>
      </c>
      <c r="AM62" s="30">
        <f t="shared" ref="AM62:AP62" si="80">SUM(AM42:AM61)</f>
        <v>0.5</v>
      </c>
      <c r="AN62" s="30">
        <f t="shared" si="80"/>
        <v>0</v>
      </c>
      <c r="AO62" s="30">
        <f t="shared" si="80"/>
        <v>0</v>
      </c>
      <c r="AP62" s="30">
        <f t="shared" si="80"/>
        <v>3.5</v>
      </c>
      <c r="AR62" s="30">
        <f>SUM(AR42:AR61)</f>
        <v>1</v>
      </c>
      <c r="AS62" s="30">
        <f t="shared" ref="AS62:AV62" si="81">SUM(AS42:AS61)</f>
        <v>0</v>
      </c>
      <c r="AT62" s="30">
        <f t="shared" si="81"/>
        <v>1</v>
      </c>
      <c r="AU62" s="30">
        <f t="shared" si="81"/>
        <v>0</v>
      </c>
      <c r="AV62" s="30">
        <f t="shared" si="81"/>
        <v>2</v>
      </c>
      <c r="AX62" s="30">
        <f>SUM(AX42:AX61)</f>
        <v>89</v>
      </c>
      <c r="AY62" s="30">
        <f t="shared" ref="AY62:BB62" si="82">SUM(AY42:AY61)</f>
        <v>27</v>
      </c>
      <c r="AZ62" s="30">
        <f t="shared" si="82"/>
        <v>52.5</v>
      </c>
      <c r="BA62" s="30">
        <f t="shared" si="82"/>
        <v>9</v>
      </c>
      <c r="BB62" s="30">
        <f t="shared" si="82"/>
        <v>177.5</v>
      </c>
    </row>
    <row r="63" spans="1:54" ht="15.75" thickBot="1" x14ac:dyDescent="0.3">
      <c r="A63" s="36"/>
      <c r="B63" s="38"/>
      <c r="C63" s="38"/>
      <c r="D63" s="38"/>
      <c r="E63" s="38"/>
      <c r="F63" s="38"/>
      <c r="H63" s="38"/>
      <c r="I63" s="38"/>
      <c r="J63" s="38"/>
      <c r="K63" s="38"/>
      <c r="L63" s="38"/>
      <c r="N63" s="38"/>
      <c r="O63" s="38"/>
      <c r="P63" s="38"/>
      <c r="Q63" s="38"/>
      <c r="R63" s="38"/>
      <c r="T63" s="38"/>
      <c r="U63" s="38"/>
      <c r="V63" s="38"/>
      <c r="W63" s="38"/>
      <c r="X63" s="38"/>
      <c r="Z63" s="38"/>
      <c r="AA63" s="38"/>
      <c r="AB63" s="38"/>
      <c r="AC63" s="38"/>
      <c r="AD63" s="38"/>
      <c r="AF63" s="38"/>
      <c r="AG63" s="38"/>
      <c r="AH63" s="38"/>
      <c r="AI63" s="38"/>
      <c r="AJ63" s="38"/>
      <c r="AL63" s="38"/>
      <c r="AM63" s="38"/>
      <c r="AN63" s="38"/>
      <c r="AO63" s="38"/>
      <c r="AP63" s="38"/>
      <c r="AR63" s="38"/>
      <c r="AS63" s="38"/>
      <c r="AT63" s="38"/>
      <c r="AU63" s="38"/>
      <c r="AV63" s="38"/>
      <c r="AX63" s="38"/>
      <c r="AY63" s="38"/>
      <c r="AZ63" s="38"/>
      <c r="BA63" s="38"/>
      <c r="BB63" s="38"/>
    </row>
    <row r="64" spans="1:54" x14ac:dyDescent="0.25">
      <c r="A64" s="40" t="s">
        <v>61</v>
      </c>
      <c r="B64" s="39">
        <f>B39</f>
        <v>41.5</v>
      </c>
      <c r="C64" s="39">
        <f>C39</f>
        <v>0</v>
      </c>
      <c r="D64" s="39">
        <f>D39</f>
        <v>4</v>
      </c>
      <c r="E64" s="39">
        <f t="shared" ref="E64" si="83">E39</f>
        <v>0</v>
      </c>
      <c r="F64" s="39">
        <f>F39</f>
        <v>45.5</v>
      </c>
      <c r="H64" s="39">
        <f>H39</f>
        <v>98</v>
      </c>
      <c r="I64" s="39">
        <f>I39</f>
        <v>0</v>
      </c>
      <c r="J64" s="39">
        <f>J39</f>
        <v>13</v>
      </c>
      <c r="K64" s="39">
        <f t="shared" ref="K64" si="84">K39</f>
        <v>0</v>
      </c>
      <c r="L64" s="39">
        <f>L39</f>
        <v>111</v>
      </c>
      <c r="N64" s="39">
        <f>N39</f>
        <v>43</v>
      </c>
      <c r="O64" s="39">
        <f>O39</f>
        <v>0</v>
      </c>
      <c r="P64" s="39">
        <f>P39</f>
        <v>4</v>
      </c>
      <c r="Q64" s="39">
        <f t="shared" ref="Q64" si="85">Q39</f>
        <v>0</v>
      </c>
      <c r="R64" s="39">
        <f>R39</f>
        <v>47</v>
      </c>
      <c r="T64" s="39">
        <f>T39</f>
        <v>53</v>
      </c>
      <c r="U64" s="39">
        <f>U39</f>
        <v>0</v>
      </c>
      <c r="V64" s="39">
        <f>V39</f>
        <v>5</v>
      </c>
      <c r="W64" s="39">
        <f t="shared" ref="W64" si="86">W39</f>
        <v>0</v>
      </c>
      <c r="X64" s="39">
        <f>X39</f>
        <v>58</v>
      </c>
      <c r="Z64" s="39">
        <f>Z39</f>
        <v>95.5</v>
      </c>
      <c r="AA64" s="39">
        <f>AA39</f>
        <v>0</v>
      </c>
      <c r="AB64" s="39">
        <f>AB39</f>
        <v>10</v>
      </c>
      <c r="AC64" s="39">
        <f t="shared" ref="AC64" si="87">AC39</f>
        <v>0</v>
      </c>
      <c r="AD64" s="39">
        <f>AD39</f>
        <v>105.5</v>
      </c>
      <c r="AF64" s="39">
        <f>AF39</f>
        <v>34</v>
      </c>
      <c r="AG64" s="39">
        <f>AG39</f>
        <v>0</v>
      </c>
      <c r="AH64" s="39">
        <f>AH39</f>
        <v>3.5</v>
      </c>
      <c r="AI64" s="39">
        <f t="shared" ref="AI64" si="88">AI39</f>
        <v>0</v>
      </c>
      <c r="AJ64" s="39">
        <f>AJ39</f>
        <v>37.5</v>
      </c>
      <c r="AL64" s="39">
        <f>AL39</f>
        <v>0</v>
      </c>
      <c r="AM64" s="39">
        <f>AM39</f>
        <v>0</v>
      </c>
      <c r="AN64" s="39">
        <f>AN39</f>
        <v>0</v>
      </c>
      <c r="AO64" s="39">
        <f t="shared" ref="AO64" si="89">AO39</f>
        <v>0</v>
      </c>
      <c r="AP64" s="39">
        <f>AP39</f>
        <v>0</v>
      </c>
      <c r="AR64" s="39">
        <f>AR39</f>
        <v>0</v>
      </c>
      <c r="AS64" s="39">
        <f>AS39</f>
        <v>0</v>
      </c>
      <c r="AT64" s="39">
        <f>AT39</f>
        <v>1</v>
      </c>
      <c r="AU64" s="39">
        <f t="shared" ref="AU64" si="90">AU39</f>
        <v>0</v>
      </c>
      <c r="AV64" s="39">
        <f>AV39</f>
        <v>1</v>
      </c>
      <c r="AX64" s="39">
        <f>AX39</f>
        <v>365</v>
      </c>
      <c r="AY64" s="39">
        <f>AY39</f>
        <v>0</v>
      </c>
      <c r="AZ64" s="39">
        <f>AZ39</f>
        <v>40.5</v>
      </c>
      <c r="BA64" s="39">
        <f t="shared" ref="BA64" si="91">BA39</f>
        <v>0</v>
      </c>
      <c r="BB64" s="39">
        <f>BB39</f>
        <v>405.5</v>
      </c>
    </row>
    <row r="65" spans="1:54" ht="15.75" thickBot="1" x14ac:dyDescent="0.3">
      <c r="A65" s="42" t="s">
        <v>62</v>
      </c>
      <c r="B65" s="41">
        <f>B62</f>
        <v>9</v>
      </c>
      <c r="C65" s="41">
        <f>C62</f>
        <v>3</v>
      </c>
      <c r="D65" s="41">
        <f>D62</f>
        <v>5</v>
      </c>
      <c r="E65" s="41">
        <f t="shared" ref="E65:F65" si="92">E62</f>
        <v>1</v>
      </c>
      <c r="F65" s="41">
        <f t="shared" si="92"/>
        <v>18</v>
      </c>
      <c r="H65" s="41">
        <f>H62</f>
        <v>24</v>
      </c>
      <c r="I65" s="41">
        <f>I62</f>
        <v>8</v>
      </c>
      <c r="J65" s="41">
        <f>J62</f>
        <v>16</v>
      </c>
      <c r="K65" s="41">
        <f t="shared" ref="K65:L65" si="93">K62</f>
        <v>3</v>
      </c>
      <c r="L65" s="41">
        <f t="shared" si="93"/>
        <v>51</v>
      </c>
      <c r="N65" s="41">
        <f>N62</f>
        <v>11</v>
      </c>
      <c r="O65" s="41">
        <f>O62</f>
        <v>5</v>
      </c>
      <c r="P65" s="41">
        <f>P62</f>
        <v>4.33</v>
      </c>
      <c r="Q65" s="41">
        <f t="shared" ref="Q65:R65" si="94">Q62</f>
        <v>1</v>
      </c>
      <c r="R65" s="41">
        <f t="shared" si="94"/>
        <v>21.33</v>
      </c>
      <c r="T65" s="41">
        <f>T62</f>
        <v>13.5</v>
      </c>
      <c r="U65" s="41">
        <f>U62</f>
        <v>3.5</v>
      </c>
      <c r="V65" s="41">
        <f>V62</f>
        <v>8.34</v>
      </c>
      <c r="W65" s="41">
        <f t="shared" ref="W65:X65" si="95">W62</f>
        <v>1</v>
      </c>
      <c r="X65" s="41">
        <f t="shared" si="95"/>
        <v>26.34</v>
      </c>
      <c r="Z65" s="41">
        <f>Z62</f>
        <v>19.5</v>
      </c>
      <c r="AA65" s="41">
        <f>AA62</f>
        <v>5.5</v>
      </c>
      <c r="AB65" s="41">
        <f>AB62</f>
        <v>12.83</v>
      </c>
      <c r="AC65" s="41">
        <f t="shared" ref="AC65:AD65" si="96">AC62</f>
        <v>2</v>
      </c>
      <c r="AD65" s="41">
        <f t="shared" si="96"/>
        <v>39.83</v>
      </c>
      <c r="AF65" s="41">
        <f>AF62</f>
        <v>8</v>
      </c>
      <c r="AG65" s="41">
        <f>AG62</f>
        <v>1.5</v>
      </c>
      <c r="AH65" s="41">
        <f>AH62</f>
        <v>5</v>
      </c>
      <c r="AI65" s="41">
        <f t="shared" ref="AI65:AJ65" si="97">AI62</f>
        <v>1</v>
      </c>
      <c r="AJ65" s="41">
        <f t="shared" si="97"/>
        <v>15.5</v>
      </c>
      <c r="AL65" s="41">
        <f>AL62</f>
        <v>3</v>
      </c>
      <c r="AM65" s="41">
        <f>AM62</f>
        <v>0.5</v>
      </c>
      <c r="AN65" s="41">
        <f>AN62</f>
        <v>0</v>
      </c>
      <c r="AO65" s="41">
        <f t="shared" ref="AO65:AP65" si="98">AO62</f>
        <v>0</v>
      </c>
      <c r="AP65" s="41">
        <f t="shared" si="98"/>
        <v>3.5</v>
      </c>
      <c r="AR65" s="41">
        <f>AR62</f>
        <v>1</v>
      </c>
      <c r="AS65" s="41">
        <f>AS62</f>
        <v>0</v>
      </c>
      <c r="AT65" s="41">
        <f>AT62</f>
        <v>1</v>
      </c>
      <c r="AU65" s="41">
        <f t="shared" ref="AU65:AV65" si="99">AU62</f>
        <v>0</v>
      </c>
      <c r="AV65" s="41">
        <f t="shared" si="99"/>
        <v>2</v>
      </c>
      <c r="AX65" s="41">
        <f>AX62</f>
        <v>89</v>
      </c>
      <c r="AY65" s="41">
        <f>AY62</f>
        <v>27</v>
      </c>
      <c r="AZ65" s="41">
        <f>AZ62</f>
        <v>52.5</v>
      </c>
      <c r="BA65" s="41">
        <f t="shared" ref="BA65:BB65" si="100">BA62</f>
        <v>9</v>
      </c>
      <c r="BB65" s="41">
        <f t="shared" si="100"/>
        <v>177.5</v>
      </c>
    </row>
    <row r="66" spans="1:54" ht="15.75" thickBot="1" x14ac:dyDescent="0.3">
      <c r="A66" s="44" t="s">
        <v>63</v>
      </c>
      <c r="B66" s="43">
        <f>SUM(B64:B65)</f>
        <v>50.5</v>
      </c>
      <c r="C66" s="43">
        <f>SUM(C64:C65)</f>
        <v>3</v>
      </c>
      <c r="D66" s="43">
        <f>SUM(D64:D65)</f>
        <v>9</v>
      </c>
      <c r="E66" s="43">
        <f t="shared" ref="E66:F66" si="101">SUM(E64:E65)</f>
        <v>1</v>
      </c>
      <c r="F66" s="43">
        <f t="shared" si="101"/>
        <v>63.5</v>
      </c>
      <c r="H66" s="43">
        <f>SUM(H64:H65)</f>
        <v>122</v>
      </c>
      <c r="I66" s="43">
        <f>SUM(I64:I65)</f>
        <v>8</v>
      </c>
      <c r="J66" s="43">
        <f>SUM(J64:J65)</f>
        <v>29</v>
      </c>
      <c r="K66" s="43">
        <f t="shared" ref="K66:L66" si="102">SUM(K64:K65)</f>
        <v>3</v>
      </c>
      <c r="L66" s="43">
        <f t="shared" si="102"/>
        <v>162</v>
      </c>
      <c r="N66" s="43">
        <f>SUM(N64:N65)</f>
        <v>54</v>
      </c>
      <c r="O66" s="43">
        <f>SUM(O64:O65)</f>
        <v>5</v>
      </c>
      <c r="P66" s="43">
        <f>SUM(P64:P65)</f>
        <v>8.33</v>
      </c>
      <c r="Q66" s="43">
        <f t="shared" ref="Q66:R66" si="103">SUM(Q64:Q65)</f>
        <v>1</v>
      </c>
      <c r="R66" s="43">
        <f t="shared" si="103"/>
        <v>68.33</v>
      </c>
      <c r="T66" s="43">
        <f>SUM(T64:T65)</f>
        <v>66.5</v>
      </c>
      <c r="U66" s="43">
        <f>SUM(U64:U65)</f>
        <v>3.5</v>
      </c>
      <c r="V66" s="43">
        <f>SUM(V64:V65)</f>
        <v>13.34</v>
      </c>
      <c r="W66" s="43">
        <f t="shared" ref="W66:X66" si="104">SUM(W64:W65)</f>
        <v>1</v>
      </c>
      <c r="X66" s="43">
        <f t="shared" si="104"/>
        <v>84.34</v>
      </c>
      <c r="Z66" s="43">
        <f>SUM(Z64:Z65)</f>
        <v>115</v>
      </c>
      <c r="AA66" s="43">
        <f>SUM(AA64:AA65)</f>
        <v>5.5</v>
      </c>
      <c r="AB66" s="43">
        <f>SUM(AB64:AB65)</f>
        <v>22.83</v>
      </c>
      <c r="AC66" s="43">
        <f t="shared" ref="AC66:AD66" si="105">SUM(AC64:AC65)</f>
        <v>2</v>
      </c>
      <c r="AD66" s="43">
        <f t="shared" si="105"/>
        <v>145.32999999999998</v>
      </c>
      <c r="AF66" s="43">
        <f>SUM(AF64:AF65)</f>
        <v>42</v>
      </c>
      <c r="AG66" s="43">
        <f>SUM(AG64:AG65)</f>
        <v>1.5</v>
      </c>
      <c r="AH66" s="43">
        <f>SUM(AH64:AH65)</f>
        <v>8.5</v>
      </c>
      <c r="AI66" s="43">
        <f t="shared" ref="AI66:AJ66" si="106">SUM(AI64:AI65)</f>
        <v>1</v>
      </c>
      <c r="AJ66" s="43">
        <f t="shared" si="106"/>
        <v>53</v>
      </c>
      <c r="AL66" s="43">
        <f>SUM(AL64:AL65)</f>
        <v>3</v>
      </c>
      <c r="AM66" s="43">
        <f>SUM(AM64:AM65)</f>
        <v>0.5</v>
      </c>
      <c r="AN66" s="43">
        <f>SUM(AN64:AN65)</f>
        <v>0</v>
      </c>
      <c r="AO66" s="43">
        <f t="shared" ref="AO66:AP66" si="107">SUM(AO64:AO65)</f>
        <v>0</v>
      </c>
      <c r="AP66" s="43">
        <f t="shared" si="107"/>
        <v>3.5</v>
      </c>
      <c r="AR66" s="43">
        <f>SUM(AR64:AR65)</f>
        <v>1</v>
      </c>
      <c r="AS66" s="43">
        <f>SUM(AS64:AS65)</f>
        <v>0</v>
      </c>
      <c r="AT66" s="43">
        <f>SUM(AT64:AT65)</f>
        <v>2</v>
      </c>
      <c r="AU66" s="43">
        <f t="shared" ref="AU66:AV66" si="108">SUM(AU64:AU65)</f>
        <v>0</v>
      </c>
      <c r="AV66" s="43">
        <f t="shared" si="108"/>
        <v>3</v>
      </c>
      <c r="AX66" s="43">
        <f>SUM(AX64:AX65)</f>
        <v>454</v>
      </c>
      <c r="AY66" s="43">
        <f>SUM(AY64:AY65)</f>
        <v>27</v>
      </c>
      <c r="AZ66" s="43">
        <f>SUM(AZ64:AZ65)</f>
        <v>93</v>
      </c>
      <c r="BA66" s="43">
        <f t="shared" ref="BA66:BB66" si="109">SUM(BA64:BA65)</f>
        <v>9</v>
      </c>
      <c r="BB66" s="43">
        <f t="shared" si="109"/>
        <v>583</v>
      </c>
    </row>
    <row r="67" spans="1:54" ht="15.75" thickBot="1" x14ac:dyDescent="0.3">
      <c r="A67" s="34"/>
      <c r="B67" s="45"/>
      <c r="C67" s="45"/>
      <c r="D67" s="45"/>
      <c r="E67" s="45"/>
      <c r="F67" s="45"/>
      <c r="H67" s="45"/>
      <c r="I67" s="45"/>
      <c r="J67" s="45"/>
      <c r="K67" s="45"/>
      <c r="L67" s="45"/>
      <c r="N67" s="45"/>
      <c r="O67" s="45"/>
      <c r="P67" s="45"/>
      <c r="Q67" s="45"/>
      <c r="R67" s="45"/>
      <c r="T67" s="45"/>
      <c r="U67" s="45"/>
      <c r="V67" s="45"/>
      <c r="W67" s="45"/>
      <c r="X67" s="45"/>
      <c r="Z67" s="45"/>
      <c r="AA67" s="45"/>
      <c r="AB67" s="45"/>
      <c r="AC67" s="45"/>
      <c r="AD67" s="45"/>
      <c r="AF67" s="45"/>
      <c r="AG67" s="45"/>
      <c r="AH67" s="45"/>
      <c r="AI67" s="45"/>
      <c r="AJ67" s="45"/>
      <c r="AL67" s="45"/>
      <c r="AM67" s="45"/>
      <c r="AN67" s="45"/>
      <c r="AO67" s="45"/>
      <c r="AP67" s="45"/>
      <c r="AR67" s="45"/>
      <c r="AS67" s="45"/>
      <c r="AT67" s="45"/>
      <c r="AU67" s="45"/>
      <c r="AV67" s="45"/>
      <c r="AX67" s="45"/>
      <c r="AY67" s="45"/>
      <c r="AZ67" s="45"/>
      <c r="BA67" s="45"/>
      <c r="BB67" s="45"/>
    </row>
    <row r="68" spans="1:54" x14ac:dyDescent="0.25">
      <c r="A68" s="47" t="s">
        <v>64</v>
      </c>
      <c r="B68" s="46"/>
      <c r="C68" s="46"/>
      <c r="D68" s="46"/>
      <c r="E68" s="46"/>
      <c r="F68" s="46">
        <f>F139/(SUM(F207:F217))</f>
        <v>0.63346986993650178</v>
      </c>
      <c r="H68" s="46"/>
      <c r="I68" s="46"/>
      <c r="J68" s="46"/>
      <c r="K68" s="46"/>
      <c r="L68" s="46">
        <f>L139/(SUM(L207:L217))</f>
        <v>0.61524483565306864</v>
      </c>
      <c r="N68" s="46"/>
      <c r="O68" s="46"/>
      <c r="P68" s="46"/>
      <c r="Q68" s="46"/>
      <c r="R68" s="46">
        <f>R139/(SUM(R207:R217))</f>
        <v>0.65103672780845356</v>
      </c>
      <c r="T68" s="46"/>
      <c r="U68" s="46"/>
      <c r="V68" s="46"/>
      <c r="W68" s="46"/>
      <c r="X68" s="46">
        <f>X139/(SUM(X207:X217))</f>
        <v>0.66542499979147696</v>
      </c>
      <c r="Z68" s="46"/>
      <c r="AA68" s="46"/>
      <c r="AB68" s="46"/>
      <c r="AC68" s="46"/>
      <c r="AD68" s="46">
        <f>AD139/(SUM(AD207:AD217))</f>
        <v>0.58977928450986905</v>
      </c>
      <c r="AF68" s="46"/>
      <c r="AG68" s="46"/>
      <c r="AH68" s="46"/>
      <c r="AI68" s="46"/>
      <c r="AJ68" s="46">
        <f>AJ139/(SUM(AJ207:AJ217))</f>
        <v>0.55599694209332984</v>
      </c>
      <c r="AL68" s="46"/>
      <c r="AM68" s="46"/>
      <c r="AN68" s="46"/>
      <c r="AO68" s="46"/>
      <c r="AP68" s="46">
        <f>AP139/(SUM(AP207:AP217))</f>
        <v>0.98588811754098205</v>
      </c>
      <c r="AR68" s="46"/>
      <c r="AS68" s="46"/>
      <c r="AT68" s="46"/>
      <c r="AU68" s="46"/>
      <c r="AV68" s="46">
        <f>AV139/(SUM(AV207:AV217))</f>
        <v>0.3049194787496563</v>
      </c>
      <c r="AX68" s="46"/>
      <c r="AY68" s="46"/>
      <c r="AZ68" s="46"/>
      <c r="BA68" s="46"/>
      <c r="BB68" s="46">
        <f>BB139/(SUM(BB207:BB217))</f>
        <v>0.6092334373860343</v>
      </c>
    </row>
    <row r="69" spans="1:54" x14ac:dyDescent="0.25">
      <c r="A69" s="49" t="s">
        <v>65</v>
      </c>
      <c r="B69" s="48"/>
      <c r="C69" s="48"/>
      <c r="D69" s="48"/>
      <c r="E69" s="48"/>
      <c r="F69" s="48">
        <f t="shared" ref="F69" si="110">(F108+F109+F110+F113)/F129</f>
        <v>0.75204484429448348</v>
      </c>
      <c r="H69" s="48"/>
      <c r="I69" s="48"/>
      <c r="J69" s="48"/>
      <c r="K69" s="48"/>
      <c r="L69" s="48">
        <f t="shared" ref="L69" si="111">(L108+L109+L110+L113)/L129</f>
        <v>0.76220778228729735</v>
      </c>
      <c r="N69" s="48"/>
      <c r="O69" s="48"/>
      <c r="P69" s="48"/>
      <c r="Q69" s="48"/>
      <c r="R69" s="48">
        <f t="shared" ref="R69" si="112">(R108+R109+R110+R113)/R129</f>
        <v>0.76064190332456738</v>
      </c>
      <c r="T69" s="48"/>
      <c r="U69" s="48"/>
      <c r="V69" s="48"/>
      <c r="W69" s="48"/>
      <c r="X69" s="48">
        <f t="shared" ref="X69" si="113">(X108+X109+X110+X113)/X129</f>
        <v>0.76872859713299313</v>
      </c>
      <c r="Z69" s="48"/>
      <c r="AA69" s="48"/>
      <c r="AB69" s="48"/>
      <c r="AC69" s="48"/>
      <c r="AD69" s="48">
        <f t="shared" ref="AD69" si="114">(AD108+AD109+AD110+AD113)/AD129</f>
        <v>0.79975951966305225</v>
      </c>
      <c r="AF69" s="48"/>
      <c r="AG69" s="48"/>
      <c r="AH69" s="48"/>
      <c r="AI69" s="48"/>
      <c r="AJ69" s="48">
        <f t="shared" ref="AJ69" si="115">(AJ108+AJ109+AJ110+AJ113)/AJ129</f>
        <v>0.77436390200487537</v>
      </c>
      <c r="AL69" s="48"/>
      <c r="AM69" s="48"/>
      <c r="AN69" s="48"/>
      <c r="AO69" s="48"/>
      <c r="AP69" s="48">
        <f t="shared" ref="AP69" si="116">(AP108+AP109+AP110+AP113)/AP129</f>
        <v>0</v>
      </c>
      <c r="AR69" s="48"/>
      <c r="AS69" s="48"/>
      <c r="AT69" s="48"/>
      <c r="AU69" s="48"/>
      <c r="AV69" s="48">
        <f t="shared" ref="AV69" si="117">(AV108+AV109+AV110+AV113)/AV129</f>
        <v>0.67340413383578857</v>
      </c>
      <c r="AX69" s="48"/>
      <c r="AY69" s="48"/>
      <c r="AZ69" s="48"/>
      <c r="BA69" s="48"/>
      <c r="BB69" s="48">
        <f t="shared" ref="BB69" si="118">(BB108+BB109+BB110+BB113)/BB129</f>
        <v>0.76619661139185546</v>
      </c>
    </row>
    <row r="70" spans="1:54" x14ac:dyDescent="0.25">
      <c r="A70" s="51" t="s">
        <v>66</v>
      </c>
      <c r="B70" s="48"/>
      <c r="C70" s="48"/>
      <c r="D70" s="48"/>
      <c r="E70" s="48"/>
      <c r="F70" s="48">
        <f t="shared" ref="F70" si="119">(F103+F104+F106+F107+F111+F112+F114+F115+F118+F119+F120+F121+F122+F105+F123+F124+F125+F126+F127)/F129</f>
        <v>0.24795515570551652</v>
      </c>
      <c r="H70" s="48"/>
      <c r="I70" s="48"/>
      <c r="J70" s="48"/>
      <c r="K70" s="48"/>
      <c r="L70" s="48">
        <f t="shared" ref="L70" si="120">(L103+L104+L106+L107+L111+L112+L114+L115+L118+L119+L120+L121+L122+L105+L123+L124+L125+L126+L127)/L129</f>
        <v>0.23779221771270254</v>
      </c>
      <c r="N70" s="48"/>
      <c r="O70" s="48"/>
      <c r="P70" s="48"/>
      <c r="Q70" s="48"/>
      <c r="R70" s="48">
        <f t="shared" ref="R70" si="121">(R103+R104+R106+R107+R111+R112+R114+R115+R118+R119+R120+R121+R122+R105+R123+R124+R125+R126+R127)/R129</f>
        <v>0.23935809667543259</v>
      </c>
      <c r="T70" s="48"/>
      <c r="U70" s="48"/>
      <c r="V70" s="48"/>
      <c r="W70" s="48"/>
      <c r="X70" s="48">
        <f t="shared" ref="X70" si="122">(X103+X104+X106+X107+X111+X112+X114+X115+X118+X119+X120+X121+X122+X105+X123+X124+X125+X126+X127)/X129</f>
        <v>0.23127140286700693</v>
      </c>
      <c r="Z70" s="48"/>
      <c r="AA70" s="48"/>
      <c r="AB70" s="48"/>
      <c r="AC70" s="48"/>
      <c r="AD70" s="48">
        <f t="shared" ref="AD70" si="123">(AD103+AD104+AD106+AD107+AD111+AD112+AD114+AD115+AD118+AD119+AD120+AD121+AD122+AD105+AD123+AD124+AD125+AD126+AD127)/AD129</f>
        <v>0.2002404803369478</v>
      </c>
      <c r="AF70" s="48"/>
      <c r="AG70" s="48"/>
      <c r="AH70" s="48"/>
      <c r="AI70" s="48"/>
      <c r="AJ70" s="48">
        <f t="shared" ref="AJ70" si="124">(AJ103+AJ104+AJ106+AJ107+AJ111+AJ112+AJ114+AJ115+AJ118+AJ119+AJ120+AJ121+AJ122+AJ105+AJ123+AJ124+AJ125+AJ126+AJ127)/AJ129</f>
        <v>0.22563609799512466</v>
      </c>
      <c r="AL70" s="48"/>
      <c r="AM70" s="48"/>
      <c r="AN70" s="48"/>
      <c r="AO70" s="48"/>
      <c r="AP70" s="48">
        <f t="shared" ref="AP70" si="125">(AP103+AP104+AP106+AP107+AP111+AP112+AP114+AP115+AP118+AP119+AP120+AP121+AP122+AP105+AP123+AP124+AP125+AP126+AP127)/AP129</f>
        <v>1</v>
      </c>
      <c r="AR70" s="48"/>
      <c r="AS70" s="48"/>
      <c r="AT70" s="48"/>
      <c r="AU70" s="48"/>
      <c r="AV70" s="48">
        <f t="shared" ref="AV70" si="126">(AV103+AV104+AV106+AV107+AV111+AV112+AV114+AV115+AV118+AV119+AV120+AV121+AV122+AV105+AV123+AV124+AV125+AV126+AV127)/AV129</f>
        <v>0.32659586616421149</v>
      </c>
      <c r="AX70" s="48"/>
      <c r="AY70" s="48"/>
      <c r="AZ70" s="48"/>
      <c r="BA70" s="48"/>
      <c r="BB70" s="48">
        <f t="shared" ref="BB70" si="127">(BB103+BB104+BB106+BB107+BB111+BB112+BB114+BB115+BB118+BB119+BB120+BB121+BB122+BB105+BB123+BB124+BB125+BB126+BB127)/BB129</f>
        <v>0.23380338860814442</v>
      </c>
    </row>
    <row r="71" spans="1:54" ht="15.75" thickBot="1" x14ac:dyDescent="0.3">
      <c r="A71" s="53" t="s">
        <v>67</v>
      </c>
      <c r="B71" s="52"/>
      <c r="C71" s="52"/>
      <c r="D71" s="52"/>
      <c r="E71" s="52"/>
      <c r="F71" s="52">
        <f>SUM(F209:F217)/F86</f>
        <v>0.12320180974098573</v>
      </c>
      <c r="H71" s="52"/>
      <c r="I71" s="52"/>
      <c r="J71" s="52"/>
      <c r="K71" s="52"/>
      <c r="L71" s="52">
        <f>SUM(L209:L217)/L86</f>
        <v>0.12273636722558193</v>
      </c>
      <c r="N71" s="52"/>
      <c r="O71" s="52"/>
      <c r="P71" s="52"/>
      <c r="Q71" s="52"/>
      <c r="R71" s="52">
        <f>SUM(R209:R217)/R86</f>
        <v>0.11825939175775803</v>
      </c>
      <c r="T71" s="52"/>
      <c r="U71" s="52"/>
      <c r="V71" s="52"/>
      <c r="W71" s="52"/>
      <c r="X71" s="52">
        <f>SUM(X209:X217)/X86</f>
        <v>0.11967134886003697</v>
      </c>
      <c r="Z71" s="52"/>
      <c r="AA71" s="52"/>
      <c r="AB71" s="52"/>
      <c r="AC71" s="52"/>
      <c r="AD71" s="52">
        <f>SUM(AD209:AD217)/AD86</f>
        <v>0.17831271191243739</v>
      </c>
      <c r="AF71" s="52"/>
      <c r="AG71" s="52"/>
      <c r="AH71" s="52"/>
      <c r="AI71" s="52"/>
      <c r="AJ71" s="52">
        <f>SUM(AJ209:AJ217)/AJ86</f>
        <v>0.17656759643317341</v>
      </c>
      <c r="AL71" s="52"/>
      <c r="AM71" s="52"/>
      <c r="AN71" s="52"/>
      <c r="AO71" s="52"/>
      <c r="AP71" s="52">
        <f>SUM(AP209:AP217)/AP86</f>
        <v>0</v>
      </c>
      <c r="AR71" s="52"/>
      <c r="AS71" s="52"/>
      <c r="AT71" s="52"/>
      <c r="AU71" s="52"/>
      <c r="AV71" s="52">
        <f>SUM(AV209:AV217)/AV86</f>
        <v>0</v>
      </c>
      <c r="AX71" s="52"/>
      <c r="AY71" s="52"/>
      <c r="AZ71" s="52"/>
      <c r="BA71" s="52"/>
      <c r="BB71" s="52">
        <f>SUM(BB209:BB217)/BB86</f>
        <v>0.13805148205126352</v>
      </c>
    </row>
    <row r="72" spans="1:54" x14ac:dyDescent="0.25">
      <c r="A72" s="54"/>
      <c r="B72" s="55"/>
      <c r="C72" s="55"/>
      <c r="D72" s="55"/>
      <c r="E72" s="55"/>
      <c r="F72" s="55"/>
      <c r="H72" s="55"/>
      <c r="I72" s="55"/>
      <c r="J72" s="55"/>
      <c r="K72" s="55"/>
      <c r="L72" s="55"/>
      <c r="N72" s="55"/>
      <c r="O72" s="55"/>
      <c r="P72" s="55"/>
      <c r="Q72" s="55"/>
      <c r="R72" s="55"/>
      <c r="T72" s="55"/>
      <c r="U72" s="55"/>
      <c r="V72" s="55"/>
      <c r="W72" s="55"/>
      <c r="X72" s="55"/>
      <c r="Z72" s="55"/>
      <c r="AA72" s="55"/>
      <c r="AB72" s="55"/>
      <c r="AC72" s="55"/>
      <c r="AD72" s="55"/>
      <c r="AF72" s="55"/>
      <c r="AG72" s="55"/>
      <c r="AH72" s="55"/>
      <c r="AI72" s="55"/>
      <c r="AJ72" s="55"/>
      <c r="AL72" s="55"/>
      <c r="AM72" s="55"/>
      <c r="AN72" s="55"/>
      <c r="AO72" s="55"/>
      <c r="AP72" s="55"/>
      <c r="AR72" s="55"/>
      <c r="AS72" s="55"/>
      <c r="AT72" s="55"/>
      <c r="AU72" s="55"/>
      <c r="AV72" s="55"/>
      <c r="AX72" s="55"/>
      <c r="AY72" s="55"/>
      <c r="AZ72" s="55"/>
      <c r="BA72" s="55"/>
      <c r="BB72" s="55"/>
    </row>
    <row r="73" spans="1:54" x14ac:dyDescent="0.25">
      <c r="A73" s="57" t="s">
        <v>246</v>
      </c>
      <c r="B73" s="58" t="str">
        <f>B1</f>
        <v>Operating</v>
      </c>
      <c r="C73" s="58" t="str">
        <f>C1</f>
        <v>Weights</v>
      </c>
      <c r="D73" s="58" t="s">
        <v>3</v>
      </c>
      <c r="E73" s="58" t="str">
        <f t="shared" ref="E73" si="128">E1</f>
        <v>NSLP</v>
      </c>
      <c r="F73" s="58" t="str">
        <f>F1</f>
        <v>Horizon</v>
      </c>
      <c r="H73" s="58" t="str">
        <f>H1</f>
        <v>Operating</v>
      </c>
      <c r="I73" s="58" t="str">
        <f>I1</f>
        <v>Weights</v>
      </c>
      <c r="J73" s="58" t="s">
        <v>3</v>
      </c>
      <c r="K73" s="58" t="str">
        <f t="shared" ref="K73" si="129">K1</f>
        <v>NSLP</v>
      </c>
      <c r="L73" s="58" t="str">
        <f>L1</f>
        <v>Cadence</v>
      </c>
      <c r="N73" s="58" t="str">
        <f>N1</f>
        <v>Operating</v>
      </c>
      <c r="O73" s="58" t="str">
        <f>O1</f>
        <v>Weights</v>
      </c>
      <c r="P73" s="58" t="s">
        <v>3</v>
      </c>
      <c r="Q73" s="58" t="str">
        <f t="shared" ref="Q73" si="130">Q1</f>
        <v>NSLP</v>
      </c>
      <c r="R73" s="58" t="str">
        <f>R1</f>
        <v>St. Rose</v>
      </c>
      <c r="T73" s="58" t="str">
        <f>T1</f>
        <v>Operating</v>
      </c>
      <c r="U73" s="58" t="str">
        <f>U1</f>
        <v>Weights</v>
      </c>
      <c r="V73" s="58" t="s">
        <v>3</v>
      </c>
      <c r="W73" s="58" t="str">
        <f t="shared" ref="W73" si="131">W1</f>
        <v>NSLP</v>
      </c>
      <c r="X73" s="58" t="str">
        <f>X1</f>
        <v>Inspirada</v>
      </c>
      <c r="Z73" s="58" t="str">
        <f>Z1</f>
        <v>Operating</v>
      </c>
      <c r="AA73" s="58" t="str">
        <f>AA1</f>
        <v>Weights</v>
      </c>
      <c r="AB73" s="58" t="s">
        <v>3</v>
      </c>
      <c r="AC73" s="58" t="str">
        <f t="shared" ref="AC73" si="132">AC1</f>
        <v>NSLP</v>
      </c>
      <c r="AD73" s="58" t="str">
        <f>AD1</f>
        <v>Sloan Canyon</v>
      </c>
      <c r="AF73" s="58" t="str">
        <f>AF1</f>
        <v>Operating</v>
      </c>
      <c r="AG73" s="58" t="str">
        <f>AG1</f>
        <v>Weights</v>
      </c>
      <c r="AH73" s="58" t="s">
        <v>3</v>
      </c>
      <c r="AI73" s="58" t="str">
        <f t="shared" ref="AI73" si="133">AI1</f>
        <v>NSLP</v>
      </c>
      <c r="AJ73" s="58" t="str">
        <f>AJ1</f>
        <v>Springs</v>
      </c>
      <c r="AL73" s="58" t="str">
        <f>AL1</f>
        <v>Operating</v>
      </c>
      <c r="AM73" s="58" t="str">
        <f>AM1</f>
        <v>Weights</v>
      </c>
      <c r="AN73" s="58" t="s">
        <v>3</v>
      </c>
      <c r="AO73" s="58" t="str">
        <f t="shared" ref="AO73" si="134">AO1</f>
        <v>NSLP</v>
      </c>
      <c r="AP73" s="58" t="str">
        <f>AP1</f>
        <v>System Wide</v>
      </c>
      <c r="AR73" s="58" t="str">
        <f>AR1</f>
        <v>Operating</v>
      </c>
      <c r="AS73" s="58" t="str">
        <f>AS1</f>
        <v>Weights</v>
      </c>
      <c r="AT73" s="58" t="s">
        <v>3</v>
      </c>
      <c r="AU73" s="58" t="str">
        <f t="shared" ref="AU73" si="135">AU1</f>
        <v>NSLP</v>
      </c>
      <c r="AV73" s="58" t="str">
        <f>AV1</f>
        <v>Virtual</v>
      </c>
      <c r="AX73" s="58" t="str">
        <f>AX1</f>
        <v>Operating</v>
      </c>
      <c r="AY73" s="58" t="str">
        <f>AY1</f>
        <v>Weights</v>
      </c>
      <c r="AZ73" s="58" t="s">
        <v>3</v>
      </c>
      <c r="BA73" s="58" t="str">
        <f t="shared" ref="BA73" si="136">BA1</f>
        <v>NSLP</v>
      </c>
      <c r="BB73" s="58" t="str">
        <f>BB1</f>
        <v>Pinecrest System</v>
      </c>
    </row>
    <row r="74" spans="1:54" x14ac:dyDescent="0.25">
      <c r="A74" s="60" t="s">
        <v>69</v>
      </c>
      <c r="B74" s="7">
        <f>(B2*B5)</f>
        <v>7004884.0839119991</v>
      </c>
      <c r="C74" s="7">
        <v>0</v>
      </c>
      <c r="D74" s="7">
        <v>0</v>
      </c>
      <c r="E74" s="7">
        <v>0</v>
      </c>
      <c r="F74" s="7">
        <f t="shared" ref="F74:F85" si="137">SUM(B74:E74)</f>
        <v>7004884.0839119991</v>
      </c>
      <c r="H74" s="7">
        <f>(H2*H5)</f>
        <v>18103434.400622997</v>
      </c>
      <c r="I74" s="7">
        <v>0</v>
      </c>
      <c r="J74" s="7">
        <v>0</v>
      </c>
      <c r="K74" s="7">
        <v>0</v>
      </c>
      <c r="L74" s="7">
        <f t="shared" ref="L74:L85" si="138">SUM(H74:K74)</f>
        <v>18103434.400622997</v>
      </c>
      <c r="N74" s="7">
        <f>(N2*N5)</f>
        <v>7603592.1252719993</v>
      </c>
      <c r="O74" s="7">
        <v>0</v>
      </c>
      <c r="P74" s="7">
        <v>0</v>
      </c>
      <c r="Q74" s="7">
        <v>0</v>
      </c>
      <c r="R74" s="7">
        <f t="shared" ref="R74:R85" si="139">SUM(N74:Q74)</f>
        <v>7603592.1252719993</v>
      </c>
      <c r="T74" s="7">
        <f>(T2*T5)</f>
        <v>9092878.3781549986</v>
      </c>
      <c r="U74" s="7">
        <v>0</v>
      </c>
      <c r="V74" s="7">
        <v>0</v>
      </c>
      <c r="W74" s="7">
        <v>0</v>
      </c>
      <c r="X74" s="7">
        <f t="shared" ref="X74:X85" si="140">SUM(T74:W74)</f>
        <v>9092878.3781549986</v>
      </c>
      <c r="Z74" s="7">
        <f>(Z2*Z5)</f>
        <v>17774144.977874998</v>
      </c>
      <c r="AA74" s="7">
        <v>0</v>
      </c>
      <c r="AB74" s="7">
        <v>0</v>
      </c>
      <c r="AC74" s="7">
        <v>0</v>
      </c>
      <c r="AD74" s="7">
        <f t="shared" ref="AD74:AD85" si="141">SUM(Z74:AC74)</f>
        <v>17774144.977874998</v>
      </c>
      <c r="AF74" s="7">
        <f>(AF2*AF5)</f>
        <v>6099338.1713549988</v>
      </c>
      <c r="AG74" s="7">
        <v>0</v>
      </c>
      <c r="AH74" s="7">
        <v>0</v>
      </c>
      <c r="AI74" s="7">
        <v>0</v>
      </c>
      <c r="AJ74" s="7">
        <f t="shared" ref="AJ74:AJ85" si="142">SUM(AF74:AI74)</f>
        <v>6099338.1713549988</v>
      </c>
      <c r="AL74" s="7">
        <f>(AL2*AL5)*0.97</f>
        <v>0</v>
      </c>
      <c r="AM74" s="7">
        <v>0</v>
      </c>
      <c r="AN74" s="7">
        <v>0</v>
      </c>
      <c r="AO74" s="7">
        <v>0</v>
      </c>
      <c r="AP74" s="7">
        <f t="shared" ref="AP74:AP85" si="143">SUM(AL74:AO74)</f>
        <v>0</v>
      </c>
      <c r="AR74" s="7">
        <f>(AR2*AR5)</f>
        <v>1827250</v>
      </c>
      <c r="AS74" s="7">
        <v>0</v>
      </c>
      <c r="AT74" s="7">
        <v>0</v>
      </c>
      <c r="AU74" s="7">
        <v>0</v>
      </c>
      <c r="AV74" s="7">
        <f t="shared" ref="AV74:AV85" si="144">SUM(AR74:AU74)</f>
        <v>1827250</v>
      </c>
      <c r="AX74" s="7">
        <f>B74+H74+N74+T74+Z74+AF74+AL74+AR74</f>
        <v>67505522.137191981</v>
      </c>
      <c r="AY74" s="7">
        <f t="shared" ref="AY74:BA85" si="145">C74+I74+O74+U74+AA74+AG74+AM74+AS74</f>
        <v>0</v>
      </c>
      <c r="AZ74" s="7">
        <f t="shared" si="145"/>
        <v>0</v>
      </c>
      <c r="BA74" s="7">
        <f t="shared" si="145"/>
        <v>0</v>
      </c>
      <c r="BB74" s="7">
        <f t="shared" ref="BB74:BB98" si="146">SUM(AX74:BA74)</f>
        <v>67505522.137191981</v>
      </c>
    </row>
    <row r="75" spans="1:54" x14ac:dyDescent="0.25">
      <c r="A75" s="62" t="s">
        <v>70</v>
      </c>
      <c r="B75" s="7">
        <f>(B3*B5)*0.95</f>
        <v>0</v>
      </c>
      <c r="C75" s="7">
        <v>0</v>
      </c>
      <c r="D75" s="7">
        <v>0</v>
      </c>
      <c r="E75" s="7">
        <v>0</v>
      </c>
      <c r="F75" s="7">
        <f t="shared" si="137"/>
        <v>0</v>
      </c>
      <c r="H75" s="7">
        <f>(H3*H5)*0.95</f>
        <v>0</v>
      </c>
      <c r="I75" s="7">
        <v>0</v>
      </c>
      <c r="J75" s="7">
        <v>0</v>
      </c>
      <c r="K75" s="7">
        <v>0</v>
      </c>
      <c r="L75" s="7">
        <f t="shared" si="138"/>
        <v>0</v>
      </c>
      <c r="N75" s="7">
        <f>(N3*N5)*0.95</f>
        <v>0</v>
      </c>
      <c r="O75" s="7">
        <v>0</v>
      </c>
      <c r="P75" s="7">
        <v>0</v>
      </c>
      <c r="Q75" s="7">
        <v>0</v>
      </c>
      <c r="R75" s="7">
        <f t="shared" si="139"/>
        <v>0</v>
      </c>
      <c r="T75" s="7">
        <f>(T3*T5)*0.95</f>
        <v>0</v>
      </c>
      <c r="U75" s="7">
        <v>0</v>
      </c>
      <c r="V75" s="7">
        <v>0</v>
      </c>
      <c r="W75" s="7">
        <v>0</v>
      </c>
      <c r="X75" s="7">
        <f t="shared" si="140"/>
        <v>0</v>
      </c>
      <c r="Z75" s="7">
        <f>(Z3*Z5)*0.95</f>
        <v>0</v>
      </c>
      <c r="AA75" s="7">
        <v>0</v>
      </c>
      <c r="AB75" s="7">
        <v>0</v>
      </c>
      <c r="AC75" s="7">
        <v>0</v>
      </c>
      <c r="AD75" s="7">
        <f t="shared" si="141"/>
        <v>0</v>
      </c>
      <c r="AF75" s="7">
        <f>(AF3*AF5)*0.95</f>
        <v>0</v>
      </c>
      <c r="AG75" s="7">
        <v>0</v>
      </c>
      <c r="AH75" s="7">
        <v>0</v>
      </c>
      <c r="AI75" s="7">
        <v>0</v>
      </c>
      <c r="AJ75" s="7">
        <f t="shared" si="142"/>
        <v>0</v>
      </c>
      <c r="AL75" s="7">
        <f>(AL3*AL5)*0.95</f>
        <v>0</v>
      </c>
      <c r="AM75" s="7">
        <v>0</v>
      </c>
      <c r="AN75" s="7">
        <v>0</v>
      </c>
      <c r="AO75" s="7">
        <v>0</v>
      </c>
      <c r="AP75" s="7">
        <f t="shared" si="143"/>
        <v>0</v>
      </c>
      <c r="AR75" s="7">
        <f>(AR3*AR5)*0.95</f>
        <v>0</v>
      </c>
      <c r="AS75" s="7">
        <v>0</v>
      </c>
      <c r="AT75" s="7">
        <v>0</v>
      </c>
      <c r="AU75" s="7">
        <v>0</v>
      </c>
      <c r="AV75" s="7">
        <f t="shared" si="144"/>
        <v>0</v>
      </c>
      <c r="AX75" s="7">
        <f t="shared" ref="AX75:AX85" si="147">B75+H75+N75+T75+Z75+AF75+AL75+AR75</f>
        <v>0</v>
      </c>
      <c r="AY75" s="7">
        <f t="shared" si="145"/>
        <v>0</v>
      </c>
      <c r="AZ75" s="7">
        <f t="shared" si="145"/>
        <v>0</v>
      </c>
      <c r="BA75" s="7">
        <f t="shared" si="145"/>
        <v>0</v>
      </c>
      <c r="BB75" s="7">
        <f t="shared" si="146"/>
        <v>0</v>
      </c>
    </row>
    <row r="76" spans="1:54" x14ac:dyDescent="0.25">
      <c r="A76" s="62" t="s">
        <v>71</v>
      </c>
      <c r="B76" s="7">
        <f>($C$19*B25)*3.15*180</f>
        <v>0</v>
      </c>
      <c r="C76" s="7">
        <f t="shared" ref="C76" si="148">($C$19*C25)*3.15*180</f>
        <v>0</v>
      </c>
      <c r="D76" s="7"/>
      <c r="E76" s="7">
        <f>((B19*E25)*3.5)*180</f>
        <v>224078.40000000002</v>
      </c>
      <c r="F76" s="7">
        <f t="shared" si="137"/>
        <v>224078.40000000002</v>
      </c>
      <c r="H76" s="7">
        <f>($C$19*H25)*3.15*180</f>
        <v>0</v>
      </c>
      <c r="I76" s="7">
        <f t="shared" ref="I76" si="149">($C$19*I25)*3.15*180</f>
        <v>0</v>
      </c>
      <c r="J76" s="7"/>
      <c r="K76" s="7">
        <f>((H19*K25)*3.5)*180</f>
        <v>609588</v>
      </c>
      <c r="L76" s="7">
        <f t="shared" si="138"/>
        <v>609588</v>
      </c>
      <c r="N76" s="7">
        <f>($C$19*N25)*3.15*180</f>
        <v>0</v>
      </c>
      <c r="O76" s="7">
        <f t="shared" ref="O76" si="150">($C$19*O25)*3.15*180</f>
        <v>0</v>
      </c>
      <c r="P76" s="7"/>
      <c r="Q76" s="7">
        <f>((N19*Q25)*3.5)*180</f>
        <v>192024</v>
      </c>
      <c r="R76" s="7">
        <f t="shared" si="139"/>
        <v>192024</v>
      </c>
      <c r="T76" s="7">
        <f>($C$19*T25)*3.15*180</f>
        <v>0</v>
      </c>
      <c r="U76" s="7">
        <f t="shared" ref="U76" si="151">($C$19*U25)*3.15*180</f>
        <v>0</v>
      </c>
      <c r="V76" s="7"/>
      <c r="W76" s="7">
        <f>((T19*W25)*3.5)*180</f>
        <v>114817.5</v>
      </c>
      <c r="X76" s="7">
        <f t="shared" si="140"/>
        <v>114817.5</v>
      </c>
      <c r="Z76" s="7">
        <f>($C$19*Z25)*3.15*180</f>
        <v>0</v>
      </c>
      <c r="AA76" s="7">
        <f t="shared" ref="AA76" si="152">($C$19*AA25)*3.15*180</f>
        <v>0</v>
      </c>
      <c r="AB76" s="7"/>
      <c r="AC76" s="7">
        <f>((Z19*AC25)*3.5)*180</f>
        <v>359100</v>
      </c>
      <c r="AD76" s="7">
        <f t="shared" si="141"/>
        <v>359100</v>
      </c>
      <c r="AF76" s="7">
        <f>($C$19*AF25)*3.15*180</f>
        <v>0</v>
      </c>
      <c r="AG76" s="7">
        <f t="shared" ref="AG76" si="153">($C$19*AG25)*3.15*180</f>
        <v>0</v>
      </c>
      <c r="AH76" s="7"/>
      <c r="AI76" s="357">
        <f>((AF19*AI25)*3.8)*180</f>
        <v>356774.39999999997</v>
      </c>
      <c r="AJ76" s="7">
        <f t="shared" si="142"/>
        <v>356774.39999999997</v>
      </c>
      <c r="AL76" s="7">
        <f>($C$19*AL25)*3.15*180</f>
        <v>0</v>
      </c>
      <c r="AM76" s="7">
        <f t="shared" ref="AM76" si="154">($C$19*AM25)*3.15*180</f>
        <v>0</v>
      </c>
      <c r="AN76" s="7"/>
      <c r="AO76" s="7">
        <f>((AL19*AO25)*3.5)*180</f>
        <v>0</v>
      </c>
      <c r="AP76" s="7">
        <f t="shared" si="143"/>
        <v>0</v>
      </c>
      <c r="AR76" s="7">
        <f>($C$19*AR25)*3.15*180</f>
        <v>0</v>
      </c>
      <c r="AS76" s="7">
        <f t="shared" ref="AS76" si="155">($C$19*AS25)*3.15*180</f>
        <v>0</v>
      </c>
      <c r="AT76" s="7"/>
      <c r="AU76" s="7">
        <f>(AR19*AU25)*3.25*180</f>
        <v>58500</v>
      </c>
      <c r="AV76" s="7">
        <f t="shared" si="144"/>
        <v>58500</v>
      </c>
      <c r="AX76" s="7">
        <f t="shared" si="147"/>
        <v>0</v>
      </c>
      <c r="AY76" s="7">
        <f t="shared" si="145"/>
        <v>0</v>
      </c>
      <c r="AZ76" s="7">
        <f t="shared" si="145"/>
        <v>0</v>
      </c>
      <c r="BA76" s="7">
        <f t="shared" si="145"/>
        <v>1914882.2999999998</v>
      </c>
      <c r="BB76" s="7">
        <f t="shared" si="146"/>
        <v>1914882.2999999998</v>
      </c>
    </row>
    <row r="77" spans="1:54" x14ac:dyDescent="0.25">
      <c r="A77" s="62" t="s">
        <v>72</v>
      </c>
      <c r="B77" s="7">
        <f>950*B22</f>
        <v>0</v>
      </c>
      <c r="C77" s="7">
        <f t="shared" ref="C77" si="156">950*C22</f>
        <v>0</v>
      </c>
      <c r="D77" s="7">
        <f>950*D22</f>
        <v>95942.602892102339</v>
      </c>
      <c r="E77" s="7">
        <v>0</v>
      </c>
      <c r="F77" s="7">
        <f t="shared" si="137"/>
        <v>95942.602892102339</v>
      </c>
      <c r="H77" s="7">
        <f>950*H22</f>
        <v>0</v>
      </c>
      <c r="I77" s="7">
        <f t="shared" ref="I77" si="157">950*I22</f>
        <v>0</v>
      </c>
      <c r="J77" s="7">
        <f>950*J22</f>
        <v>291864.6390374332</v>
      </c>
      <c r="K77" s="7">
        <v>0</v>
      </c>
      <c r="L77" s="7">
        <f t="shared" si="138"/>
        <v>291864.6390374332</v>
      </c>
      <c r="N77" s="7">
        <f>950*N22</f>
        <v>0</v>
      </c>
      <c r="O77" s="7">
        <f t="shared" ref="O77" si="158">950*O22</f>
        <v>0</v>
      </c>
      <c r="P77" s="7">
        <f>950*P22</f>
        <v>70300</v>
      </c>
      <c r="Q77" s="7">
        <v>0</v>
      </c>
      <c r="R77" s="7">
        <f t="shared" si="139"/>
        <v>70300</v>
      </c>
      <c r="T77" s="7">
        <f>950*T22</f>
        <v>0</v>
      </c>
      <c r="U77" s="7">
        <f t="shared" ref="U77" si="159">950*U22</f>
        <v>0</v>
      </c>
      <c r="V77" s="7">
        <f>950*V22</f>
        <v>103969.14095079232</v>
      </c>
      <c r="W77" s="7">
        <v>0</v>
      </c>
      <c r="X77" s="7">
        <f t="shared" si="140"/>
        <v>103969.14095079232</v>
      </c>
      <c r="Z77" s="7">
        <f>950*Z22</f>
        <v>0</v>
      </c>
      <c r="AA77" s="7">
        <f t="shared" ref="AA77" si="160">950*AA22</f>
        <v>0</v>
      </c>
      <c r="AB77" s="7">
        <f>950*AB22</f>
        <v>184602.27272727274</v>
      </c>
      <c r="AC77" s="7">
        <v>0</v>
      </c>
      <c r="AD77" s="7">
        <f t="shared" si="141"/>
        <v>184602.27272727274</v>
      </c>
      <c r="AF77" s="7">
        <f>950*AF22</f>
        <v>0</v>
      </c>
      <c r="AG77" s="7">
        <f t="shared" ref="AG77" si="161">950*AG22</f>
        <v>0</v>
      </c>
      <c r="AH77" s="7">
        <f>950*AH22</f>
        <v>73529.999999999985</v>
      </c>
      <c r="AI77" s="7">
        <v>0</v>
      </c>
      <c r="AJ77" s="7">
        <f t="shared" si="142"/>
        <v>73529.999999999985</v>
      </c>
      <c r="AL77" s="7">
        <f>950*AL22</f>
        <v>0</v>
      </c>
      <c r="AM77" s="7">
        <f t="shared" ref="AM77" si="162">950*AM22</f>
        <v>0</v>
      </c>
      <c r="AN77" s="7">
        <f>950*AN22</f>
        <v>0</v>
      </c>
      <c r="AO77" s="7">
        <v>0</v>
      </c>
      <c r="AP77" s="7">
        <f t="shared" si="143"/>
        <v>0</v>
      </c>
      <c r="AR77" s="7">
        <f>950*AR22</f>
        <v>0</v>
      </c>
      <c r="AS77" s="7">
        <f t="shared" ref="AS77" si="163">950*AS22</f>
        <v>0</v>
      </c>
      <c r="AT77" s="7">
        <f>950*AT22</f>
        <v>16150</v>
      </c>
      <c r="AU77" s="7">
        <v>0</v>
      </c>
      <c r="AV77" s="7">
        <f t="shared" si="144"/>
        <v>16150</v>
      </c>
      <c r="AX77" s="7">
        <f t="shared" si="147"/>
        <v>0</v>
      </c>
      <c r="AY77" s="7">
        <f t="shared" si="145"/>
        <v>0</v>
      </c>
      <c r="AZ77" s="7">
        <f t="shared" si="145"/>
        <v>836358.65560760058</v>
      </c>
      <c r="BA77" s="7">
        <f t="shared" si="145"/>
        <v>0</v>
      </c>
      <c r="BB77" s="7">
        <f t="shared" si="146"/>
        <v>836358.65560760058</v>
      </c>
    </row>
    <row r="78" spans="1:54" x14ac:dyDescent="0.25">
      <c r="A78" s="141" t="s">
        <v>73</v>
      </c>
      <c r="B78" s="37">
        <f>3200*B22</f>
        <v>0</v>
      </c>
      <c r="C78" s="37">
        <f t="shared" ref="C78" si="164">3200*C22</f>
        <v>0</v>
      </c>
      <c r="D78" s="37">
        <f>2500*D22</f>
        <v>252480.53392658508</v>
      </c>
      <c r="E78" s="7">
        <v>0</v>
      </c>
      <c r="F78" s="7">
        <f t="shared" si="137"/>
        <v>252480.53392658508</v>
      </c>
      <c r="H78" s="37">
        <f>3200*H22</f>
        <v>0</v>
      </c>
      <c r="I78" s="37">
        <f t="shared" ref="I78" si="165">3200*I22</f>
        <v>0</v>
      </c>
      <c r="J78" s="37">
        <f>2500*J22</f>
        <v>768064.83957219252</v>
      </c>
      <c r="K78" s="7">
        <v>0</v>
      </c>
      <c r="L78" s="7">
        <f t="shared" si="138"/>
        <v>768064.83957219252</v>
      </c>
      <c r="N78" s="37">
        <f>3200*N22</f>
        <v>0</v>
      </c>
      <c r="O78" s="37">
        <f t="shared" ref="O78" si="166">3200*O22</f>
        <v>0</v>
      </c>
      <c r="P78" s="37">
        <f>2500*P22</f>
        <v>185000</v>
      </c>
      <c r="Q78" s="7">
        <v>0</v>
      </c>
      <c r="R78" s="7">
        <f t="shared" si="139"/>
        <v>185000</v>
      </c>
      <c r="T78" s="37">
        <f>3200*T22</f>
        <v>0</v>
      </c>
      <c r="U78" s="37">
        <f t="shared" ref="U78" si="167">3200*U22</f>
        <v>0</v>
      </c>
      <c r="V78" s="37">
        <f>2500*V22</f>
        <v>273603.00250208506</v>
      </c>
      <c r="W78" s="7">
        <v>0</v>
      </c>
      <c r="X78" s="7">
        <f t="shared" si="140"/>
        <v>273603.00250208506</v>
      </c>
      <c r="Z78" s="37">
        <f>3200*Z22</f>
        <v>0</v>
      </c>
      <c r="AA78" s="37">
        <f t="shared" ref="AA78" si="168">3200*AA22</f>
        <v>0</v>
      </c>
      <c r="AB78" s="37">
        <f>2500*AB22</f>
        <v>485795.45454545453</v>
      </c>
      <c r="AC78" s="7">
        <v>0</v>
      </c>
      <c r="AD78" s="7">
        <f t="shared" si="141"/>
        <v>485795.45454545453</v>
      </c>
      <c r="AF78" s="37">
        <f>3200*AF22</f>
        <v>0</v>
      </c>
      <c r="AG78" s="37">
        <f t="shared" ref="AG78" si="169">3200*AG22</f>
        <v>0</v>
      </c>
      <c r="AH78" s="37">
        <f>2500*AH22</f>
        <v>193499.99999999997</v>
      </c>
      <c r="AI78" s="7">
        <v>0</v>
      </c>
      <c r="AJ78" s="7">
        <f t="shared" si="142"/>
        <v>193499.99999999997</v>
      </c>
      <c r="AL78" s="37">
        <f>3200*AL22</f>
        <v>0</v>
      </c>
      <c r="AM78" s="37">
        <f t="shared" ref="AM78" si="170">3200*AM22</f>
        <v>0</v>
      </c>
      <c r="AN78" s="37">
        <f>2600*AN22</f>
        <v>0</v>
      </c>
      <c r="AO78" s="7">
        <v>0</v>
      </c>
      <c r="AP78" s="7">
        <f t="shared" si="143"/>
        <v>0</v>
      </c>
      <c r="AR78" s="37">
        <f>3200*AR22</f>
        <v>0</v>
      </c>
      <c r="AS78" s="37">
        <f t="shared" ref="AS78" si="171">3200*AS22</f>
        <v>0</v>
      </c>
      <c r="AT78" s="37">
        <f>2450*AT22</f>
        <v>41650</v>
      </c>
      <c r="AU78" s="7">
        <v>0</v>
      </c>
      <c r="AV78" s="7">
        <f t="shared" si="144"/>
        <v>41650</v>
      </c>
      <c r="AX78" s="7">
        <f t="shared" si="147"/>
        <v>0</v>
      </c>
      <c r="AY78" s="7">
        <f t="shared" si="145"/>
        <v>0</v>
      </c>
      <c r="AZ78" s="7">
        <f t="shared" si="145"/>
        <v>2200093.8305463172</v>
      </c>
      <c r="BA78" s="7">
        <f t="shared" si="145"/>
        <v>0</v>
      </c>
      <c r="BB78" s="7">
        <f t="shared" si="146"/>
        <v>2200093.8305463172</v>
      </c>
    </row>
    <row r="79" spans="1:54" x14ac:dyDescent="0.25">
      <c r="A79" s="62" t="s">
        <v>74</v>
      </c>
      <c r="B79" s="37">
        <f>1400*B23</f>
        <v>0</v>
      </c>
      <c r="C79" s="37">
        <f>1635*C23</f>
        <v>25534.371523915463</v>
      </c>
      <c r="D79" s="37">
        <v>0</v>
      </c>
      <c r="E79" s="7">
        <v>0</v>
      </c>
      <c r="F79" s="7">
        <f t="shared" si="137"/>
        <v>25534.371523915463</v>
      </c>
      <c r="H79" s="37">
        <f>1400*H23</f>
        <v>0</v>
      </c>
      <c r="I79" s="37">
        <f>1635*I23</f>
        <v>58162.720588235286</v>
      </c>
      <c r="J79" s="37">
        <v>0</v>
      </c>
      <c r="K79" s="7">
        <v>0</v>
      </c>
      <c r="L79" s="7">
        <f t="shared" si="138"/>
        <v>58162.720588235286</v>
      </c>
      <c r="N79" s="37">
        <f>1400*N23</f>
        <v>0</v>
      </c>
      <c r="O79" s="37">
        <f>1635*O23</f>
        <v>29430</v>
      </c>
      <c r="P79" s="37">
        <v>0</v>
      </c>
      <c r="Q79" s="7">
        <v>0</v>
      </c>
      <c r="R79" s="7">
        <f t="shared" si="139"/>
        <v>29430</v>
      </c>
      <c r="T79" s="37">
        <f>1400*T23</f>
        <v>0</v>
      </c>
      <c r="U79" s="37">
        <f>1635*U23</f>
        <v>13254.545454545456</v>
      </c>
      <c r="V79" s="37">
        <v>0</v>
      </c>
      <c r="W79" s="7">
        <v>0</v>
      </c>
      <c r="X79" s="7">
        <f t="shared" si="140"/>
        <v>13254.545454545456</v>
      </c>
      <c r="Z79" s="37">
        <f>1400*Z23</f>
        <v>0</v>
      </c>
      <c r="AA79" s="37">
        <f>1635*AA23</f>
        <v>42732.954545454544</v>
      </c>
      <c r="AB79" s="37">
        <v>0</v>
      </c>
      <c r="AC79" s="7">
        <v>0</v>
      </c>
      <c r="AD79" s="7">
        <f t="shared" si="141"/>
        <v>42732.954545454544</v>
      </c>
      <c r="AF79" s="37">
        <f>1400*AF23</f>
        <v>0</v>
      </c>
      <c r="AG79" s="37">
        <f>1635*AG23</f>
        <v>305826.75</v>
      </c>
      <c r="AH79" s="37">
        <v>0</v>
      </c>
      <c r="AI79" s="7">
        <v>0</v>
      </c>
      <c r="AJ79" s="7">
        <f t="shared" si="142"/>
        <v>305826.75</v>
      </c>
      <c r="AL79" s="37">
        <f>1400*AL23</f>
        <v>0</v>
      </c>
      <c r="AM79" s="37">
        <f>1669*AM23</f>
        <v>0</v>
      </c>
      <c r="AN79" s="37">
        <v>0</v>
      </c>
      <c r="AO79" s="7">
        <v>0</v>
      </c>
      <c r="AP79" s="7">
        <f t="shared" si="143"/>
        <v>0</v>
      </c>
      <c r="AR79" s="37">
        <f>1400*AR23</f>
        <v>0</v>
      </c>
      <c r="AS79" s="37">
        <f>1635*AS23</f>
        <v>0</v>
      </c>
      <c r="AT79" s="37">
        <v>0</v>
      </c>
      <c r="AU79" s="7">
        <v>0</v>
      </c>
      <c r="AV79" s="7">
        <f t="shared" si="144"/>
        <v>0</v>
      </c>
      <c r="AX79" s="7">
        <f t="shared" si="147"/>
        <v>0</v>
      </c>
      <c r="AY79" s="7">
        <f t="shared" si="145"/>
        <v>474941.34211215074</v>
      </c>
      <c r="AZ79" s="7">
        <f t="shared" si="145"/>
        <v>0</v>
      </c>
      <c r="BA79" s="7">
        <f t="shared" si="145"/>
        <v>0</v>
      </c>
      <c r="BB79" s="7">
        <f t="shared" si="146"/>
        <v>474941.34211215074</v>
      </c>
    </row>
    <row r="80" spans="1:54" x14ac:dyDescent="0.25">
      <c r="A80" s="62" t="s">
        <v>75</v>
      </c>
      <c r="B80" s="7">
        <f>830*B24</f>
        <v>0</v>
      </c>
      <c r="C80" s="7">
        <f>848*C24</f>
        <v>38847.644048943272</v>
      </c>
      <c r="D80" s="37">
        <v>0</v>
      </c>
      <c r="E80" s="7">
        <v>0</v>
      </c>
      <c r="F80" s="7">
        <f t="shared" si="137"/>
        <v>38847.644048943272</v>
      </c>
      <c r="H80" s="7">
        <f>830*H24</f>
        <v>0</v>
      </c>
      <c r="I80" s="7">
        <f>848*I24</f>
        <v>47534.859180035659</v>
      </c>
      <c r="J80" s="37">
        <v>0</v>
      </c>
      <c r="K80" s="7">
        <v>0</v>
      </c>
      <c r="L80" s="7">
        <f t="shared" si="138"/>
        <v>47534.859180035659</v>
      </c>
      <c r="N80" s="7">
        <f>830*N24</f>
        <v>0</v>
      </c>
      <c r="O80" s="7">
        <f>848*O24</f>
        <v>39008</v>
      </c>
      <c r="P80" s="37">
        <v>0</v>
      </c>
      <c r="Q80" s="7">
        <v>0</v>
      </c>
      <c r="R80" s="7">
        <f t="shared" si="139"/>
        <v>39008</v>
      </c>
      <c r="T80" s="7">
        <f>830*T24</f>
        <v>0</v>
      </c>
      <c r="U80" s="7">
        <f>848*U24</f>
        <v>66167.339449541279</v>
      </c>
      <c r="V80" s="37">
        <v>0</v>
      </c>
      <c r="W80" s="7">
        <v>0</v>
      </c>
      <c r="X80" s="7">
        <f t="shared" si="140"/>
        <v>66167.339449541279</v>
      </c>
      <c r="Z80" s="7">
        <f>830*Z24</f>
        <v>0</v>
      </c>
      <c r="AA80" s="7">
        <f>848*AA24</f>
        <v>61672.727272727265</v>
      </c>
      <c r="AB80" s="37">
        <v>0</v>
      </c>
      <c r="AC80" s="7">
        <v>0</v>
      </c>
      <c r="AD80" s="7">
        <f t="shared" si="141"/>
        <v>61672.727272727265</v>
      </c>
      <c r="AF80" s="7">
        <f>830*AF24</f>
        <v>0</v>
      </c>
      <c r="AG80" s="7">
        <f>848*AG24</f>
        <v>0</v>
      </c>
      <c r="AH80" s="37">
        <v>0</v>
      </c>
      <c r="AI80" s="7">
        <v>0</v>
      </c>
      <c r="AJ80" s="7">
        <f t="shared" si="142"/>
        <v>0</v>
      </c>
      <c r="AL80" s="7">
        <f>830*AL24</f>
        <v>0</v>
      </c>
      <c r="AM80" s="7">
        <f>862*AM24</f>
        <v>0</v>
      </c>
      <c r="AN80" s="37">
        <v>0</v>
      </c>
      <c r="AO80" s="7">
        <v>0</v>
      </c>
      <c r="AP80" s="7">
        <f t="shared" si="143"/>
        <v>0</v>
      </c>
      <c r="AR80" s="7">
        <f>830*AR24</f>
        <v>0</v>
      </c>
      <c r="AS80" s="7">
        <f>848*AS24</f>
        <v>0</v>
      </c>
      <c r="AT80" s="37">
        <v>0</v>
      </c>
      <c r="AU80" s="7">
        <v>0</v>
      </c>
      <c r="AV80" s="7">
        <f t="shared" si="144"/>
        <v>0</v>
      </c>
      <c r="AX80" s="7">
        <f t="shared" si="147"/>
        <v>0</v>
      </c>
      <c r="AY80" s="7">
        <f t="shared" si="145"/>
        <v>253230.56995124745</v>
      </c>
      <c r="AZ80" s="7">
        <f t="shared" si="145"/>
        <v>0</v>
      </c>
      <c r="BA80" s="7">
        <f t="shared" si="145"/>
        <v>0</v>
      </c>
      <c r="BB80" s="7">
        <f t="shared" si="146"/>
        <v>253230.56995124745</v>
      </c>
    </row>
    <row r="81" spans="1:54" x14ac:dyDescent="0.25">
      <c r="A81" s="62" t="s">
        <v>76</v>
      </c>
      <c r="B81" s="7">
        <f>240*B26</f>
        <v>0</v>
      </c>
      <c r="C81" s="7">
        <f>C26*241</f>
        <v>58213.161290322576</v>
      </c>
      <c r="D81" s="37">
        <v>0</v>
      </c>
      <c r="E81" s="7">
        <v>0</v>
      </c>
      <c r="F81" s="7">
        <f t="shared" si="137"/>
        <v>58213.161290322576</v>
      </c>
      <c r="H81" s="7">
        <f>240*H26</f>
        <v>0</v>
      </c>
      <c r="I81" s="7">
        <f>I26*241</f>
        <v>134313.78921568629</v>
      </c>
      <c r="J81" s="37">
        <v>0</v>
      </c>
      <c r="K81" s="7">
        <v>0</v>
      </c>
      <c r="L81" s="7">
        <f t="shared" si="138"/>
        <v>134313.78921568629</v>
      </c>
      <c r="N81" s="7">
        <f>240*N26</f>
        <v>0</v>
      </c>
      <c r="O81" s="7">
        <f>O26*241</f>
        <v>58081</v>
      </c>
      <c r="P81" s="37">
        <v>0</v>
      </c>
      <c r="Q81" s="7">
        <v>0</v>
      </c>
      <c r="R81" s="7">
        <f t="shared" si="139"/>
        <v>58081</v>
      </c>
      <c r="T81" s="7">
        <f>240*T26</f>
        <v>0</v>
      </c>
      <c r="U81" s="7">
        <f>U26*241</f>
        <v>31992.297748123437</v>
      </c>
      <c r="V81" s="37">
        <v>0</v>
      </c>
      <c r="W81" s="7">
        <v>0</v>
      </c>
      <c r="X81" s="7">
        <f t="shared" si="140"/>
        <v>31992.297748123437</v>
      </c>
      <c r="Z81" s="7">
        <f>240*Z26</f>
        <v>0</v>
      </c>
      <c r="AA81" s="7">
        <f>AA26*241</f>
        <v>67096.590909090897</v>
      </c>
      <c r="AB81" s="37">
        <v>0</v>
      </c>
      <c r="AC81" s="7">
        <v>0</v>
      </c>
      <c r="AD81" s="7">
        <f t="shared" si="141"/>
        <v>67096.590909090897</v>
      </c>
      <c r="AF81" s="7">
        <f>240*AF26</f>
        <v>0</v>
      </c>
      <c r="AG81" s="7">
        <f>AG26*241</f>
        <v>35752.350000000006</v>
      </c>
      <c r="AH81" s="37">
        <v>0</v>
      </c>
      <c r="AI81" s="7">
        <v>0</v>
      </c>
      <c r="AJ81" s="7">
        <f t="shared" si="142"/>
        <v>35752.350000000006</v>
      </c>
      <c r="AL81" s="7">
        <f>240*AL26</f>
        <v>0</v>
      </c>
      <c r="AM81" s="7">
        <f>AM26*247</f>
        <v>0</v>
      </c>
      <c r="AN81" s="37">
        <v>0</v>
      </c>
      <c r="AO81" s="7">
        <v>0</v>
      </c>
      <c r="AP81" s="7">
        <f t="shared" si="143"/>
        <v>0</v>
      </c>
      <c r="AR81" s="7">
        <f>240*AR26</f>
        <v>0</v>
      </c>
      <c r="AS81" s="7">
        <f>AS26*241</f>
        <v>16388</v>
      </c>
      <c r="AT81" s="37">
        <v>0</v>
      </c>
      <c r="AU81" s="7">
        <v>0</v>
      </c>
      <c r="AV81" s="7">
        <f t="shared" si="144"/>
        <v>16388</v>
      </c>
      <c r="AX81" s="7">
        <f t="shared" si="147"/>
        <v>0</v>
      </c>
      <c r="AY81" s="7">
        <f t="shared" si="145"/>
        <v>401837.18916322314</v>
      </c>
      <c r="AZ81" s="7">
        <f t="shared" si="145"/>
        <v>0</v>
      </c>
      <c r="BA81" s="7">
        <f t="shared" si="145"/>
        <v>0</v>
      </c>
      <c r="BB81" s="7">
        <f t="shared" si="146"/>
        <v>401837.18916322314</v>
      </c>
    </row>
    <row r="82" spans="1:54" x14ac:dyDescent="0.25">
      <c r="A82" s="62" t="s">
        <v>247</v>
      </c>
      <c r="B82" s="7"/>
      <c r="C82" s="7">
        <v>0</v>
      </c>
      <c r="D82" s="37">
        <v>0</v>
      </c>
      <c r="E82" s="7">
        <v>0</v>
      </c>
      <c r="F82" s="7">
        <f t="shared" si="137"/>
        <v>0</v>
      </c>
      <c r="H82" s="7">
        <f>AV155</f>
        <v>275000</v>
      </c>
      <c r="I82" s="7">
        <v>0</v>
      </c>
      <c r="J82" s="37">
        <v>0</v>
      </c>
      <c r="K82" s="7">
        <v>0</v>
      </c>
      <c r="L82" s="7">
        <f t="shared" si="138"/>
        <v>275000</v>
      </c>
      <c r="N82" s="7">
        <v>0</v>
      </c>
      <c r="O82" s="7">
        <v>0</v>
      </c>
      <c r="P82" s="37">
        <v>0</v>
      </c>
      <c r="Q82" s="7">
        <v>0</v>
      </c>
      <c r="R82" s="7">
        <f t="shared" si="139"/>
        <v>0</v>
      </c>
      <c r="T82" s="7">
        <v>0</v>
      </c>
      <c r="U82" s="7">
        <v>0</v>
      </c>
      <c r="V82" s="37">
        <v>0</v>
      </c>
      <c r="W82" s="7">
        <v>0</v>
      </c>
      <c r="X82" s="7">
        <f t="shared" si="140"/>
        <v>0</v>
      </c>
      <c r="Z82" s="7">
        <v>0</v>
      </c>
      <c r="AA82" s="7">
        <v>0</v>
      </c>
      <c r="AB82" s="37">
        <v>0</v>
      </c>
      <c r="AC82" s="7">
        <v>0</v>
      </c>
      <c r="AD82" s="7">
        <f t="shared" si="141"/>
        <v>0</v>
      </c>
      <c r="AF82" s="7">
        <v>0</v>
      </c>
      <c r="AG82" s="7">
        <v>0</v>
      </c>
      <c r="AH82" s="37">
        <v>0</v>
      </c>
      <c r="AI82" s="7">
        <v>0</v>
      </c>
      <c r="AJ82" s="7">
        <f t="shared" si="142"/>
        <v>0</v>
      </c>
      <c r="AL82" s="7">
        <v>0</v>
      </c>
      <c r="AM82" s="7">
        <v>0</v>
      </c>
      <c r="AN82" s="37">
        <v>0</v>
      </c>
      <c r="AO82" s="7">
        <v>0</v>
      </c>
      <c r="AP82" s="7">
        <f t="shared" si="143"/>
        <v>0</v>
      </c>
      <c r="AR82" s="7"/>
      <c r="AS82" s="7">
        <v>0</v>
      </c>
      <c r="AT82" s="37">
        <v>0</v>
      </c>
      <c r="AU82" s="7">
        <v>0</v>
      </c>
      <c r="AV82" s="7">
        <f t="shared" si="144"/>
        <v>0</v>
      </c>
      <c r="AX82" s="7">
        <f t="shared" si="147"/>
        <v>275000</v>
      </c>
      <c r="AY82" s="7">
        <f t="shared" si="145"/>
        <v>0</v>
      </c>
      <c r="AZ82" s="7">
        <f t="shared" si="145"/>
        <v>0</v>
      </c>
      <c r="BA82" s="7">
        <f t="shared" si="145"/>
        <v>0</v>
      </c>
      <c r="BB82" s="7">
        <f t="shared" si="146"/>
        <v>275000</v>
      </c>
    </row>
    <row r="83" spans="1:54" x14ac:dyDescent="0.25">
      <c r="A83" s="154" t="s">
        <v>78</v>
      </c>
      <c r="B83" s="7">
        <v>0</v>
      </c>
      <c r="C83" s="7">
        <v>0</v>
      </c>
      <c r="D83" s="37">
        <v>0</v>
      </c>
      <c r="E83" s="7">
        <v>0</v>
      </c>
      <c r="F83" s="7">
        <f t="shared" si="137"/>
        <v>0</v>
      </c>
      <c r="H83" s="7">
        <v>0</v>
      </c>
      <c r="I83" s="7">
        <v>0</v>
      </c>
      <c r="J83" s="37">
        <v>0</v>
      </c>
      <c r="K83" s="7">
        <v>0</v>
      </c>
      <c r="L83" s="7">
        <f t="shared" si="138"/>
        <v>0</v>
      </c>
      <c r="N83" s="7">
        <v>0</v>
      </c>
      <c r="O83" s="7">
        <v>0</v>
      </c>
      <c r="P83" s="37">
        <v>0</v>
      </c>
      <c r="Q83" s="7">
        <v>0</v>
      </c>
      <c r="R83" s="7">
        <f t="shared" si="139"/>
        <v>0</v>
      </c>
      <c r="T83" s="7">
        <v>0</v>
      </c>
      <c r="U83" s="7">
        <v>0</v>
      </c>
      <c r="V83" s="37">
        <v>0</v>
      </c>
      <c r="W83" s="7">
        <v>0</v>
      </c>
      <c r="X83" s="7">
        <f t="shared" si="140"/>
        <v>0</v>
      </c>
      <c r="Z83" s="7">
        <v>0</v>
      </c>
      <c r="AA83" s="7">
        <v>0</v>
      </c>
      <c r="AB83" s="37">
        <v>0</v>
      </c>
      <c r="AC83" s="7">
        <v>0</v>
      </c>
      <c r="AD83" s="7">
        <f t="shared" si="141"/>
        <v>0</v>
      </c>
      <c r="AF83" s="7">
        <v>0</v>
      </c>
      <c r="AG83" s="7">
        <v>0</v>
      </c>
      <c r="AH83" s="37">
        <v>0</v>
      </c>
      <c r="AI83" s="7">
        <v>0</v>
      </c>
      <c r="AJ83" s="7">
        <f t="shared" si="142"/>
        <v>0</v>
      </c>
      <c r="AL83" s="7">
        <v>0</v>
      </c>
      <c r="AM83" s="7">
        <v>0</v>
      </c>
      <c r="AN83" s="37">
        <v>0</v>
      </c>
      <c r="AO83" s="7">
        <v>0</v>
      </c>
      <c r="AP83" s="7">
        <f t="shared" si="143"/>
        <v>0</v>
      </c>
      <c r="AR83" s="7">
        <v>0</v>
      </c>
      <c r="AS83" s="7">
        <v>0</v>
      </c>
      <c r="AT83" s="37">
        <v>0</v>
      </c>
      <c r="AU83" s="7">
        <v>0</v>
      </c>
      <c r="AV83" s="7">
        <f t="shared" si="144"/>
        <v>0</v>
      </c>
      <c r="AX83" s="7">
        <f t="shared" si="147"/>
        <v>0</v>
      </c>
      <c r="AY83" s="7">
        <f t="shared" si="145"/>
        <v>0</v>
      </c>
      <c r="AZ83" s="7">
        <f t="shared" si="145"/>
        <v>0</v>
      </c>
      <c r="BA83" s="7">
        <f t="shared" si="145"/>
        <v>0</v>
      </c>
      <c r="BB83" s="7">
        <f t="shared" si="146"/>
        <v>0</v>
      </c>
    </row>
    <row r="84" spans="1:54" x14ac:dyDescent="0.25">
      <c r="A84" s="62" t="s">
        <v>77</v>
      </c>
      <c r="B84" s="7"/>
      <c r="C84" s="7">
        <v>0</v>
      </c>
      <c r="D84" s="37">
        <v>0</v>
      </c>
      <c r="E84" s="7">
        <v>0</v>
      </c>
      <c r="F84" s="7">
        <f t="shared" si="137"/>
        <v>0</v>
      </c>
      <c r="H84" s="7"/>
      <c r="I84" s="7">
        <v>0</v>
      </c>
      <c r="J84" s="37">
        <v>0</v>
      </c>
      <c r="K84" s="7">
        <v>0</v>
      </c>
      <c r="L84" s="7">
        <f t="shared" si="138"/>
        <v>0</v>
      </c>
      <c r="N84" s="7"/>
      <c r="O84" s="7">
        <v>0</v>
      </c>
      <c r="P84" s="37">
        <v>0</v>
      </c>
      <c r="Q84" s="7">
        <v>0</v>
      </c>
      <c r="R84" s="7">
        <f t="shared" si="139"/>
        <v>0</v>
      </c>
      <c r="T84" s="7"/>
      <c r="U84" s="7">
        <v>0</v>
      </c>
      <c r="V84" s="37">
        <v>0</v>
      </c>
      <c r="W84" s="7">
        <v>0</v>
      </c>
      <c r="X84" s="7">
        <f t="shared" si="140"/>
        <v>0</v>
      </c>
      <c r="Z84" s="7"/>
      <c r="AA84" s="7">
        <v>0</v>
      </c>
      <c r="AB84" s="37">
        <v>0</v>
      </c>
      <c r="AC84" s="7">
        <v>0</v>
      </c>
      <c r="AD84" s="7">
        <f t="shared" si="141"/>
        <v>0</v>
      </c>
      <c r="AF84" s="7"/>
      <c r="AG84" s="7">
        <v>0</v>
      </c>
      <c r="AH84" s="37">
        <v>0</v>
      </c>
      <c r="AI84" s="7">
        <v>0</v>
      </c>
      <c r="AJ84" s="7">
        <f t="shared" si="142"/>
        <v>0</v>
      </c>
      <c r="AL84" s="7"/>
      <c r="AM84" s="7">
        <v>0</v>
      </c>
      <c r="AN84" s="37">
        <v>0</v>
      </c>
      <c r="AO84" s="7">
        <v>0</v>
      </c>
      <c r="AP84" s="7">
        <f t="shared" si="143"/>
        <v>0</v>
      </c>
      <c r="AR84" s="7"/>
      <c r="AS84" s="7">
        <v>0</v>
      </c>
      <c r="AT84" s="37">
        <v>0</v>
      </c>
      <c r="AU84" s="7">
        <v>0</v>
      </c>
      <c r="AV84" s="7">
        <f t="shared" si="144"/>
        <v>0</v>
      </c>
      <c r="AX84" s="7">
        <f t="shared" si="147"/>
        <v>0</v>
      </c>
      <c r="AY84" s="7">
        <f t="shared" si="145"/>
        <v>0</v>
      </c>
      <c r="AZ84" s="7">
        <f t="shared" si="145"/>
        <v>0</v>
      </c>
      <c r="BA84" s="7">
        <f t="shared" si="145"/>
        <v>0</v>
      </c>
      <c r="BB84" s="7">
        <f t="shared" si="146"/>
        <v>0</v>
      </c>
    </row>
    <row r="85" spans="1:54" ht="15.75" thickBot="1" x14ac:dyDescent="0.3">
      <c r="A85" s="65" t="s">
        <v>79</v>
      </c>
      <c r="B85" s="37">
        <f>B158</f>
        <v>14120</v>
      </c>
      <c r="C85" s="37">
        <f>C158</f>
        <v>720</v>
      </c>
      <c r="D85" s="37">
        <f>D158</f>
        <v>2160</v>
      </c>
      <c r="E85" s="7">
        <v>0</v>
      </c>
      <c r="F85" s="7">
        <f t="shared" si="137"/>
        <v>17000</v>
      </c>
      <c r="H85" s="37">
        <f>H158</f>
        <v>31280</v>
      </c>
      <c r="I85" s="37">
        <f>I158</f>
        <v>1920</v>
      </c>
      <c r="J85" s="37">
        <f>J158</f>
        <v>6960</v>
      </c>
      <c r="K85" s="7">
        <v>0</v>
      </c>
      <c r="L85" s="7">
        <f t="shared" si="138"/>
        <v>40160</v>
      </c>
      <c r="N85" s="37">
        <f>N158</f>
        <v>14960</v>
      </c>
      <c r="O85" s="37">
        <f>O158</f>
        <v>1200</v>
      </c>
      <c r="P85" s="37">
        <f>P158</f>
        <v>1999.2</v>
      </c>
      <c r="Q85" s="7">
        <v>0</v>
      </c>
      <c r="R85" s="7">
        <f t="shared" si="139"/>
        <v>18159.2</v>
      </c>
      <c r="T85" s="37">
        <f>T158</f>
        <v>17960</v>
      </c>
      <c r="U85" s="37">
        <f>U158</f>
        <v>840</v>
      </c>
      <c r="V85" s="37">
        <f>V158</f>
        <v>3201.6</v>
      </c>
      <c r="W85" s="7">
        <v>0</v>
      </c>
      <c r="X85" s="7">
        <f t="shared" si="140"/>
        <v>22001.599999999999</v>
      </c>
      <c r="Z85" s="37">
        <f>Z158</f>
        <v>29600</v>
      </c>
      <c r="AA85" s="37">
        <f>AA158</f>
        <v>1320</v>
      </c>
      <c r="AB85" s="37">
        <f>AB158</f>
        <v>5479.2</v>
      </c>
      <c r="AC85" s="7">
        <v>0</v>
      </c>
      <c r="AD85" s="7">
        <f t="shared" si="141"/>
        <v>36399.199999999997</v>
      </c>
      <c r="AF85" s="37">
        <f>AF158</f>
        <v>12080</v>
      </c>
      <c r="AG85" s="37">
        <f>AG158</f>
        <v>360</v>
      </c>
      <c r="AH85" s="37">
        <f>AH158</f>
        <v>2040</v>
      </c>
      <c r="AI85" s="37">
        <f>AI158</f>
        <v>240</v>
      </c>
      <c r="AJ85" s="7">
        <f t="shared" si="142"/>
        <v>14720</v>
      </c>
      <c r="AL85" s="37">
        <f>AL158</f>
        <v>2720</v>
      </c>
      <c r="AM85" s="37">
        <f>AM158</f>
        <v>120</v>
      </c>
      <c r="AN85" s="37">
        <f>AN158</f>
        <v>0</v>
      </c>
      <c r="AO85" s="7">
        <v>0</v>
      </c>
      <c r="AP85" s="7">
        <f t="shared" si="143"/>
        <v>2840</v>
      </c>
      <c r="AR85" s="37">
        <f>AR158</f>
        <v>2240</v>
      </c>
      <c r="AS85" s="37">
        <f>AS158</f>
        <v>0</v>
      </c>
      <c r="AT85" s="37">
        <f>AT158</f>
        <v>480</v>
      </c>
      <c r="AU85" s="7">
        <v>0</v>
      </c>
      <c r="AV85" s="7">
        <f t="shared" si="144"/>
        <v>2720</v>
      </c>
      <c r="AX85" s="7">
        <f t="shared" si="147"/>
        <v>124960</v>
      </c>
      <c r="AY85" s="7">
        <f t="shared" si="145"/>
        <v>6480</v>
      </c>
      <c r="AZ85" s="7">
        <f t="shared" si="145"/>
        <v>22320</v>
      </c>
      <c r="BA85" s="7">
        <f t="shared" si="145"/>
        <v>240</v>
      </c>
      <c r="BB85" s="7">
        <f t="shared" si="146"/>
        <v>154000</v>
      </c>
    </row>
    <row r="86" spans="1:54" ht="15.75" thickBot="1" x14ac:dyDescent="0.3">
      <c r="A86" s="67" t="s">
        <v>80</v>
      </c>
      <c r="B86" s="68">
        <f>SUM(B74:B85)</f>
        <v>7019004.0839119991</v>
      </c>
      <c r="C86" s="68">
        <f>SUM(C74:C85)</f>
        <v>123315.17686318132</v>
      </c>
      <c r="D86" s="68">
        <f>SUM(D74:D85)</f>
        <v>350583.13681868743</v>
      </c>
      <c r="E86" s="68">
        <f t="shared" ref="E86:F86" si="172">SUM(E74:E85)</f>
        <v>224078.40000000002</v>
      </c>
      <c r="F86" s="68">
        <f t="shared" si="172"/>
        <v>7716980.7975938683</v>
      </c>
      <c r="H86" s="68">
        <f>SUM(H74:H85)</f>
        <v>18409714.400622997</v>
      </c>
      <c r="I86" s="68">
        <f>SUM(I74:I85)</f>
        <v>241931.36898395725</v>
      </c>
      <c r="J86" s="68">
        <f>SUM(J74:J85)</f>
        <v>1066889.4786096257</v>
      </c>
      <c r="K86" s="68">
        <f t="shared" ref="K86:L86" si="173">SUM(K74:K85)</f>
        <v>609588</v>
      </c>
      <c r="L86" s="68">
        <f t="shared" si="173"/>
        <v>20328123.248216584</v>
      </c>
      <c r="N86" s="68">
        <f>SUM(N74:N85)</f>
        <v>7618552.1252719993</v>
      </c>
      <c r="O86" s="68">
        <f>SUM(O74:O85)</f>
        <v>127719</v>
      </c>
      <c r="P86" s="68">
        <f>SUM(P74:P85)</f>
        <v>257299.20000000001</v>
      </c>
      <c r="Q86" s="68">
        <f t="shared" ref="Q86:R86" si="174">SUM(Q74:Q85)</f>
        <v>192024</v>
      </c>
      <c r="R86" s="68">
        <f t="shared" si="174"/>
        <v>8195594.3252719995</v>
      </c>
      <c r="T86" s="68">
        <f>SUM(T74:T85)</f>
        <v>9110838.3781549986</v>
      </c>
      <c r="U86" s="68">
        <f>SUM(U74:U85)</f>
        <v>112254.18265221018</v>
      </c>
      <c r="V86" s="68">
        <f>SUM(V74:V85)</f>
        <v>380773.74345287739</v>
      </c>
      <c r="W86" s="68">
        <f t="shared" ref="W86:X86" si="175">SUM(W74:W85)</f>
        <v>114817.5</v>
      </c>
      <c r="X86" s="68">
        <f t="shared" si="175"/>
        <v>9718683.8042600863</v>
      </c>
      <c r="Z86" s="68">
        <f>SUM(Z74:Z85)</f>
        <v>17803744.977874998</v>
      </c>
      <c r="AA86" s="68">
        <f>SUM(AA74:AA85)</f>
        <v>172822.27272727271</v>
      </c>
      <c r="AB86" s="68">
        <f>SUM(AB74:AB85)</f>
        <v>675876.92727272725</v>
      </c>
      <c r="AC86" s="68">
        <f t="shared" ref="AC86:AD86" si="176">SUM(AC74:AC85)</f>
        <v>359100</v>
      </c>
      <c r="AD86" s="68">
        <f t="shared" si="176"/>
        <v>19011544.177874994</v>
      </c>
      <c r="AF86" s="68">
        <f>SUM(AF74:AF85)</f>
        <v>6111418.1713549988</v>
      </c>
      <c r="AG86" s="68">
        <f>SUM(AG74:AG85)</f>
        <v>341939.1</v>
      </c>
      <c r="AH86" s="68">
        <f>SUM(AH74:AH85)</f>
        <v>269069.99999999994</v>
      </c>
      <c r="AI86" s="68">
        <f t="shared" ref="AI86:AJ86" si="177">SUM(AI74:AI85)</f>
        <v>357014.39999999997</v>
      </c>
      <c r="AJ86" s="68">
        <f t="shared" si="177"/>
        <v>7079441.6713549988</v>
      </c>
      <c r="AL86" s="68">
        <f>SUM(AL74:AL85)</f>
        <v>2720</v>
      </c>
      <c r="AM86" s="68">
        <f>SUM(AM74:AM85)</f>
        <v>120</v>
      </c>
      <c r="AN86" s="68">
        <f>SUM(AN74:AN85)</f>
        <v>0</v>
      </c>
      <c r="AO86" s="68">
        <f t="shared" ref="AO86:AP86" si="178">SUM(AO74:AO85)</f>
        <v>0</v>
      </c>
      <c r="AP86" s="68">
        <f t="shared" si="178"/>
        <v>2840</v>
      </c>
      <c r="AR86" s="68">
        <f>SUM(AR74:AR85)</f>
        <v>1829490</v>
      </c>
      <c r="AS86" s="68">
        <f>SUM(AS74:AS85)</f>
        <v>16388</v>
      </c>
      <c r="AT86" s="68">
        <f>SUM(AT74:AT85)</f>
        <v>58280</v>
      </c>
      <c r="AU86" s="68">
        <f t="shared" ref="AU86:AV86" si="179">SUM(AU74:AU85)</f>
        <v>58500</v>
      </c>
      <c r="AV86" s="68">
        <f t="shared" si="179"/>
        <v>1962658</v>
      </c>
      <c r="AX86" s="68">
        <f>SUM(AX74:AX85)</f>
        <v>67905482.137191981</v>
      </c>
      <c r="AY86" s="68">
        <f>SUM(AY74:AY85)</f>
        <v>1136489.1012266213</v>
      </c>
      <c r="AZ86" s="68">
        <f>SUM(AZ74:AZ85)</f>
        <v>3058772.4861539179</v>
      </c>
      <c r="BA86" s="68">
        <f t="shared" ref="BA86:BB86" si="180">SUM(BA74:BA85)</f>
        <v>1915122.2999999998</v>
      </c>
      <c r="BB86" s="68">
        <f t="shared" si="180"/>
        <v>74015866.024572521</v>
      </c>
    </row>
    <row r="87" spans="1:54" hidden="1" x14ac:dyDescent="0.25">
      <c r="A87" s="60" t="s">
        <v>69</v>
      </c>
      <c r="B87" s="61">
        <f>B2*B5</f>
        <v>7004884.0839119991</v>
      </c>
      <c r="C87" s="61">
        <f>C2*C5</f>
        <v>0</v>
      </c>
      <c r="D87" s="61">
        <f>D2*D5</f>
        <v>0</v>
      </c>
      <c r="E87" s="61">
        <f t="shared" ref="E87:F87" si="181">E2*E5</f>
        <v>0</v>
      </c>
      <c r="F87" s="61">
        <f t="shared" si="181"/>
        <v>7004884.0839119991</v>
      </c>
      <c r="H87" s="61">
        <f>H2*H5</f>
        <v>18103434.400622997</v>
      </c>
      <c r="I87" s="61">
        <f>I2*I5</f>
        <v>0</v>
      </c>
      <c r="J87" s="61">
        <f>J2*J5</f>
        <v>0</v>
      </c>
      <c r="K87" s="61">
        <f t="shared" ref="K87:L87" si="182">K2*K5</f>
        <v>0</v>
      </c>
      <c r="L87" s="61">
        <f t="shared" si="182"/>
        <v>18103434.400622997</v>
      </c>
      <c r="N87" s="61">
        <f>N2*N5</f>
        <v>7603592.1252719993</v>
      </c>
      <c r="O87" s="61">
        <f>O2*O5</f>
        <v>0</v>
      </c>
      <c r="P87" s="61">
        <f>P2*P5</f>
        <v>0</v>
      </c>
      <c r="Q87" s="61">
        <f t="shared" ref="Q87:R87" si="183">Q2*Q5</f>
        <v>0</v>
      </c>
      <c r="R87" s="61">
        <f t="shared" si="183"/>
        <v>7603592.1252719993</v>
      </c>
      <c r="T87" s="61">
        <f>T2*T5</f>
        <v>9092878.3781549986</v>
      </c>
      <c r="U87" s="61">
        <f>U2*U5</f>
        <v>0</v>
      </c>
      <c r="V87" s="61">
        <f>V2*V5</f>
        <v>0</v>
      </c>
      <c r="W87" s="61">
        <f t="shared" ref="W87:X87" si="184">W2*W5</f>
        <v>0</v>
      </c>
      <c r="X87" s="61">
        <f t="shared" si="184"/>
        <v>9092878.3781549986</v>
      </c>
      <c r="Z87" s="61">
        <f>Z2*Z5</f>
        <v>17774144.977874998</v>
      </c>
      <c r="AA87" s="61">
        <f>AA2*AA5</f>
        <v>0</v>
      </c>
      <c r="AB87" s="61">
        <f>AB2*AB5</f>
        <v>0</v>
      </c>
      <c r="AC87" s="61">
        <f t="shared" ref="AC87:AD87" si="185">AC2*AC5</f>
        <v>0</v>
      </c>
      <c r="AD87" s="61">
        <f t="shared" si="185"/>
        <v>17774144.977874998</v>
      </c>
      <c r="AF87" s="61">
        <f>AF2*AF5</f>
        <v>6099338.1713549988</v>
      </c>
      <c r="AG87" s="61">
        <f>AG2*AG5</f>
        <v>0</v>
      </c>
      <c r="AH87" s="61">
        <f>AH2*AH5</f>
        <v>0</v>
      </c>
      <c r="AI87" s="61">
        <f t="shared" ref="AI87:AJ87" si="186">AI2*AI5</f>
        <v>0</v>
      </c>
      <c r="AJ87" s="61">
        <f t="shared" si="186"/>
        <v>6099338.1713549988</v>
      </c>
      <c r="AL87" s="61">
        <f>AL2*AL5</f>
        <v>0</v>
      </c>
      <c r="AM87" s="61">
        <f>AM2*AM5</f>
        <v>0</v>
      </c>
      <c r="AN87" s="61">
        <f>AN2*AN5</f>
        <v>0</v>
      </c>
      <c r="AO87" s="61">
        <f t="shared" ref="AO87:AP87" si="187">AO2*AO5</f>
        <v>0</v>
      </c>
      <c r="AP87" s="61">
        <f t="shared" si="187"/>
        <v>0</v>
      </c>
      <c r="AR87" s="61">
        <f>AR2*AR5</f>
        <v>1827250</v>
      </c>
      <c r="AS87" s="61">
        <f>AS2*AS5</f>
        <v>0</v>
      </c>
      <c r="AT87" s="61">
        <f>AT2*AT5</f>
        <v>0</v>
      </c>
      <c r="AU87" s="61">
        <f t="shared" ref="AU87:AV87" si="188">AU2*AU5</f>
        <v>0</v>
      </c>
      <c r="AV87" s="61">
        <f t="shared" si="188"/>
        <v>1827250</v>
      </c>
      <c r="AX87" s="7">
        <f>B87+H87+N87+T87+Z87+AF87+AL87+AR87</f>
        <v>67505522.137191981</v>
      </c>
      <c r="AY87" s="7">
        <f t="shared" ref="AY87:BA98" si="189">C87+I87+O87+U87+AA87+AG87+AM87+AS87</f>
        <v>0</v>
      </c>
      <c r="AZ87" s="7">
        <f t="shared" si="189"/>
        <v>0</v>
      </c>
      <c r="BA87" s="7">
        <f t="shared" si="189"/>
        <v>0</v>
      </c>
      <c r="BB87" s="7">
        <f t="shared" si="146"/>
        <v>67505522.137191981</v>
      </c>
    </row>
    <row r="88" spans="1:54" hidden="1" x14ac:dyDescent="0.25">
      <c r="A88" s="62" t="s">
        <v>201</v>
      </c>
      <c r="B88" s="61">
        <f>B3*B5</f>
        <v>0</v>
      </c>
      <c r="C88" s="61">
        <f>C3*C5</f>
        <v>0</v>
      </c>
      <c r="D88" s="61">
        <f>D3*D5</f>
        <v>0</v>
      </c>
      <c r="E88" s="61">
        <f t="shared" ref="E88:F88" si="190">E3*E5</f>
        <v>0</v>
      </c>
      <c r="F88" s="61">
        <f t="shared" si="190"/>
        <v>0</v>
      </c>
      <c r="H88" s="61">
        <f>H3*H5</f>
        <v>0</v>
      </c>
      <c r="I88" s="61">
        <f>I3*I5</f>
        <v>0</v>
      </c>
      <c r="J88" s="61">
        <f>J3*J5</f>
        <v>0</v>
      </c>
      <c r="K88" s="61">
        <f t="shared" ref="K88:L88" si="191">K3*K5</f>
        <v>0</v>
      </c>
      <c r="L88" s="61">
        <f t="shared" si="191"/>
        <v>0</v>
      </c>
      <c r="N88" s="61">
        <f>N3*N5</f>
        <v>0</v>
      </c>
      <c r="O88" s="61">
        <f>O3*O5</f>
        <v>0</v>
      </c>
      <c r="P88" s="61">
        <f>P3*P5</f>
        <v>0</v>
      </c>
      <c r="Q88" s="61">
        <f t="shared" ref="Q88:R88" si="192">Q3*Q5</f>
        <v>0</v>
      </c>
      <c r="R88" s="61">
        <f t="shared" si="192"/>
        <v>0</v>
      </c>
      <c r="T88" s="61">
        <f>T3*T5</f>
        <v>0</v>
      </c>
      <c r="U88" s="61">
        <f>U3*U5</f>
        <v>0</v>
      </c>
      <c r="V88" s="61">
        <f>V3*V5</f>
        <v>0</v>
      </c>
      <c r="W88" s="61">
        <f t="shared" ref="W88:X88" si="193">W3*W5</f>
        <v>0</v>
      </c>
      <c r="X88" s="61">
        <f t="shared" si="193"/>
        <v>0</v>
      </c>
      <c r="Z88" s="61">
        <f>Z3*Z5</f>
        <v>0</v>
      </c>
      <c r="AA88" s="61">
        <f>AA3*AA5</f>
        <v>0</v>
      </c>
      <c r="AB88" s="61">
        <f>AB3*AB5</f>
        <v>0</v>
      </c>
      <c r="AC88" s="61">
        <f t="shared" ref="AC88:AD88" si="194">AC3*AC5</f>
        <v>0</v>
      </c>
      <c r="AD88" s="61">
        <f t="shared" si="194"/>
        <v>0</v>
      </c>
      <c r="AF88" s="61">
        <f>AF3*AF5</f>
        <v>0</v>
      </c>
      <c r="AG88" s="61">
        <f>AG3*AG5</f>
        <v>0</v>
      </c>
      <c r="AH88" s="61">
        <f>AH3*AH5</f>
        <v>0</v>
      </c>
      <c r="AI88" s="61">
        <f t="shared" ref="AI88:AJ88" si="195">AI3*AI5</f>
        <v>0</v>
      </c>
      <c r="AJ88" s="61">
        <f t="shared" si="195"/>
        <v>0</v>
      </c>
      <c r="AL88" s="61">
        <f>AL3*AL5</f>
        <v>0</v>
      </c>
      <c r="AM88" s="61">
        <f>AM3*AM5</f>
        <v>0</v>
      </c>
      <c r="AN88" s="61">
        <f>AN3*AN5</f>
        <v>0</v>
      </c>
      <c r="AO88" s="61">
        <f t="shared" ref="AO88:AP88" si="196">AO3*AO5</f>
        <v>0</v>
      </c>
      <c r="AP88" s="61">
        <f t="shared" si="196"/>
        <v>0</v>
      </c>
      <c r="AR88" s="61">
        <f>AR3*AR5</f>
        <v>0</v>
      </c>
      <c r="AS88" s="61">
        <f>AS3*AS5</f>
        <v>0</v>
      </c>
      <c r="AT88" s="61">
        <f>AT3*AT5</f>
        <v>0</v>
      </c>
      <c r="AU88" s="61">
        <f t="shared" ref="AU88:AV88" si="197">AU3*AU5</f>
        <v>0</v>
      </c>
      <c r="AV88" s="61">
        <f t="shared" si="197"/>
        <v>0</v>
      </c>
      <c r="AX88" s="7">
        <f t="shared" ref="AX88:AX98" si="198">B88+H88+N88+T88+Z88+AF88+AL88+AR88</f>
        <v>0</v>
      </c>
      <c r="AY88" s="7">
        <f t="shared" si="189"/>
        <v>0</v>
      </c>
      <c r="AZ88" s="7">
        <f t="shared" si="189"/>
        <v>0</v>
      </c>
      <c r="BA88" s="7">
        <f t="shared" si="189"/>
        <v>0</v>
      </c>
      <c r="BB88" s="7">
        <f t="shared" si="146"/>
        <v>0</v>
      </c>
    </row>
    <row r="89" spans="1:54" hidden="1" x14ac:dyDescent="0.25">
      <c r="A89" s="62" t="s">
        <v>71</v>
      </c>
      <c r="B89" s="61">
        <f t="shared" ref="B89:F98" si="199">B76</f>
        <v>0</v>
      </c>
      <c r="C89" s="61">
        <f t="shared" si="199"/>
        <v>0</v>
      </c>
      <c r="D89" s="61">
        <f t="shared" si="199"/>
        <v>0</v>
      </c>
      <c r="E89" s="61">
        <f t="shared" si="199"/>
        <v>224078.40000000002</v>
      </c>
      <c r="F89" s="61">
        <f t="shared" si="199"/>
        <v>224078.40000000002</v>
      </c>
      <c r="H89" s="61">
        <f t="shared" ref="H89:L98" si="200">H76</f>
        <v>0</v>
      </c>
      <c r="I89" s="61">
        <f t="shared" si="200"/>
        <v>0</v>
      </c>
      <c r="J89" s="61">
        <f t="shared" si="200"/>
        <v>0</v>
      </c>
      <c r="K89" s="61">
        <f t="shared" si="200"/>
        <v>609588</v>
      </c>
      <c r="L89" s="61">
        <f t="shared" si="200"/>
        <v>609588</v>
      </c>
      <c r="N89" s="61">
        <f t="shared" ref="N89:R98" si="201">N76</f>
        <v>0</v>
      </c>
      <c r="O89" s="61">
        <f t="shared" si="201"/>
        <v>0</v>
      </c>
      <c r="P89" s="61">
        <f t="shared" si="201"/>
        <v>0</v>
      </c>
      <c r="Q89" s="61">
        <f t="shared" si="201"/>
        <v>192024</v>
      </c>
      <c r="R89" s="61">
        <f t="shared" si="201"/>
        <v>192024</v>
      </c>
      <c r="T89" s="61">
        <f t="shared" ref="T89:X98" si="202">T76</f>
        <v>0</v>
      </c>
      <c r="U89" s="61">
        <f t="shared" si="202"/>
        <v>0</v>
      </c>
      <c r="V89" s="61">
        <f t="shared" si="202"/>
        <v>0</v>
      </c>
      <c r="W89" s="61">
        <f t="shared" si="202"/>
        <v>114817.5</v>
      </c>
      <c r="X89" s="61">
        <f t="shared" si="202"/>
        <v>114817.5</v>
      </c>
      <c r="Z89" s="61">
        <f t="shared" ref="Z89:AD98" si="203">Z76</f>
        <v>0</v>
      </c>
      <c r="AA89" s="61">
        <f t="shared" si="203"/>
        <v>0</v>
      </c>
      <c r="AB89" s="61">
        <f t="shared" si="203"/>
        <v>0</v>
      </c>
      <c r="AC89" s="61">
        <f t="shared" si="203"/>
        <v>359100</v>
      </c>
      <c r="AD89" s="61">
        <f t="shared" si="203"/>
        <v>359100</v>
      </c>
      <c r="AF89" s="61">
        <f t="shared" ref="AF89:AJ98" si="204">AF76</f>
        <v>0</v>
      </c>
      <c r="AG89" s="61">
        <f t="shared" si="204"/>
        <v>0</v>
      </c>
      <c r="AH89" s="61">
        <f t="shared" si="204"/>
        <v>0</v>
      </c>
      <c r="AI89" s="61">
        <f t="shared" si="204"/>
        <v>356774.39999999997</v>
      </c>
      <c r="AJ89" s="61">
        <f t="shared" si="204"/>
        <v>356774.39999999997</v>
      </c>
      <c r="AL89" s="61">
        <f t="shared" ref="AL89:AP98" si="205">AL76</f>
        <v>0</v>
      </c>
      <c r="AM89" s="61">
        <f t="shared" si="205"/>
        <v>0</v>
      </c>
      <c r="AN89" s="61">
        <f t="shared" si="205"/>
        <v>0</v>
      </c>
      <c r="AO89" s="61">
        <f t="shared" si="205"/>
        <v>0</v>
      </c>
      <c r="AP89" s="61">
        <f t="shared" si="205"/>
        <v>0</v>
      </c>
      <c r="AR89" s="61">
        <f t="shared" ref="AR89:AV98" si="206">AR76</f>
        <v>0</v>
      </c>
      <c r="AS89" s="61">
        <f t="shared" si="206"/>
        <v>0</v>
      </c>
      <c r="AT89" s="61">
        <f t="shared" si="206"/>
        <v>0</v>
      </c>
      <c r="AU89" s="61">
        <f t="shared" si="206"/>
        <v>58500</v>
      </c>
      <c r="AV89" s="61">
        <f t="shared" si="206"/>
        <v>58500</v>
      </c>
      <c r="AX89" s="7">
        <f t="shared" si="198"/>
        <v>0</v>
      </c>
      <c r="AY89" s="7">
        <f t="shared" si="189"/>
        <v>0</v>
      </c>
      <c r="AZ89" s="7">
        <f t="shared" si="189"/>
        <v>0</v>
      </c>
      <c r="BA89" s="7">
        <f t="shared" si="189"/>
        <v>1914882.2999999998</v>
      </c>
      <c r="BB89" s="7">
        <f t="shared" si="146"/>
        <v>1914882.2999999998</v>
      </c>
    </row>
    <row r="90" spans="1:54" hidden="1" x14ac:dyDescent="0.25">
      <c r="A90" s="62" t="s">
        <v>72</v>
      </c>
      <c r="B90" s="61">
        <f t="shared" si="199"/>
        <v>0</v>
      </c>
      <c r="C90" s="61">
        <f t="shared" si="199"/>
        <v>0</v>
      </c>
      <c r="D90" s="61">
        <f t="shared" si="199"/>
        <v>95942.602892102339</v>
      </c>
      <c r="E90" s="61">
        <f t="shared" si="199"/>
        <v>0</v>
      </c>
      <c r="F90" s="61">
        <f t="shared" si="199"/>
        <v>95942.602892102339</v>
      </c>
      <c r="H90" s="61">
        <f t="shared" si="200"/>
        <v>0</v>
      </c>
      <c r="I90" s="61">
        <f t="shared" si="200"/>
        <v>0</v>
      </c>
      <c r="J90" s="61">
        <f t="shared" si="200"/>
        <v>291864.6390374332</v>
      </c>
      <c r="K90" s="61">
        <f t="shared" si="200"/>
        <v>0</v>
      </c>
      <c r="L90" s="61">
        <f t="shared" si="200"/>
        <v>291864.6390374332</v>
      </c>
      <c r="N90" s="61">
        <f t="shared" si="201"/>
        <v>0</v>
      </c>
      <c r="O90" s="61">
        <f t="shared" si="201"/>
        <v>0</v>
      </c>
      <c r="P90" s="61">
        <f t="shared" si="201"/>
        <v>70300</v>
      </c>
      <c r="Q90" s="61">
        <f t="shared" si="201"/>
        <v>0</v>
      </c>
      <c r="R90" s="61">
        <f t="shared" si="201"/>
        <v>70300</v>
      </c>
      <c r="T90" s="61">
        <f t="shared" si="202"/>
        <v>0</v>
      </c>
      <c r="U90" s="61">
        <f t="shared" si="202"/>
        <v>0</v>
      </c>
      <c r="V90" s="61">
        <f t="shared" si="202"/>
        <v>103969.14095079232</v>
      </c>
      <c r="W90" s="61">
        <f t="shared" si="202"/>
        <v>0</v>
      </c>
      <c r="X90" s="61">
        <f t="shared" si="202"/>
        <v>103969.14095079232</v>
      </c>
      <c r="Z90" s="61">
        <f t="shared" si="203"/>
        <v>0</v>
      </c>
      <c r="AA90" s="61">
        <f t="shared" si="203"/>
        <v>0</v>
      </c>
      <c r="AB90" s="61">
        <f t="shared" si="203"/>
        <v>184602.27272727274</v>
      </c>
      <c r="AC90" s="61">
        <f t="shared" si="203"/>
        <v>0</v>
      </c>
      <c r="AD90" s="61">
        <f t="shared" si="203"/>
        <v>184602.27272727274</v>
      </c>
      <c r="AF90" s="61">
        <f t="shared" si="204"/>
        <v>0</v>
      </c>
      <c r="AG90" s="61">
        <f t="shared" si="204"/>
        <v>0</v>
      </c>
      <c r="AH90" s="61">
        <f t="shared" si="204"/>
        <v>73529.999999999985</v>
      </c>
      <c r="AI90" s="61">
        <f t="shared" si="204"/>
        <v>0</v>
      </c>
      <c r="AJ90" s="61">
        <f t="shared" si="204"/>
        <v>73529.999999999985</v>
      </c>
      <c r="AL90" s="61">
        <f t="shared" si="205"/>
        <v>0</v>
      </c>
      <c r="AM90" s="61">
        <f t="shared" si="205"/>
        <v>0</v>
      </c>
      <c r="AN90" s="61">
        <f t="shared" si="205"/>
        <v>0</v>
      </c>
      <c r="AO90" s="61">
        <f t="shared" si="205"/>
        <v>0</v>
      </c>
      <c r="AP90" s="61">
        <f t="shared" si="205"/>
        <v>0</v>
      </c>
      <c r="AR90" s="61">
        <f t="shared" si="206"/>
        <v>0</v>
      </c>
      <c r="AS90" s="61">
        <f t="shared" si="206"/>
        <v>0</v>
      </c>
      <c r="AT90" s="61">
        <f t="shared" si="206"/>
        <v>16150</v>
      </c>
      <c r="AU90" s="61">
        <f t="shared" si="206"/>
        <v>0</v>
      </c>
      <c r="AV90" s="61">
        <f t="shared" si="206"/>
        <v>16150</v>
      </c>
      <c r="AX90" s="7">
        <f t="shared" si="198"/>
        <v>0</v>
      </c>
      <c r="AY90" s="7">
        <f t="shared" si="189"/>
        <v>0</v>
      </c>
      <c r="AZ90" s="7">
        <f t="shared" si="189"/>
        <v>836358.65560760058</v>
      </c>
      <c r="BA90" s="7">
        <f t="shared" si="189"/>
        <v>0</v>
      </c>
      <c r="BB90" s="7">
        <f t="shared" si="146"/>
        <v>836358.65560760058</v>
      </c>
    </row>
    <row r="91" spans="1:54" hidden="1" x14ac:dyDescent="0.25">
      <c r="A91" s="141" t="s">
        <v>73</v>
      </c>
      <c r="B91" s="61">
        <f t="shared" si="199"/>
        <v>0</v>
      </c>
      <c r="C91" s="61">
        <f t="shared" si="199"/>
        <v>0</v>
      </c>
      <c r="D91" s="61">
        <f t="shared" si="199"/>
        <v>252480.53392658508</v>
      </c>
      <c r="E91" s="61">
        <f t="shared" si="199"/>
        <v>0</v>
      </c>
      <c r="F91" s="61">
        <f t="shared" si="199"/>
        <v>252480.53392658508</v>
      </c>
      <c r="H91" s="61">
        <f t="shared" si="200"/>
        <v>0</v>
      </c>
      <c r="I91" s="61">
        <f t="shared" si="200"/>
        <v>0</v>
      </c>
      <c r="J91" s="61">
        <f t="shared" si="200"/>
        <v>768064.83957219252</v>
      </c>
      <c r="K91" s="61">
        <f t="shared" si="200"/>
        <v>0</v>
      </c>
      <c r="L91" s="61">
        <f t="shared" si="200"/>
        <v>768064.83957219252</v>
      </c>
      <c r="N91" s="61">
        <f t="shared" si="201"/>
        <v>0</v>
      </c>
      <c r="O91" s="61">
        <f t="shared" si="201"/>
        <v>0</v>
      </c>
      <c r="P91" s="61">
        <f t="shared" si="201"/>
        <v>185000</v>
      </c>
      <c r="Q91" s="61">
        <f t="shared" si="201"/>
        <v>0</v>
      </c>
      <c r="R91" s="61">
        <f t="shared" si="201"/>
        <v>185000</v>
      </c>
      <c r="T91" s="61">
        <f t="shared" si="202"/>
        <v>0</v>
      </c>
      <c r="U91" s="61">
        <f t="shared" si="202"/>
        <v>0</v>
      </c>
      <c r="V91" s="61">
        <f t="shared" si="202"/>
        <v>273603.00250208506</v>
      </c>
      <c r="W91" s="61">
        <f t="shared" si="202"/>
        <v>0</v>
      </c>
      <c r="X91" s="61">
        <f t="shared" si="202"/>
        <v>273603.00250208506</v>
      </c>
      <c r="Z91" s="61">
        <f t="shared" si="203"/>
        <v>0</v>
      </c>
      <c r="AA91" s="61">
        <f t="shared" si="203"/>
        <v>0</v>
      </c>
      <c r="AB91" s="61">
        <f t="shared" si="203"/>
        <v>485795.45454545453</v>
      </c>
      <c r="AC91" s="61">
        <f t="shared" si="203"/>
        <v>0</v>
      </c>
      <c r="AD91" s="61">
        <f t="shared" si="203"/>
        <v>485795.45454545453</v>
      </c>
      <c r="AF91" s="61">
        <f t="shared" si="204"/>
        <v>0</v>
      </c>
      <c r="AG91" s="61">
        <f t="shared" si="204"/>
        <v>0</v>
      </c>
      <c r="AH91" s="61">
        <f t="shared" si="204"/>
        <v>193499.99999999997</v>
      </c>
      <c r="AI91" s="61">
        <f t="shared" si="204"/>
        <v>0</v>
      </c>
      <c r="AJ91" s="61">
        <f t="shared" si="204"/>
        <v>193499.99999999997</v>
      </c>
      <c r="AL91" s="61">
        <f t="shared" si="205"/>
        <v>0</v>
      </c>
      <c r="AM91" s="61">
        <f t="shared" si="205"/>
        <v>0</v>
      </c>
      <c r="AN91" s="61">
        <f t="shared" si="205"/>
        <v>0</v>
      </c>
      <c r="AO91" s="61">
        <f t="shared" si="205"/>
        <v>0</v>
      </c>
      <c r="AP91" s="61">
        <f t="shared" si="205"/>
        <v>0</v>
      </c>
      <c r="AR91" s="61">
        <f t="shared" si="206"/>
        <v>0</v>
      </c>
      <c r="AS91" s="61">
        <f t="shared" si="206"/>
        <v>0</v>
      </c>
      <c r="AT91" s="61">
        <f t="shared" si="206"/>
        <v>41650</v>
      </c>
      <c r="AU91" s="61">
        <f t="shared" si="206"/>
        <v>0</v>
      </c>
      <c r="AV91" s="61">
        <f t="shared" si="206"/>
        <v>41650</v>
      </c>
      <c r="AX91" s="7">
        <f t="shared" si="198"/>
        <v>0</v>
      </c>
      <c r="AY91" s="7">
        <f t="shared" si="189"/>
        <v>0</v>
      </c>
      <c r="AZ91" s="7">
        <f t="shared" si="189"/>
        <v>2200093.8305463172</v>
      </c>
      <c r="BA91" s="7">
        <f t="shared" si="189"/>
        <v>0</v>
      </c>
      <c r="BB91" s="7">
        <f t="shared" si="146"/>
        <v>2200093.8305463172</v>
      </c>
    </row>
    <row r="92" spans="1:54" hidden="1" x14ac:dyDescent="0.25">
      <c r="A92" s="62" t="s">
        <v>74</v>
      </c>
      <c r="B92" s="61">
        <f t="shared" si="199"/>
        <v>0</v>
      </c>
      <c r="C92" s="61">
        <f t="shared" si="199"/>
        <v>25534.371523915463</v>
      </c>
      <c r="D92" s="61">
        <f t="shared" si="199"/>
        <v>0</v>
      </c>
      <c r="E92" s="61">
        <f t="shared" si="199"/>
        <v>0</v>
      </c>
      <c r="F92" s="61">
        <f t="shared" si="199"/>
        <v>25534.371523915463</v>
      </c>
      <c r="H92" s="61">
        <f t="shared" si="200"/>
        <v>0</v>
      </c>
      <c r="I92" s="61">
        <f t="shared" si="200"/>
        <v>58162.720588235286</v>
      </c>
      <c r="J92" s="61">
        <f t="shared" si="200"/>
        <v>0</v>
      </c>
      <c r="K92" s="61">
        <f t="shared" si="200"/>
        <v>0</v>
      </c>
      <c r="L92" s="61">
        <f t="shared" si="200"/>
        <v>58162.720588235286</v>
      </c>
      <c r="N92" s="61">
        <f t="shared" si="201"/>
        <v>0</v>
      </c>
      <c r="O92" s="61">
        <f t="shared" si="201"/>
        <v>29430</v>
      </c>
      <c r="P92" s="61">
        <f t="shared" si="201"/>
        <v>0</v>
      </c>
      <c r="Q92" s="61">
        <f t="shared" si="201"/>
        <v>0</v>
      </c>
      <c r="R92" s="61">
        <f t="shared" si="201"/>
        <v>29430</v>
      </c>
      <c r="T92" s="61">
        <f t="shared" si="202"/>
        <v>0</v>
      </c>
      <c r="U92" s="61">
        <f t="shared" si="202"/>
        <v>13254.545454545456</v>
      </c>
      <c r="V92" s="61">
        <f t="shared" si="202"/>
        <v>0</v>
      </c>
      <c r="W92" s="61">
        <f t="shared" si="202"/>
        <v>0</v>
      </c>
      <c r="X92" s="61">
        <f t="shared" si="202"/>
        <v>13254.545454545456</v>
      </c>
      <c r="Z92" s="61">
        <f t="shared" si="203"/>
        <v>0</v>
      </c>
      <c r="AA92" s="61">
        <f t="shared" si="203"/>
        <v>42732.954545454544</v>
      </c>
      <c r="AB92" s="61">
        <f t="shared" si="203"/>
        <v>0</v>
      </c>
      <c r="AC92" s="61">
        <f t="shared" si="203"/>
        <v>0</v>
      </c>
      <c r="AD92" s="61">
        <f t="shared" si="203"/>
        <v>42732.954545454544</v>
      </c>
      <c r="AF92" s="61">
        <f t="shared" si="204"/>
        <v>0</v>
      </c>
      <c r="AG92" s="61">
        <f t="shared" si="204"/>
        <v>305826.75</v>
      </c>
      <c r="AH92" s="61">
        <f t="shared" si="204"/>
        <v>0</v>
      </c>
      <c r="AI92" s="61">
        <f t="shared" si="204"/>
        <v>0</v>
      </c>
      <c r="AJ92" s="61">
        <f t="shared" si="204"/>
        <v>305826.75</v>
      </c>
      <c r="AL92" s="61">
        <f t="shared" si="205"/>
        <v>0</v>
      </c>
      <c r="AM92" s="61">
        <f t="shared" si="205"/>
        <v>0</v>
      </c>
      <c r="AN92" s="61">
        <f t="shared" si="205"/>
        <v>0</v>
      </c>
      <c r="AO92" s="61">
        <f t="shared" si="205"/>
        <v>0</v>
      </c>
      <c r="AP92" s="61">
        <f t="shared" si="205"/>
        <v>0</v>
      </c>
      <c r="AR92" s="61">
        <f t="shared" si="206"/>
        <v>0</v>
      </c>
      <c r="AS92" s="61">
        <f t="shared" si="206"/>
        <v>0</v>
      </c>
      <c r="AT92" s="61">
        <f t="shared" si="206"/>
        <v>0</v>
      </c>
      <c r="AU92" s="61">
        <f t="shared" si="206"/>
        <v>0</v>
      </c>
      <c r="AV92" s="61">
        <f t="shared" si="206"/>
        <v>0</v>
      </c>
      <c r="AX92" s="7">
        <f t="shared" si="198"/>
        <v>0</v>
      </c>
      <c r="AY92" s="7">
        <f t="shared" si="189"/>
        <v>474941.34211215074</v>
      </c>
      <c r="AZ92" s="7">
        <f t="shared" si="189"/>
        <v>0</v>
      </c>
      <c r="BA92" s="7">
        <f t="shared" si="189"/>
        <v>0</v>
      </c>
      <c r="BB92" s="7">
        <f t="shared" si="146"/>
        <v>474941.34211215074</v>
      </c>
    </row>
    <row r="93" spans="1:54" hidden="1" x14ac:dyDescent="0.25">
      <c r="A93" s="62" t="s">
        <v>75</v>
      </c>
      <c r="B93" s="61">
        <f t="shared" si="199"/>
        <v>0</v>
      </c>
      <c r="C93" s="61">
        <f t="shared" si="199"/>
        <v>38847.644048943272</v>
      </c>
      <c r="D93" s="61">
        <f t="shared" si="199"/>
        <v>0</v>
      </c>
      <c r="E93" s="61">
        <f t="shared" si="199"/>
        <v>0</v>
      </c>
      <c r="F93" s="61">
        <f t="shared" si="199"/>
        <v>38847.644048943272</v>
      </c>
      <c r="H93" s="61">
        <f t="shared" si="200"/>
        <v>0</v>
      </c>
      <c r="I93" s="61">
        <f t="shared" si="200"/>
        <v>47534.859180035659</v>
      </c>
      <c r="J93" s="61">
        <f t="shared" si="200"/>
        <v>0</v>
      </c>
      <c r="K93" s="61">
        <f t="shared" si="200"/>
        <v>0</v>
      </c>
      <c r="L93" s="61">
        <f t="shared" si="200"/>
        <v>47534.859180035659</v>
      </c>
      <c r="N93" s="61">
        <f t="shared" si="201"/>
        <v>0</v>
      </c>
      <c r="O93" s="61">
        <f t="shared" si="201"/>
        <v>39008</v>
      </c>
      <c r="P93" s="61">
        <f t="shared" si="201"/>
        <v>0</v>
      </c>
      <c r="Q93" s="61">
        <f t="shared" si="201"/>
        <v>0</v>
      </c>
      <c r="R93" s="61">
        <f t="shared" si="201"/>
        <v>39008</v>
      </c>
      <c r="T93" s="61">
        <f t="shared" si="202"/>
        <v>0</v>
      </c>
      <c r="U93" s="61">
        <f t="shared" si="202"/>
        <v>66167.339449541279</v>
      </c>
      <c r="V93" s="61">
        <f t="shared" si="202"/>
        <v>0</v>
      </c>
      <c r="W93" s="61">
        <f t="shared" si="202"/>
        <v>0</v>
      </c>
      <c r="X93" s="61">
        <f t="shared" si="202"/>
        <v>66167.339449541279</v>
      </c>
      <c r="Z93" s="61">
        <f t="shared" si="203"/>
        <v>0</v>
      </c>
      <c r="AA93" s="61">
        <f t="shared" si="203"/>
        <v>61672.727272727265</v>
      </c>
      <c r="AB93" s="61">
        <f t="shared" si="203"/>
        <v>0</v>
      </c>
      <c r="AC93" s="61">
        <f t="shared" si="203"/>
        <v>0</v>
      </c>
      <c r="AD93" s="61">
        <f t="shared" si="203"/>
        <v>61672.727272727265</v>
      </c>
      <c r="AF93" s="61">
        <f t="shared" si="204"/>
        <v>0</v>
      </c>
      <c r="AG93" s="61">
        <f t="shared" si="204"/>
        <v>0</v>
      </c>
      <c r="AH93" s="61">
        <f t="shared" si="204"/>
        <v>0</v>
      </c>
      <c r="AI93" s="61">
        <f t="shared" si="204"/>
        <v>0</v>
      </c>
      <c r="AJ93" s="61">
        <f t="shared" si="204"/>
        <v>0</v>
      </c>
      <c r="AL93" s="61">
        <f t="shared" si="205"/>
        <v>0</v>
      </c>
      <c r="AM93" s="61">
        <f t="shared" si="205"/>
        <v>0</v>
      </c>
      <c r="AN93" s="61">
        <f t="shared" si="205"/>
        <v>0</v>
      </c>
      <c r="AO93" s="61">
        <f t="shared" si="205"/>
        <v>0</v>
      </c>
      <c r="AP93" s="61">
        <f t="shared" si="205"/>
        <v>0</v>
      </c>
      <c r="AR93" s="61">
        <f t="shared" si="206"/>
        <v>0</v>
      </c>
      <c r="AS93" s="61">
        <f t="shared" si="206"/>
        <v>0</v>
      </c>
      <c r="AT93" s="61">
        <f t="shared" si="206"/>
        <v>0</v>
      </c>
      <c r="AU93" s="61">
        <f t="shared" si="206"/>
        <v>0</v>
      </c>
      <c r="AV93" s="61">
        <f t="shared" si="206"/>
        <v>0</v>
      </c>
      <c r="AX93" s="7">
        <f t="shared" si="198"/>
        <v>0</v>
      </c>
      <c r="AY93" s="7">
        <f t="shared" si="189"/>
        <v>253230.56995124745</v>
      </c>
      <c r="AZ93" s="7">
        <f t="shared" si="189"/>
        <v>0</v>
      </c>
      <c r="BA93" s="7">
        <f t="shared" si="189"/>
        <v>0</v>
      </c>
      <c r="BB93" s="7">
        <f t="shared" si="146"/>
        <v>253230.56995124745</v>
      </c>
    </row>
    <row r="94" spans="1:54" hidden="1" x14ac:dyDescent="0.25">
      <c r="A94" s="62" t="s">
        <v>76</v>
      </c>
      <c r="B94" s="61">
        <f t="shared" si="199"/>
        <v>0</v>
      </c>
      <c r="C94" s="61">
        <f t="shared" si="199"/>
        <v>58213.161290322576</v>
      </c>
      <c r="D94" s="61">
        <f t="shared" si="199"/>
        <v>0</v>
      </c>
      <c r="E94" s="61">
        <f t="shared" si="199"/>
        <v>0</v>
      </c>
      <c r="F94" s="61">
        <f t="shared" si="199"/>
        <v>58213.161290322576</v>
      </c>
      <c r="H94" s="61">
        <f t="shared" si="200"/>
        <v>0</v>
      </c>
      <c r="I94" s="61">
        <f t="shared" si="200"/>
        <v>134313.78921568629</v>
      </c>
      <c r="J94" s="61">
        <f t="shared" si="200"/>
        <v>0</v>
      </c>
      <c r="K94" s="61">
        <f t="shared" si="200"/>
        <v>0</v>
      </c>
      <c r="L94" s="61">
        <f t="shared" si="200"/>
        <v>134313.78921568629</v>
      </c>
      <c r="N94" s="61">
        <f t="shared" si="201"/>
        <v>0</v>
      </c>
      <c r="O94" s="61">
        <f t="shared" si="201"/>
        <v>58081</v>
      </c>
      <c r="P94" s="61">
        <f t="shared" si="201"/>
        <v>0</v>
      </c>
      <c r="Q94" s="61">
        <f t="shared" si="201"/>
        <v>0</v>
      </c>
      <c r="R94" s="61">
        <f t="shared" si="201"/>
        <v>58081</v>
      </c>
      <c r="T94" s="61">
        <f t="shared" si="202"/>
        <v>0</v>
      </c>
      <c r="U94" s="61">
        <f t="shared" si="202"/>
        <v>31992.297748123437</v>
      </c>
      <c r="V94" s="61">
        <f t="shared" si="202"/>
        <v>0</v>
      </c>
      <c r="W94" s="61">
        <f t="shared" si="202"/>
        <v>0</v>
      </c>
      <c r="X94" s="61">
        <f t="shared" si="202"/>
        <v>31992.297748123437</v>
      </c>
      <c r="Z94" s="61">
        <f t="shared" si="203"/>
        <v>0</v>
      </c>
      <c r="AA94" s="61">
        <f t="shared" si="203"/>
        <v>67096.590909090897</v>
      </c>
      <c r="AB94" s="61">
        <f t="shared" si="203"/>
        <v>0</v>
      </c>
      <c r="AC94" s="61">
        <f t="shared" si="203"/>
        <v>0</v>
      </c>
      <c r="AD94" s="61">
        <f t="shared" si="203"/>
        <v>67096.590909090897</v>
      </c>
      <c r="AF94" s="61">
        <f t="shared" si="204"/>
        <v>0</v>
      </c>
      <c r="AG94" s="61">
        <f t="shared" si="204"/>
        <v>35752.350000000006</v>
      </c>
      <c r="AH94" s="61">
        <f t="shared" si="204"/>
        <v>0</v>
      </c>
      <c r="AI94" s="61">
        <f t="shared" si="204"/>
        <v>0</v>
      </c>
      <c r="AJ94" s="61">
        <f t="shared" si="204"/>
        <v>35752.350000000006</v>
      </c>
      <c r="AL94" s="61">
        <f t="shared" si="205"/>
        <v>0</v>
      </c>
      <c r="AM94" s="61">
        <f t="shared" si="205"/>
        <v>0</v>
      </c>
      <c r="AN94" s="61">
        <f t="shared" si="205"/>
        <v>0</v>
      </c>
      <c r="AO94" s="61">
        <f t="shared" si="205"/>
        <v>0</v>
      </c>
      <c r="AP94" s="61">
        <f t="shared" si="205"/>
        <v>0</v>
      </c>
      <c r="AR94" s="61">
        <f t="shared" si="206"/>
        <v>0</v>
      </c>
      <c r="AS94" s="61">
        <f t="shared" si="206"/>
        <v>16388</v>
      </c>
      <c r="AT94" s="61">
        <f t="shared" si="206"/>
        <v>0</v>
      </c>
      <c r="AU94" s="61">
        <f t="shared" si="206"/>
        <v>0</v>
      </c>
      <c r="AV94" s="61">
        <f t="shared" si="206"/>
        <v>16388</v>
      </c>
      <c r="AX94" s="7">
        <f t="shared" si="198"/>
        <v>0</v>
      </c>
      <c r="AY94" s="7">
        <f t="shared" si="189"/>
        <v>401837.18916322314</v>
      </c>
      <c r="AZ94" s="7">
        <f t="shared" si="189"/>
        <v>0</v>
      </c>
      <c r="BA94" s="7">
        <f t="shared" si="189"/>
        <v>0</v>
      </c>
      <c r="BB94" s="7">
        <f t="shared" si="146"/>
        <v>401837.18916322314</v>
      </c>
    </row>
    <row r="95" spans="1:54" hidden="1" x14ac:dyDescent="0.25">
      <c r="A95" s="62" t="s">
        <v>202</v>
      </c>
      <c r="B95" s="61">
        <f t="shared" si="199"/>
        <v>0</v>
      </c>
      <c r="C95" s="61">
        <f t="shared" si="199"/>
        <v>0</v>
      </c>
      <c r="D95" s="61">
        <f t="shared" si="199"/>
        <v>0</v>
      </c>
      <c r="E95" s="61">
        <f t="shared" si="199"/>
        <v>0</v>
      </c>
      <c r="F95" s="61">
        <f t="shared" si="199"/>
        <v>0</v>
      </c>
      <c r="H95" s="61">
        <f t="shared" si="200"/>
        <v>275000</v>
      </c>
      <c r="I95" s="61">
        <f t="shared" si="200"/>
        <v>0</v>
      </c>
      <c r="J95" s="61">
        <f t="shared" si="200"/>
        <v>0</v>
      </c>
      <c r="K95" s="61">
        <f t="shared" si="200"/>
        <v>0</v>
      </c>
      <c r="L95" s="61">
        <f t="shared" si="200"/>
        <v>275000</v>
      </c>
      <c r="N95" s="61">
        <f t="shared" si="201"/>
        <v>0</v>
      </c>
      <c r="O95" s="61">
        <f t="shared" si="201"/>
        <v>0</v>
      </c>
      <c r="P95" s="61">
        <f t="shared" si="201"/>
        <v>0</v>
      </c>
      <c r="Q95" s="61">
        <f t="shared" si="201"/>
        <v>0</v>
      </c>
      <c r="R95" s="61">
        <f t="shared" si="201"/>
        <v>0</v>
      </c>
      <c r="T95" s="61">
        <f t="shared" si="202"/>
        <v>0</v>
      </c>
      <c r="U95" s="61">
        <f t="shared" si="202"/>
        <v>0</v>
      </c>
      <c r="V95" s="61">
        <f t="shared" si="202"/>
        <v>0</v>
      </c>
      <c r="W95" s="61">
        <f t="shared" si="202"/>
        <v>0</v>
      </c>
      <c r="X95" s="61">
        <f t="shared" si="202"/>
        <v>0</v>
      </c>
      <c r="Z95" s="61">
        <f t="shared" si="203"/>
        <v>0</v>
      </c>
      <c r="AA95" s="61">
        <f t="shared" si="203"/>
        <v>0</v>
      </c>
      <c r="AB95" s="61">
        <f t="shared" si="203"/>
        <v>0</v>
      </c>
      <c r="AC95" s="61">
        <f t="shared" si="203"/>
        <v>0</v>
      </c>
      <c r="AD95" s="61">
        <f t="shared" si="203"/>
        <v>0</v>
      </c>
      <c r="AF95" s="61">
        <f t="shared" si="204"/>
        <v>0</v>
      </c>
      <c r="AG95" s="61">
        <f t="shared" si="204"/>
        <v>0</v>
      </c>
      <c r="AH95" s="61">
        <f t="shared" si="204"/>
        <v>0</v>
      </c>
      <c r="AI95" s="61">
        <f t="shared" si="204"/>
        <v>0</v>
      </c>
      <c r="AJ95" s="61">
        <f t="shared" si="204"/>
        <v>0</v>
      </c>
      <c r="AL95" s="61">
        <f t="shared" si="205"/>
        <v>0</v>
      </c>
      <c r="AM95" s="61">
        <f t="shared" si="205"/>
        <v>0</v>
      </c>
      <c r="AN95" s="61">
        <f t="shared" si="205"/>
        <v>0</v>
      </c>
      <c r="AO95" s="61">
        <f t="shared" si="205"/>
        <v>0</v>
      </c>
      <c r="AP95" s="61">
        <f t="shared" si="205"/>
        <v>0</v>
      </c>
      <c r="AR95" s="61">
        <f t="shared" si="206"/>
        <v>0</v>
      </c>
      <c r="AS95" s="61">
        <f t="shared" si="206"/>
        <v>0</v>
      </c>
      <c r="AT95" s="61">
        <f t="shared" si="206"/>
        <v>0</v>
      </c>
      <c r="AU95" s="61">
        <f t="shared" si="206"/>
        <v>0</v>
      </c>
      <c r="AV95" s="61">
        <f t="shared" si="206"/>
        <v>0</v>
      </c>
      <c r="AX95" s="7">
        <f t="shared" si="198"/>
        <v>275000</v>
      </c>
      <c r="AY95" s="7">
        <f t="shared" si="189"/>
        <v>0</v>
      </c>
      <c r="AZ95" s="7">
        <f t="shared" si="189"/>
        <v>0</v>
      </c>
      <c r="BA95" s="7">
        <f t="shared" si="189"/>
        <v>0</v>
      </c>
      <c r="BB95" s="7">
        <f t="shared" si="146"/>
        <v>275000</v>
      </c>
    </row>
    <row r="96" spans="1:54" hidden="1" x14ac:dyDescent="0.25">
      <c r="A96" s="62" t="s">
        <v>203</v>
      </c>
      <c r="B96" s="61">
        <f t="shared" si="199"/>
        <v>0</v>
      </c>
      <c r="C96" s="61">
        <f t="shared" si="199"/>
        <v>0</v>
      </c>
      <c r="D96" s="61">
        <f t="shared" si="199"/>
        <v>0</v>
      </c>
      <c r="E96" s="61">
        <f t="shared" si="199"/>
        <v>0</v>
      </c>
      <c r="F96" s="61">
        <f t="shared" si="199"/>
        <v>0</v>
      </c>
      <c r="H96" s="61">
        <f t="shared" si="200"/>
        <v>0</v>
      </c>
      <c r="I96" s="61">
        <f t="shared" si="200"/>
        <v>0</v>
      </c>
      <c r="J96" s="61">
        <f t="shared" si="200"/>
        <v>0</v>
      </c>
      <c r="K96" s="61">
        <f t="shared" si="200"/>
        <v>0</v>
      </c>
      <c r="L96" s="61">
        <f t="shared" si="200"/>
        <v>0</v>
      </c>
      <c r="N96" s="61">
        <f t="shared" si="201"/>
        <v>0</v>
      </c>
      <c r="O96" s="61">
        <f t="shared" si="201"/>
        <v>0</v>
      </c>
      <c r="P96" s="61">
        <f t="shared" si="201"/>
        <v>0</v>
      </c>
      <c r="Q96" s="61">
        <f t="shared" si="201"/>
        <v>0</v>
      </c>
      <c r="R96" s="61">
        <f t="shared" si="201"/>
        <v>0</v>
      </c>
      <c r="T96" s="61">
        <f t="shared" si="202"/>
        <v>0</v>
      </c>
      <c r="U96" s="61">
        <f t="shared" si="202"/>
        <v>0</v>
      </c>
      <c r="V96" s="61">
        <f t="shared" si="202"/>
        <v>0</v>
      </c>
      <c r="W96" s="61">
        <f t="shared" si="202"/>
        <v>0</v>
      </c>
      <c r="X96" s="61">
        <f t="shared" si="202"/>
        <v>0</v>
      </c>
      <c r="Z96" s="61">
        <f t="shared" si="203"/>
        <v>0</v>
      </c>
      <c r="AA96" s="61">
        <f t="shared" si="203"/>
        <v>0</v>
      </c>
      <c r="AB96" s="61">
        <f t="shared" si="203"/>
        <v>0</v>
      </c>
      <c r="AC96" s="61">
        <f t="shared" si="203"/>
        <v>0</v>
      </c>
      <c r="AD96" s="61">
        <f t="shared" si="203"/>
        <v>0</v>
      </c>
      <c r="AF96" s="61">
        <f t="shared" si="204"/>
        <v>0</v>
      </c>
      <c r="AG96" s="61">
        <f t="shared" si="204"/>
        <v>0</v>
      </c>
      <c r="AH96" s="61">
        <f t="shared" si="204"/>
        <v>0</v>
      </c>
      <c r="AI96" s="61">
        <f t="shared" si="204"/>
        <v>0</v>
      </c>
      <c r="AJ96" s="61">
        <f t="shared" si="204"/>
        <v>0</v>
      </c>
      <c r="AL96" s="61">
        <f t="shared" si="205"/>
        <v>0</v>
      </c>
      <c r="AM96" s="61">
        <f t="shared" si="205"/>
        <v>0</v>
      </c>
      <c r="AN96" s="61">
        <f t="shared" si="205"/>
        <v>0</v>
      </c>
      <c r="AO96" s="61">
        <f t="shared" si="205"/>
        <v>0</v>
      </c>
      <c r="AP96" s="61">
        <f t="shared" si="205"/>
        <v>0</v>
      </c>
      <c r="AR96" s="61">
        <f t="shared" si="206"/>
        <v>0</v>
      </c>
      <c r="AS96" s="61">
        <f t="shared" si="206"/>
        <v>0</v>
      </c>
      <c r="AT96" s="61">
        <f t="shared" si="206"/>
        <v>0</v>
      </c>
      <c r="AU96" s="61">
        <f t="shared" si="206"/>
        <v>0</v>
      </c>
      <c r="AV96" s="61">
        <f t="shared" si="206"/>
        <v>0</v>
      </c>
      <c r="AX96" s="7">
        <f t="shared" si="198"/>
        <v>0</v>
      </c>
      <c r="AY96" s="7">
        <f t="shared" si="189"/>
        <v>0</v>
      </c>
      <c r="AZ96" s="7">
        <f t="shared" si="189"/>
        <v>0</v>
      </c>
      <c r="BA96" s="7">
        <f t="shared" si="189"/>
        <v>0</v>
      </c>
      <c r="BB96" s="7">
        <f t="shared" si="146"/>
        <v>0</v>
      </c>
    </row>
    <row r="97" spans="1:54" hidden="1" x14ac:dyDescent="0.25">
      <c r="A97" s="62" t="s">
        <v>77</v>
      </c>
      <c r="B97" s="61">
        <f t="shared" si="199"/>
        <v>0</v>
      </c>
      <c r="C97" s="61">
        <f t="shared" si="199"/>
        <v>0</v>
      </c>
      <c r="D97" s="61">
        <f t="shared" si="199"/>
        <v>0</v>
      </c>
      <c r="E97" s="61">
        <f t="shared" si="199"/>
        <v>0</v>
      </c>
      <c r="F97" s="61">
        <f t="shared" si="199"/>
        <v>0</v>
      </c>
      <c r="H97" s="61">
        <f t="shared" si="200"/>
        <v>0</v>
      </c>
      <c r="I97" s="61">
        <f t="shared" si="200"/>
        <v>0</v>
      </c>
      <c r="J97" s="61">
        <f t="shared" si="200"/>
        <v>0</v>
      </c>
      <c r="K97" s="61">
        <f t="shared" si="200"/>
        <v>0</v>
      </c>
      <c r="L97" s="61">
        <f t="shared" si="200"/>
        <v>0</v>
      </c>
      <c r="N97" s="61">
        <f t="shared" si="201"/>
        <v>0</v>
      </c>
      <c r="O97" s="61">
        <f t="shared" si="201"/>
        <v>0</v>
      </c>
      <c r="P97" s="61">
        <f t="shared" si="201"/>
        <v>0</v>
      </c>
      <c r="Q97" s="61">
        <f t="shared" si="201"/>
        <v>0</v>
      </c>
      <c r="R97" s="61">
        <f t="shared" si="201"/>
        <v>0</v>
      </c>
      <c r="T97" s="61">
        <f t="shared" si="202"/>
        <v>0</v>
      </c>
      <c r="U97" s="61">
        <f t="shared" si="202"/>
        <v>0</v>
      </c>
      <c r="V97" s="61">
        <f t="shared" si="202"/>
        <v>0</v>
      </c>
      <c r="W97" s="61">
        <f t="shared" si="202"/>
        <v>0</v>
      </c>
      <c r="X97" s="61">
        <f t="shared" si="202"/>
        <v>0</v>
      </c>
      <c r="Z97" s="61">
        <f t="shared" si="203"/>
        <v>0</v>
      </c>
      <c r="AA97" s="61">
        <f t="shared" si="203"/>
        <v>0</v>
      </c>
      <c r="AB97" s="61">
        <f t="shared" si="203"/>
        <v>0</v>
      </c>
      <c r="AC97" s="61">
        <f t="shared" si="203"/>
        <v>0</v>
      </c>
      <c r="AD97" s="61">
        <f t="shared" si="203"/>
        <v>0</v>
      </c>
      <c r="AF97" s="61">
        <f t="shared" si="204"/>
        <v>0</v>
      </c>
      <c r="AG97" s="61">
        <f t="shared" si="204"/>
        <v>0</v>
      </c>
      <c r="AH97" s="61">
        <f t="shared" si="204"/>
        <v>0</v>
      </c>
      <c r="AI97" s="61">
        <f t="shared" si="204"/>
        <v>0</v>
      </c>
      <c r="AJ97" s="61">
        <f t="shared" si="204"/>
        <v>0</v>
      </c>
      <c r="AL97" s="61">
        <f t="shared" si="205"/>
        <v>0</v>
      </c>
      <c r="AM97" s="61">
        <f t="shared" si="205"/>
        <v>0</v>
      </c>
      <c r="AN97" s="61">
        <f t="shared" si="205"/>
        <v>0</v>
      </c>
      <c r="AO97" s="61">
        <f t="shared" si="205"/>
        <v>0</v>
      </c>
      <c r="AP97" s="61">
        <f t="shared" si="205"/>
        <v>0</v>
      </c>
      <c r="AR97" s="61">
        <f t="shared" si="206"/>
        <v>0</v>
      </c>
      <c r="AS97" s="61">
        <f t="shared" si="206"/>
        <v>0</v>
      </c>
      <c r="AT97" s="61">
        <f t="shared" si="206"/>
        <v>0</v>
      </c>
      <c r="AU97" s="61">
        <f t="shared" si="206"/>
        <v>0</v>
      </c>
      <c r="AV97" s="61">
        <f t="shared" si="206"/>
        <v>0</v>
      </c>
      <c r="AX97" s="7">
        <f t="shared" si="198"/>
        <v>0</v>
      </c>
      <c r="AY97" s="7">
        <f t="shared" si="189"/>
        <v>0</v>
      </c>
      <c r="AZ97" s="7">
        <f t="shared" si="189"/>
        <v>0</v>
      </c>
      <c r="BA97" s="7">
        <f t="shared" si="189"/>
        <v>0</v>
      </c>
      <c r="BB97" s="7">
        <f t="shared" si="146"/>
        <v>0</v>
      </c>
    </row>
    <row r="98" spans="1:54" ht="15.75" hidden="1" thickBot="1" x14ac:dyDescent="0.3">
      <c r="A98" s="65" t="s">
        <v>204</v>
      </c>
      <c r="B98" s="61">
        <f t="shared" si="199"/>
        <v>14120</v>
      </c>
      <c r="C98" s="61">
        <f t="shared" si="199"/>
        <v>720</v>
      </c>
      <c r="D98" s="61">
        <f t="shared" si="199"/>
        <v>2160</v>
      </c>
      <c r="E98" s="61">
        <f t="shared" si="199"/>
        <v>0</v>
      </c>
      <c r="F98" s="61">
        <f t="shared" si="199"/>
        <v>17000</v>
      </c>
      <c r="H98" s="61">
        <f t="shared" si="200"/>
        <v>31280</v>
      </c>
      <c r="I98" s="61">
        <f t="shared" si="200"/>
        <v>1920</v>
      </c>
      <c r="J98" s="61">
        <f t="shared" si="200"/>
        <v>6960</v>
      </c>
      <c r="K98" s="61">
        <f t="shared" si="200"/>
        <v>0</v>
      </c>
      <c r="L98" s="61">
        <f t="shared" si="200"/>
        <v>40160</v>
      </c>
      <c r="N98" s="61">
        <f t="shared" si="201"/>
        <v>14960</v>
      </c>
      <c r="O98" s="61">
        <f t="shared" si="201"/>
        <v>1200</v>
      </c>
      <c r="P98" s="61">
        <f t="shared" si="201"/>
        <v>1999.2</v>
      </c>
      <c r="Q98" s="61">
        <f t="shared" si="201"/>
        <v>0</v>
      </c>
      <c r="R98" s="61">
        <f t="shared" si="201"/>
        <v>18159.2</v>
      </c>
      <c r="T98" s="61">
        <f t="shared" si="202"/>
        <v>17960</v>
      </c>
      <c r="U98" s="61">
        <f t="shared" si="202"/>
        <v>840</v>
      </c>
      <c r="V98" s="61">
        <f t="shared" si="202"/>
        <v>3201.6</v>
      </c>
      <c r="W98" s="61">
        <f t="shared" si="202"/>
        <v>0</v>
      </c>
      <c r="X98" s="61">
        <f t="shared" si="202"/>
        <v>22001.599999999999</v>
      </c>
      <c r="Z98" s="61">
        <f t="shared" si="203"/>
        <v>29600</v>
      </c>
      <c r="AA98" s="61">
        <f t="shared" si="203"/>
        <v>1320</v>
      </c>
      <c r="AB98" s="61">
        <f t="shared" si="203"/>
        <v>5479.2</v>
      </c>
      <c r="AC98" s="61">
        <f t="shared" si="203"/>
        <v>0</v>
      </c>
      <c r="AD98" s="61">
        <f t="shared" si="203"/>
        <v>36399.199999999997</v>
      </c>
      <c r="AF98" s="61">
        <f t="shared" si="204"/>
        <v>12080</v>
      </c>
      <c r="AG98" s="61">
        <f t="shared" si="204"/>
        <v>360</v>
      </c>
      <c r="AH98" s="61">
        <f t="shared" si="204"/>
        <v>2040</v>
      </c>
      <c r="AI98" s="61">
        <f t="shared" si="204"/>
        <v>240</v>
      </c>
      <c r="AJ98" s="61">
        <f t="shared" si="204"/>
        <v>14720</v>
      </c>
      <c r="AL98" s="61">
        <f t="shared" si="205"/>
        <v>2720</v>
      </c>
      <c r="AM98" s="61">
        <f t="shared" si="205"/>
        <v>120</v>
      </c>
      <c r="AN98" s="61">
        <f t="shared" si="205"/>
        <v>0</v>
      </c>
      <c r="AO98" s="61">
        <f t="shared" si="205"/>
        <v>0</v>
      </c>
      <c r="AP98" s="61">
        <f t="shared" si="205"/>
        <v>2840</v>
      </c>
      <c r="AR98" s="61">
        <f t="shared" si="206"/>
        <v>2240</v>
      </c>
      <c r="AS98" s="61">
        <f t="shared" si="206"/>
        <v>0</v>
      </c>
      <c r="AT98" s="61">
        <f t="shared" si="206"/>
        <v>480</v>
      </c>
      <c r="AU98" s="61">
        <f t="shared" si="206"/>
        <v>0</v>
      </c>
      <c r="AV98" s="61">
        <f t="shared" si="206"/>
        <v>2720</v>
      </c>
      <c r="AX98" s="7">
        <f t="shared" si="198"/>
        <v>124960</v>
      </c>
      <c r="AY98" s="7">
        <f t="shared" si="189"/>
        <v>6480</v>
      </c>
      <c r="AZ98" s="7">
        <f t="shared" si="189"/>
        <v>22320</v>
      </c>
      <c r="BA98" s="7">
        <f t="shared" si="189"/>
        <v>240</v>
      </c>
      <c r="BB98" s="7">
        <f t="shared" si="146"/>
        <v>154000</v>
      </c>
    </row>
    <row r="99" spans="1:54" ht="15.75" hidden="1" thickBot="1" x14ac:dyDescent="0.3">
      <c r="A99" s="67" t="s">
        <v>81</v>
      </c>
      <c r="B99" s="68">
        <f>SUM(B87:B98)</f>
        <v>7019004.0839119991</v>
      </c>
      <c r="C99" s="68">
        <f>SUM(C87:C98)</f>
        <v>123315.17686318132</v>
      </c>
      <c r="D99" s="68"/>
      <c r="E99" s="68">
        <f t="shared" ref="E99:F99" si="207">SUM(E87:E98)</f>
        <v>224078.40000000002</v>
      </c>
      <c r="F99" s="68">
        <f t="shared" si="207"/>
        <v>7716980.7975938683</v>
      </c>
      <c r="H99" s="68">
        <f>SUM(H87:H98)</f>
        <v>18409714.400622997</v>
      </c>
      <c r="I99" s="68">
        <f>SUM(I87:I98)</f>
        <v>241931.36898395725</v>
      </c>
      <c r="J99" s="68"/>
      <c r="K99" s="68">
        <f t="shared" ref="K99:L99" si="208">SUM(K87:K98)</f>
        <v>609588</v>
      </c>
      <c r="L99" s="68">
        <f t="shared" si="208"/>
        <v>20328123.248216584</v>
      </c>
      <c r="N99" s="68">
        <f>SUM(N87:N98)</f>
        <v>7618552.1252719993</v>
      </c>
      <c r="O99" s="68">
        <f>SUM(O87:O98)</f>
        <v>127719</v>
      </c>
      <c r="P99" s="68"/>
      <c r="Q99" s="68">
        <f t="shared" ref="Q99:R99" si="209">SUM(Q87:Q98)</f>
        <v>192024</v>
      </c>
      <c r="R99" s="68">
        <f t="shared" si="209"/>
        <v>8195594.3252719995</v>
      </c>
      <c r="T99" s="68">
        <f>SUM(T87:T98)</f>
        <v>9110838.3781549986</v>
      </c>
      <c r="U99" s="68">
        <f>SUM(U87:U98)</f>
        <v>112254.18265221018</v>
      </c>
      <c r="V99" s="68"/>
      <c r="W99" s="68">
        <f t="shared" ref="W99:X99" si="210">SUM(W87:W98)</f>
        <v>114817.5</v>
      </c>
      <c r="X99" s="68">
        <f t="shared" si="210"/>
        <v>9718683.8042600863</v>
      </c>
      <c r="Z99" s="68">
        <f>SUM(Z87:Z98)</f>
        <v>17803744.977874998</v>
      </c>
      <c r="AA99" s="68">
        <f>SUM(AA87:AA98)</f>
        <v>172822.27272727271</v>
      </c>
      <c r="AB99" s="68"/>
      <c r="AC99" s="68">
        <f t="shared" ref="AC99:AD99" si="211">SUM(AC87:AC98)</f>
        <v>359100</v>
      </c>
      <c r="AD99" s="68">
        <f t="shared" si="211"/>
        <v>19011544.177874994</v>
      </c>
      <c r="AF99" s="68">
        <f>SUM(AF87:AF98)</f>
        <v>6111418.1713549988</v>
      </c>
      <c r="AG99" s="68">
        <f>SUM(AG87:AG98)</f>
        <v>341939.1</v>
      </c>
      <c r="AH99" s="68"/>
      <c r="AI99" s="68">
        <f t="shared" ref="AI99:AJ99" si="212">SUM(AI87:AI98)</f>
        <v>357014.39999999997</v>
      </c>
      <c r="AJ99" s="68">
        <f t="shared" si="212"/>
        <v>7079441.6713549988</v>
      </c>
      <c r="AL99" s="68">
        <f>SUM(AL87:AL98)</f>
        <v>2720</v>
      </c>
      <c r="AM99" s="68">
        <f>SUM(AM87:AM98)</f>
        <v>120</v>
      </c>
      <c r="AN99" s="68"/>
      <c r="AO99" s="68">
        <f t="shared" ref="AO99:AP99" si="213">SUM(AO87:AO98)</f>
        <v>0</v>
      </c>
      <c r="AP99" s="68">
        <f t="shared" si="213"/>
        <v>2840</v>
      </c>
      <c r="AR99" s="68">
        <f>SUM(AR87:AR98)</f>
        <v>1829490</v>
      </c>
      <c r="AS99" s="68">
        <f>SUM(AS87:AS98)</f>
        <v>16388</v>
      </c>
      <c r="AT99" s="68"/>
      <c r="AU99" s="68">
        <f t="shared" ref="AU99:AV99" si="214">SUM(AU87:AU98)</f>
        <v>58500</v>
      </c>
      <c r="AV99" s="68">
        <f t="shared" si="214"/>
        <v>1962658</v>
      </c>
      <c r="AX99" s="68">
        <f>SUM(AX87:AX98)</f>
        <v>67905482.137191981</v>
      </c>
      <c r="AY99" s="68">
        <f>SUM(AY87:AY98)</f>
        <v>1136489.1012266213</v>
      </c>
      <c r="AZ99" s="68"/>
      <c r="BA99" s="68">
        <f t="shared" ref="BA99:BB99" si="215">SUM(BA87:BA98)</f>
        <v>1915122.2999999998</v>
      </c>
      <c r="BB99" s="68">
        <f t="shared" si="215"/>
        <v>74015866.024572521</v>
      </c>
    </row>
    <row r="100" spans="1:54" x14ac:dyDescent="0.25">
      <c r="A100" s="70"/>
      <c r="B100" s="55"/>
      <c r="C100" s="55"/>
      <c r="D100" s="55"/>
      <c r="E100" s="55"/>
      <c r="F100" s="55"/>
      <c r="H100" s="55"/>
      <c r="I100" s="55"/>
      <c r="J100" s="55"/>
      <c r="K100" s="55"/>
      <c r="L100" s="55"/>
      <c r="N100" s="55"/>
      <c r="O100" s="55"/>
      <c r="P100" s="55"/>
      <c r="Q100" s="55"/>
      <c r="R100" s="55"/>
      <c r="T100" s="55"/>
      <c r="U100" s="55"/>
      <c r="V100" s="55"/>
      <c r="W100" s="55"/>
      <c r="X100" s="55"/>
      <c r="Z100" s="55"/>
      <c r="AA100" s="55"/>
      <c r="AB100" s="55"/>
      <c r="AC100" s="55"/>
      <c r="AD100" s="55"/>
      <c r="AF100" s="55"/>
      <c r="AG100" s="55"/>
      <c r="AH100" s="55"/>
      <c r="AI100" s="55"/>
      <c r="AJ100" s="55"/>
      <c r="AL100" s="55"/>
      <c r="AM100" s="55"/>
      <c r="AN100" s="55"/>
      <c r="AO100" s="55"/>
      <c r="AP100" s="55"/>
      <c r="AR100" s="55"/>
      <c r="AS100" s="55"/>
      <c r="AT100" s="55"/>
      <c r="AU100" s="55"/>
      <c r="AV100" s="55"/>
      <c r="AX100" s="55"/>
      <c r="AY100" s="55"/>
      <c r="AZ100" s="55"/>
      <c r="BA100" s="55"/>
      <c r="BB100" s="55"/>
    </row>
    <row r="101" spans="1:54" ht="15.75" thickBot="1" x14ac:dyDescent="0.3">
      <c r="A101" s="73" t="s">
        <v>82</v>
      </c>
      <c r="B101" s="74" t="str">
        <f>B1</f>
        <v>Operating</v>
      </c>
      <c r="C101" s="74" t="str">
        <f>C1</f>
        <v>Weights</v>
      </c>
      <c r="D101" s="74" t="str">
        <f>D1</f>
        <v>SPED</v>
      </c>
      <c r="E101" s="74" t="str">
        <f t="shared" ref="E101:F101" si="216">E1</f>
        <v>NSLP</v>
      </c>
      <c r="F101" s="74" t="str">
        <f t="shared" si="216"/>
        <v>Horizon</v>
      </c>
      <c r="H101" s="74" t="str">
        <f>H1</f>
        <v>Operating</v>
      </c>
      <c r="I101" s="74" t="str">
        <f>I1</f>
        <v>Weights</v>
      </c>
      <c r="J101" s="74" t="str">
        <f>J1</f>
        <v>SPED</v>
      </c>
      <c r="K101" s="74" t="str">
        <f t="shared" ref="K101:L101" si="217">K1</f>
        <v>NSLP</v>
      </c>
      <c r="L101" s="74" t="str">
        <f t="shared" si="217"/>
        <v>Cadence</v>
      </c>
      <c r="N101" s="74" t="str">
        <f>N1</f>
        <v>Operating</v>
      </c>
      <c r="O101" s="74" t="str">
        <f>O1</f>
        <v>Weights</v>
      </c>
      <c r="P101" s="74" t="str">
        <f>P1</f>
        <v>SPED</v>
      </c>
      <c r="Q101" s="74" t="str">
        <f t="shared" ref="Q101:R101" si="218">Q1</f>
        <v>NSLP</v>
      </c>
      <c r="R101" s="74" t="str">
        <f t="shared" si="218"/>
        <v>St. Rose</v>
      </c>
      <c r="T101" s="74" t="str">
        <f>T1</f>
        <v>Operating</v>
      </c>
      <c r="U101" s="74" t="str">
        <f>U1</f>
        <v>Weights</v>
      </c>
      <c r="V101" s="74" t="str">
        <f>V1</f>
        <v>SPED</v>
      </c>
      <c r="W101" s="74" t="str">
        <f t="shared" ref="W101:X101" si="219">W1</f>
        <v>NSLP</v>
      </c>
      <c r="X101" s="74" t="str">
        <f t="shared" si="219"/>
        <v>Inspirada</v>
      </c>
      <c r="Z101" s="74" t="str">
        <f>Z1</f>
        <v>Operating</v>
      </c>
      <c r="AA101" s="74" t="str">
        <f>AA1</f>
        <v>Weights</v>
      </c>
      <c r="AB101" s="74" t="str">
        <f>AB1</f>
        <v>SPED</v>
      </c>
      <c r="AC101" s="74" t="str">
        <f t="shared" ref="AC101:AD101" si="220">AC1</f>
        <v>NSLP</v>
      </c>
      <c r="AD101" s="74" t="str">
        <f t="shared" si="220"/>
        <v>Sloan Canyon</v>
      </c>
      <c r="AF101" s="74" t="str">
        <f>AF1</f>
        <v>Operating</v>
      </c>
      <c r="AG101" s="74" t="str">
        <f>AG1</f>
        <v>Weights</v>
      </c>
      <c r="AH101" s="74" t="str">
        <f>AH1</f>
        <v>SPED</v>
      </c>
      <c r="AI101" s="74" t="str">
        <f t="shared" ref="AI101:AJ101" si="221">AI1</f>
        <v>NSLP</v>
      </c>
      <c r="AJ101" s="74" t="str">
        <f t="shared" si="221"/>
        <v>Springs</v>
      </c>
      <c r="AL101" s="74" t="str">
        <f>AL1</f>
        <v>Operating</v>
      </c>
      <c r="AM101" s="74" t="str">
        <f>AM1</f>
        <v>Weights</v>
      </c>
      <c r="AN101" s="74" t="str">
        <f>AN1</f>
        <v>SPED</v>
      </c>
      <c r="AO101" s="74" t="str">
        <f t="shared" ref="AO101:AP101" si="222">AO1</f>
        <v>NSLP</v>
      </c>
      <c r="AP101" s="74" t="str">
        <f t="shared" si="222"/>
        <v>System Wide</v>
      </c>
      <c r="AR101" s="74" t="str">
        <f>AR1</f>
        <v>Operating</v>
      </c>
      <c r="AS101" s="74" t="str">
        <f>AS1</f>
        <v>Weights</v>
      </c>
      <c r="AT101" s="74" t="str">
        <f>AT1</f>
        <v>SPED</v>
      </c>
      <c r="AU101" s="74" t="str">
        <f t="shared" ref="AU101:AV101" si="223">AU1</f>
        <v>NSLP</v>
      </c>
      <c r="AV101" s="74" t="str">
        <f t="shared" si="223"/>
        <v>Virtual</v>
      </c>
      <c r="AX101" s="74" t="str">
        <f>AX1</f>
        <v>Operating</v>
      </c>
      <c r="AY101" s="74" t="str">
        <f>AY1</f>
        <v>Weights</v>
      </c>
      <c r="AZ101" s="74" t="str">
        <f>AZ1</f>
        <v>SPED</v>
      </c>
      <c r="BA101" s="74" t="str">
        <f t="shared" ref="BA101:BB101" si="224">BA1</f>
        <v>NSLP</v>
      </c>
      <c r="BB101" s="74" t="str">
        <f t="shared" si="224"/>
        <v>Pinecrest System</v>
      </c>
    </row>
    <row r="102" spans="1:54" x14ac:dyDescent="0.25">
      <c r="A102" s="76" t="s">
        <v>83</v>
      </c>
      <c r="B102" s="77"/>
      <c r="C102" s="77"/>
      <c r="D102" s="77"/>
      <c r="E102" s="77"/>
      <c r="F102" s="77"/>
      <c r="H102" s="77"/>
      <c r="I102" s="77"/>
      <c r="J102" s="77"/>
      <c r="K102" s="77"/>
      <c r="L102" s="77"/>
      <c r="N102" s="77"/>
      <c r="O102" s="77"/>
      <c r="P102" s="77"/>
      <c r="Q102" s="77"/>
      <c r="R102" s="77"/>
      <c r="T102" s="77"/>
      <c r="U102" s="77"/>
      <c r="V102" s="77"/>
      <c r="W102" s="77"/>
      <c r="X102" s="77"/>
      <c r="Z102" s="77"/>
      <c r="AA102" s="77"/>
      <c r="AB102" s="77"/>
      <c r="AC102" s="77"/>
      <c r="AD102" s="77"/>
      <c r="AF102" s="77"/>
      <c r="AG102" s="77"/>
      <c r="AH102" s="77"/>
      <c r="AI102" s="77"/>
      <c r="AJ102" s="77"/>
      <c r="AL102" s="77"/>
      <c r="AM102" s="77"/>
      <c r="AN102" s="77"/>
      <c r="AO102" s="77"/>
      <c r="AP102" s="77"/>
      <c r="AR102" s="77"/>
      <c r="AS102" s="77"/>
      <c r="AT102" s="77"/>
      <c r="AU102" s="77"/>
      <c r="AV102" s="77"/>
      <c r="AX102" s="77"/>
      <c r="AY102" s="77"/>
      <c r="AZ102" s="77"/>
      <c r="BA102" s="77"/>
      <c r="BB102" s="77"/>
    </row>
    <row r="103" spans="1:54" x14ac:dyDescent="0.25">
      <c r="A103" s="62" t="s">
        <v>41</v>
      </c>
      <c r="B103" s="15">
        <f>'FY24'!B103*1.02</f>
        <v>122038.92</v>
      </c>
      <c r="C103" s="15">
        <f>'FY24'!C103*1.02</f>
        <v>0</v>
      </c>
      <c r="D103" s="7"/>
      <c r="E103" s="7"/>
      <c r="F103" s="7">
        <f t="shared" ref="F103:F115" si="225">SUM(B103:E103)</f>
        <v>122038.92</v>
      </c>
      <c r="H103" s="15">
        <f>'FY24'!H103*1.02</f>
        <v>143794.21460400001</v>
      </c>
      <c r="I103" s="15">
        <f>'FY24'!I103*1.02</f>
        <v>0</v>
      </c>
      <c r="J103" s="7"/>
      <c r="K103" s="7"/>
      <c r="L103" s="7">
        <f t="shared" ref="L103:L115" si="226">SUM(H103:K103)</f>
        <v>143794.21460400001</v>
      </c>
      <c r="N103" s="15">
        <f>'FY24'!N103*1.02</f>
        <v>118855.296</v>
      </c>
      <c r="O103" s="15">
        <f>'FY24'!O103*1.02</f>
        <v>0</v>
      </c>
      <c r="P103" s="7"/>
      <c r="Q103" s="7"/>
      <c r="R103" s="7">
        <f t="shared" ref="R103:R115" si="227">SUM(N103:Q103)</f>
        <v>118855.296</v>
      </c>
      <c r="T103" s="15">
        <f>'FY24'!T103*1.02</f>
        <v>152293.75200000001</v>
      </c>
      <c r="U103" s="15">
        <f>'FY24'!U103*1.02</f>
        <v>0</v>
      </c>
      <c r="V103" s="7"/>
      <c r="W103" s="7"/>
      <c r="X103" s="7">
        <f t="shared" ref="X103:X115" si="228">SUM(T103:W103)</f>
        <v>152293.75200000001</v>
      </c>
      <c r="Z103" s="15">
        <f>'FY24'!Z103*1.02</f>
        <v>143316.67100400003</v>
      </c>
      <c r="AA103" s="15">
        <f>'FY24'!AA103*1.02</f>
        <v>0</v>
      </c>
      <c r="AB103" s="15">
        <f>'FY24'!AB103*1.02</f>
        <v>0</v>
      </c>
      <c r="AC103" s="15">
        <f>'FY24'!AC103*1.02</f>
        <v>0</v>
      </c>
      <c r="AD103" s="7">
        <f t="shared" ref="AD103:AD115" si="229">SUM(Z103:AC103)</f>
        <v>143316.67100400003</v>
      </c>
      <c r="AF103" s="15">
        <f>'FY24'!AF103*1.02</f>
        <v>112200</v>
      </c>
      <c r="AG103" s="15">
        <f>'FY24'!AG103*1.02</f>
        <v>0</v>
      </c>
      <c r="AH103" s="7"/>
      <c r="AI103" s="7"/>
      <c r="AJ103" s="7">
        <f t="shared" ref="AJ103:AJ115" si="230">SUM(AF103:AI103)</f>
        <v>112200</v>
      </c>
      <c r="AL103" s="15">
        <f>'FY24'!AL103*1.02</f>
        <v>0</v>
      </c>
      <c r="AM103" s="15">
        <f>'FY24'!AM103*1.02</f>
        <v>0</v>
      </c>
      <c r="AN103" s="15">
        <v>0</v>
      </c>
      <c r="AO103" s="15">
        <v>0</v>
      </c>
      <c r="AP103" s="7">
        <f t="shared" ref="AP103:AP115" si="231">SUM(AL103:AO103)</f>
        <v>0</v>
      </c>
      <c r="AR103" s="15">
        <v>0</v>
      </c>
      <c r="AS103" s="7"/>
      <c r="AT103" s="7"/>
      <c r="AU103" s="7"/>
      <c r="AV103" s="7">
        <f t="shared" ref="AV103:AV115" si="232">SUM(AR103:AU103)</f>
        <v>0</v>
      </c>
      <c r="AX103" s="7">
        <f>B103+H103+N103+T103+Z103+AF103+AL103+AR103</f>
        <v>792498.85360799998</v>
      </c>
      <c r="AY103" s="7">
        <f t="shared" ref="AY103:BA115" si="233">C103+I103+O103+U103+AA103+AG103+AM103+AS103</f>
        <v>0</v>
      </c>
      <c r="AZ103" s="7">
        <f t="shared" si="233"/>
        <v>0</v>
      </c>
      <c r="BA103" s="7">
        <f t="shared" si="233"/>
        <v>0</v>
      </c>
      <c r="BB103" s="7">
        <f t="shared" ref="BB103:BB115" si="234">SUM(AX103:BA103)</f>
        <v>792498.85360799998</v>
      </c>
    </row>
    <row r="104" spans="1:54" x14ac:dyDescent="0.25">
      <c r="A104" s="62" t="s">
        <v>84</v>
      </c>
      <c r="B104" s="15">
        <f>'FY24'!B104*1.02</f>
        <v>163921.36144607997</v>
      </c>
      <c r="C104" s="15">
        <f>'FY24'!C104*1.02</f>
        <v>74284.56</v>
      </c>
      <c r="D104" s="7"/>
      <c r="E104" s="7"/>
      <c r="F104" s="7">
        <f t="shared" si="225"/>
        <v>238205.92144607997</v>
      </c>
      <c r="H104" s="15">
        <f>'FY24'!H104*1.02</f>
        <v>338389.94185920001</v>
      </c>
      <c r="I104" s="15">
        <f>'FY24'!I104*1.02</f>
        <v>0</v>
      </c>
      <c r="J104" s="7"/>
      <c r="K104" s="7"/>
      <c r="L104" s="7">
        <f t="shared" si="226"/>
        <v>338389.94185920001</v>
      </c>
      <c r="N104" s="15">
        <f>'FY24'!N104*1.02</f>
        <v>168859.41696</v>
      </c>
      <c r="O104" s="15">
        <f>'FY24'!O104*1.02</f>
        <v>0</v>
      </c>
      <c r="P104" s="7"/>
      <c r="Q104" s="7"/>
      <c r="R104" s="7">
        <f t="shared" si="227"/>
        <v>168859.41696</v>
      </c>
      <c r="T104" s="15">
        <f>'FY24'!T104*1.02</f>
        <v>184235.36579280003</v>
      </c>
      <c r="U104" s="15">
        <f>'FY24'!U104*1.02</f>
        <v>0</v>
      </c>
      <c r="V104" s="7"/>
      <c r="W104" s="7"/>
      <c r="X104" s="7">
        <f t="shared" si="228"/>
        <v>184235.36579280003</v>
      </c>
      <c r="Z104" s="15">
        <f>'FY24'!Z104*1.02</f>
        <v>240608.43268559998</v>
      </c>
      <c r="AA104" s="15">
        <f>'FY24'!AA104*1.02</f>
        <v>0</v>
      </c>
      <c r="AB104" s="15">
        <f>'FY24'!AB104*1.02</f>
        <v>93636</v>
      </c>
      <c r="AC104" s="15">
        <f>'FY24'!AC104*1.02</f>
        <v>0</v>
      </c>
      <c r="AD104" s="7">
        <f t="shared" si="229"/>
        <v>334244.43268560001</v>
      </c>
      <c r="AF104" s="15">
        <f>'FY24'!AF104*1.02+75000</f>
        <v>151500</v>
      </c>
      <c r="AG104" s="15">
        <f>'FY24'!AG104*1.02</f>
        <v>0</v>
      </c>
      <c r="AH104" s="7"/>
      <c r="AI104" s="7"/>
      <c r="AJ104" s="7">
        <f t="shared" si="230"/>
        <v>151500</v>
      </c>
      <c r="AL104" s="15">
        <f>'FY24'!AL104*1.02</f>
        <v>0</v>
      </c>
      <c r="AM104" s="15">
        <f>'FY24'!AM104*1.02</f>
        <v>0</v>
      </c>
      <c r="AN104" s="15">
        <v>0</v>
      </c>
      <c r="AO104" s="15">
        <v>0</v>
      </c>
      <c r="AP104" s="7">
        <f t="shared" si="231"/>
        <v>0</v>
      </c>
      <c r="AR104" s="15">
        <v>0</v>
      </c>
      <c r="AS104" s="7"/>
      <c r="AT104" s="7"/>
      <c r="AU104" s="7"/>
      <c r="AV104" s="7">
        <f t="shared" si="232"/>
        <v>0</v>
      </c>
      <c r="AX104" s="7">
        <f t="shared" ref="AX104:AX115" si="235">B104+H104+N104+T104+Z104+AF104+AL104+AR104</f>
        <v>1247514.5187436799</v>
      </c>
      <c r="AY104" s="7">
        <f t="shared" si="233"/>
        <v>74284.56</v>
      </c>
      <c r="AZ104" s="7">
        <f t="shared" si="233"/>
        <v>93636</v>
      </c>
      <c r="BA104" s="7">
        <f t="shared" si="233"/>
        <v>0</v>
      </c>
      <c r="BB104" s="7">
        <f t="shared" si="234"/>
        <v>1415435.0787436799</v>
      </c>
    </row>
    <row r="105" spans="1:54" x14ac:dyDescent="0.25">
      <c r="A105" s="62" t="s">
        <v>45</v>
      </c>
      <c r="B105" s="15">
        <f>'FY24'!B105*1.02</f>
        <v>0</v>
      </c>
      <c r="C105" s="15">
        <f>'FY24'!C105*1.02</f>
        <v>0</v>
      </c>
      <c r="D105" s="7"/>
      <c r="E105" s="7"/>
      <c r="F105" s="7">
        <f t="shared" si="225"/>
        <v>0</v>
      </c>
      <c r="H105" s="15">
        <f>'FY24'!H105*1.02</f>
        <v>65920.118543999997</v>
      </c>
      <c r="I105" s="15">
        <f>'FY24'!I105*1.02</f>
        <v>0</v>
      </c>
      <c r="J105" s="7"/>
      <c r="K105" s="7"/>
      <c r="L105" s="7">
        <f t="shared" si="226"/>
        <v>65920.118543999997</v>
      </c>
      <c r="N105" s="15">
        <f>'FY24'!N105*1.02</f>
        <v>0</v>
      </c>
      <c r="O105" s="15">
        <f>'FY24'!O105*1.02</f>
        <v>0</v>
      </c>
      <c r="P105" s="7"/>
      <c r="Q105" s="7"/>
      <c r="R105" s="7">
        <f t="shared" si="227"/>
        <v>0</v>
      </c>
      <c r="T105" s="15">
        <f>'FY24'!T105*1.02</f>
        <v>77935.115520000007</v>
      </c>
      <c r="U105" s="15">
        <f>'FY24'!U105*1.02</f>
        <v>0</v>
      </c>
      <c r="V105" s="7"/>
      <c r="W105" s="7"/>
      <c r="X105" s="7">
        <f t="shared" si="228"/>
        <v>77935.115520000007</v>
      </c>
      <c r="Z105" s="15">
        <f>'FY24'!Z105*1.02</f>
        <v>63614.538043200009</v>
      </c>
      <c r="AA105" s="15">
        <f>'FY24'!AA105*1.02</f>
        <v>0</v>
      </c>
      <c r="AB105" s="15">
        <f>'FY24'!AB105*1.02</f>
        <v>0</v>
      </c>
      <c r="AC105" s="15">
        <f>'FY24'!AC105*1.02</f>
        <v>0</v>
      </c>
      <c r="AD105" s="7">
        <f t="shared" si="229"/>
        <v>63614.538043200009</v>
      </c>
      <c r="AF105" s="15">
        <f>'FY24'!AF105*1.02</f>
        <v>0</v>
      </c>
      <c r="AG105" s="15">
        <f>'FY24'!AG105*1.02</f>
        <v>0</v>
      </c>
      <c r="AH105" s="7"/>
      <c r="AI105" s="7"/>
      <c r="AJ105" s="7">
        <f t="shared" si="230"/>
        <v>0</v>
      </c>
      <c r="AL105" s="15">
        <f>'FY24'!AL105*1.02</f>
        <v>75770.251199999999</v>
      </c>
      <c r="AM105" s="15">
        <f>'FY24'!AM105*1.02</f>
        <v>0</v>
      </c>
      <c r="AN105" s="15">
        <v>0</v>
      </c>
      <c r="AO105" s="15">
        <v>0</v>
      </c>
      <c r="AP105" s="7">
        <f t="shared" si="231"/>
        <v>75770.251199999999</v>
      </c>
      <c r="AR105" s="7">
        <f>(60000*1.015*1.02)*AR46</f>
        <v>0</v>
      </c>
      <c r="AS105" s="15"/>
      <c r="AT105" s="7"/>
      <c r="AU105" s="7"/>
      <c r="AV105" s="7">
        <f t="shared" si="232"/>
        <v>0</v>
      </c>
      <c r="AX105" s="7">
        <f t="shared" si="235"/>
        <v>283240.02330720006</v>
      </c>
      <c r="AY105" s="7">
        <f t="shared" si="233"/>
        <v>0</v>
      </c>
      <c r="AZ105" s="7">
        <f t="shared" si="233"/>
        <v>0</v>
      </c>
      <c r="BA105" s="7">
        <f t="shared" si="233"/>
        <v>0</v>
      </c>
      <c r="BB105" s="7">
        <f t="shared" si="234"/>
        <v>283240.02330720006</v>
      </c>
    </row>
    <row r="106" spans="1:54" x14ac:dyDescent="0.25">
      <c r="A106" s="62" t="s">
        <v>210</v>
      </c>
      <c r="B106" s="15">
        <f>'FY24'!B106*1.02</f>
        <v>0</v>
      </c>
      <c r="C106" s="15">
        <f>'FY24'!C106*1.02</f>
        <v>0</v>
      </c>
      <c r="D106" s="7"/>
      <c r="E106" s="7"/>
      <c r="F106" s="7">
        <f t="shared" si="225"/>
        <v>0</v>
      </c>
      <c r="H106" s="15">
        <f>'FY24'!H106*1.02</f>
        <v>0</v>
      </c>
      <c r="I106" s="15">
        <f>'FY24'!I106*1.02</f>
        <v>0</v>
      </c>
      <c r="J106" s="7"/>
      <c r="K106" s="7"/>
      <c r="L106" s="7">
        <f t="shared" si="226"/>
        <v>0</v>
      </c>
      <c r="N106" s="15">
        <f>'FY24'!N106*1.02</f>
        <v>0</v>
      </c>
      <c r="O106" s="15">
        <f>'FY24'!O106*1.02</f>
        <v>59533.768800000005</v>
      </c>
      <c r="P106" s="7"/>
      <c r="Q106" s="7"/>
      <c r="R106" s="7">
        <f t="shared" si="227"/>
        <v>59533.768800000005</v>
      </c>
      <c r="T106" s="15">
        <f>'FY24'!T106*1.02</f>
        <v>0</v>
      </c>
      <c r="U106" s="15">
        <f>'FY24'!U106*1.02</f>
        <v>0</v>
      </c>
      <c r="V106" s="7"/>
      <c r="W106" s="7"/>
      <c r="X106" s="7">
        <f t="shared" si="228"/>
        <v>0</v>
      </c>
      <c r="Z106" s="15">
        <f>'FY24'!Z106*1.02</f>
        <v>0</v>
      </c>
      <c r="AA106" s="15">
        <f>'FY24'!AA106*1.02</f>
        <v>0</v>
      </c>
      <c r="AB106" s="15">
        <f>'FY24'!AB106*1.02</f>
        <v>0</v>
      </c>
      <c r="AC106" s="15">
        <f>'FY24'!AC106*1.02</f>
        <v>0</v>
      </c>
      <c r="AD106" s="7">
        <f t="shared" si="229"/>
        <v>0</v>
      </c>
      <c r="AF106" s="15">
        <v>0</v>
      </c>
      <c r="AG106" s="15">
        <f>'FY24'!AG106*1.02</f>
        <v>66300</v>
      </c>
      <c r="AH106" s="7"/>
      <c r="AI106" s="7"/>
      <c r="AJ106" s="7">
        <f t="shared" si="230"/>
        <v>66300</v>
      </c>
      <c r="AL106" s="15">
        <f>'FY24'!AL106*1.02</f>
        <v>0</v>
      </c>
      <c r="AM106" s="15">
        <f>'FY24'!AM106*1.02</f>
        <v>0</v>
      </c>
      <c r="AN106" s="15">
        <v>0</v>
      </c>
      <c r="AO106" s="15">
        <v>0</v>
      </c>
      <c r="AP106" s="7">
        <f t="shared" si="231"/>
        <v>0</v>
      </c>
      <c r="AR106" s="15">
        <v>0</v>
      </c>
      <c r="AS106" s="15"/>
      <c r="AT106" s="7"/>
      <c r="AU106" s="7"/>
      <c r="AV106" s="7">
        <f t="shared" si="232"/>
        <v>0</v>
      </c>
      <c r="AX106" s="7">
        <f t="shared" si="235"/>
        <v>0</v>
      </c>
      <c r="AY106" s="7">
        <f t="shared" si="233"/>
        <v>125833.76880000001</v>
      </c>
      <c r="AZ106" s="7">
        <f t="shared" si="233"/>
        <v>0</v>
      </c>
      <c r="BA106" s="7">
        <f t="shared" si="233"/>
        <v>0</v>
      </c>
      <c r="BB106" s="7">
        <f t="shared" si="234"/>
        <v>125833.76880000001</v>
      </c>
    </row>
    <row r="107" spans="1:54" x14ac:dyDescent="0.25">
      <c r="A107" s="62" t="s">
        <v>87</v>
      </c>
      <c r="B107" s="15">
        <f>'FY24'!B107*1.02</f>
        <v>59533.768800000005</v>
      </c>
      <c r="C107" s="15">
        <f>'FY24'!C107*1.02</f>
        <v>0</v>
      </c>
      <c r="D107" s="7"/>
      <c r="E107" s="7"/>
      <c r="F107" s="7">
        <f t="shared" si="225"/>
        <v>59533.768800000005</v>
      </c>
      <c r="H107" s="15">
        <f>'FY24'!H107*1.02</f>
        <v>321360.57790200005</v>
      </c>
      <c r="I107" s="15">
        <f>'FY24'!I107*1.02</f>
        <v>0</v>
      </c>
      <c r="J107" s="7"/>
      <c r="K107" s="7"/>
      <c r="L107" s="7">
        <f t="shared" si="226"/>
        <v>321360.57790200005</v>
      </c>
      <c r="N107" s="15">
        <f>'FY24'!N107*1.02</f>
        <v>59533.768800000005</v>
      </c>
      <c r="O107" s="15">
        <f>'FY24'!O107*1.02</f>
        <v>0</v>
      </c>
      <c r="P107" s="7"/>
      <c r="Q107" s="7"/>
      <c r="R107" s="7">
        <f t="shared" si="227"/>
        <v>59533.768800000005</v>
      </c>
      <c r="T107" s="15">
        <f>'FY24'!T107*1.02</f>
        <v>67110.793920000011</v>
      </c>
      <c r="U107" s="15">
        <f>'FY24'!U107*1.02</f>
        <v>0</v>
      </c>
      <c r="V107" s="7"/>
      <c r="W107" s="7"/>
      <c r="X107" s="7">
        <f t="shared" si="228"/>
        <v>67110.793920000011</v>
      </c>
      <c r="Z107" s="15">
        <f>'FY24'!Z107*1.02</f>
        <v>127229.07608640002</v>
      </c>
      <c r="AA107" s="15">
        <f>'FY24'!AA107*1.02</f>
        <v>0</v>
      </c>
      <c r="AB107" s="15">
        <f>'FY24'!AB107*1.02</f>
        <v>0</v>
      </c>
      <c r="AC107" s="15">
        <f>'FY24'!AC107*1.02</f>
        <v>0</v>
      </c>
      <c r="AD107" s="7">
        <f t="shared" si="229"/>
        <v>127229.07608640002</v>
      </c>
      <c r="AF107" s="15">
        <v>0</v>
      </c>
      <c r="AG107" s="15">
        <f>'FY24'!AG107*1.02</f>
        <v>0</v>
      </c>
      <c r="AH107" s="7"/>
      <c r="AI107" s="7"/>
      <c r="AJ107" s="7">
        <f t="shared" si="230"/>
        <v>0</v>
      </c>
      <c r="AL107" s="15">
        <f>'FY24'!AL107*1.02</f>
        <v>0</v>
      </c>
      <c r="AM107" s="15">
        <f>'FY24'!AM107*1.02</f>
        <v>0</v>
      </c>
      <c r="AN107" s="15">
        <v>0</v>
      </c>
      <c r="AO107" s="15">
        <v>0</v>
      </c>
      <c r="AP107" s="7">
        <f t="shared" si="231"/>
        <v>0</v>
      </c>
      <c r="AR107" s="7">
        <f>(58500*1.015*1.02)*AR45</f>
        <v>0</v>
      </c>
      <c r="AS107" s="7"/>
      <c r="AT107" s="7"/>
      <c r="AU107" s="7"/>
      <c r="AV107" s="7">
        <f t="shared" si="232"/>
        <v>0</v>
      </c>
      <c r="AX107" s="7">
        <f t="shared" si="235"/>
        <v>634767.98550840013</v>
      </c>
      <c r="AY107" s="7">
        <f t="shared" si="233"/>
        <v>0</v>
      </c>
      <c r="AZ107" s="7">
        <f t="shared" si="233"/>
        <v>0</v>
      </c>
      <c r="BA107" s="7">
        <f t="shared" si="233"/>
        <v>0</v>
      </c>
      <c r="BB107" s="7">
        <f t="shared" si="234"/>
        <v>634767.98550840013</v>
      </c>
    </row>
    <row r="108" spans="1:54" x14ac:dyDescent="0.25">
      <c r="A108" s="62" t="s">
        <v>89</v>
      </c>
      <c r="B108" s="7">
        <f>49700*B39</f>
        <v>2062550</v>
      </c>
      <c r="C108" s="7">
        <f t="shared" ref="C108:E108" si="236">47350*C39</f>
        <v>0</v>
      </c>
      <c r="D108" s="7">
        <v>0</v>
      </c>
      <c r="E108" s="7">
        <f t="shared" si="236"/>
        <v>0</v>
      </c>
      <c r="F108" s="7">
        <f t="shared" si="225"/>
        <v>2062550</v>
      </c>
      <c r="G108" s="214">
        <f>F108/B39</f>
        <v>49700</v>
      </c>
      <c r="H108" s="7">
        <f>49700*H39</f>
        <v>4870600</v>
      </c>
      <c r="I108" s="7">
        <f t="shared" ref="I108" si="237">47350*I39</f>
        <v>0</v>
      </c>
      <c r="J108" s="7">
        <v>0</v>
      </c>
      <c r="K108" s="7">
        <f t="shared" ref="K108" si="238">47350*K39</f>
        <v>0</v>
      </c>
      <c r="L108" s="7">
        <f t="shared" si="226"/>
        <v>4870600</v>
      </c>
      <c r="M108" s="214">
        <f>L108/H39</f>
        <v>49700</v>
      </c>
      <c r="N108" s="7">
        <f>49700*N39</f>
        <v>2137100</v>
      </c>
      <c r="O108" s="7">
        <f t="shared" ref="O108" si="239">47350*O39</f>
        <v>0</v>
      </c>
      <c r="P108" s="7">
        <v>0</v>
      </c>
      <c r="Q108" s="7">
        <f t="shared" ref="Q108" si="240">47350*Q39</f>
        <v>0</v>
      </c>
      <c r="R108" s="7">
        <f t="shared" si="227"/>
        <v>2137100</v>
      </c>
      <c r="S108" s="214">
        <f>R108/N39</f>
        <v>49700</v>
      </c>
      <c r="T108" s="7">
        <f>49700*T39</f>
        <v>2634100</v>
      </c>
      <c r="U108" s="7">
        <f t="shared" ref="U108" si="241">47350*U39</f>
        <v>0</v>
      </c>
      <c r="V108" s="7">
        <v>0</v>
      </c>
      <c r="W108" s="7">
        <f t="shared" ref="W108" si="242">47350*W39</f>
        <v>0</v>
      </c>
      <c r="X108" s="7">
        <f t="shared" si="228"/>
        <v>2634100</v>
      </c>
      <c r="Y108" s="214">
        <f>X108/T39</f>
        <v>49700</v>
      </c>
      <c r="Z108" s="7">
        <f>49700*Z39</f>
        <v>4746350</v>
      </c>
      <c r="AA108" s="7">
        <f t="shared" ref="AA108" si="243">47350*AA39</f>
        <v>0</v>
      </c>
      <c r="AB108" s="7">
        <v>0</v>
      </c>
      <c r="AC108" s="7">
        <f t="shared" ref="AC108" si="244">47350*AC39</f>
        <v>0</v>
      </c>
      <c r="AD108" s="7">
        <f t="shared" si="229"/>
        <v>4746350</v>
      </c>
      <c r="AE108" s="214">
        <f>AD108/Z39</f>
        <v>49700</v>
      </c>
      <c r="AF108" s="7">
        <f>49700*AF39</f>
        <v>1689800</v>
      </c>
      <c r="AG108" s="7">
        <f t="shared" ref="AG108" si="245">47350*AG39</f>
        <v>0</v>
      </c>
      <c r="AH108" s="7">
        <v>0</v>
      </c>
      <c r="AI108" s="7">
        <f t="shared" ref="AI108" si="246">47350*AI39</f>
        <v>0</v>
      </c>
      <c r="AJ108" s="7">
        <f t="shared" si="230"/>
        <v>1689800</v>
      </c>
      <c r="AK108" s="214">
        <f>AJ108/AF39</f>
        <v>49700</v>
      </c>
      <c r="AL108" s="15">
        <v>0</v>
      </c>
      <c r="AM108" s="15">
        <v>0</v>
      </c>
      <c r="AN108" s="15">
        <v>0</v>
      </c>
      <c r="AO108" s="15">
        <v>0</v>
      </c>
      <c r="AP108" s="7">
        <f t="shared" si="231"/>
        <v>0</v>
      </c>
      <c r="AR108" s="7">
        <f>(110*AR19)*6</f>
        <v>165000</v>
      </c>
      <c r="AS108" s="7"/>
      <c r="AT108" s="7"/>
      <c r="AU108" s="7"/>
      <c r="AV108" s="7">
        <f t="shared" si="232"/>
        <v>165000</v>
      </c>
      <c r="AX108" s="7">
        <f t="shared" si="235"/>
        <v>18305500</v>
      </c>
      <c r="AY108" s="7">
        <f t="shared" si="233"/>
        <v>0</v>
      </c>
      <c r="AZ108" s="7">
        <f t="shared" si="233"/>
        <v>0</v>
      </c>
      <c r="BA108" s="7">
        <f t="shared" si="233"/>
        <v>0</v>
      </c>
      <c r="BB108" s="7">
        <f t="shared" si="234"/>
        <v>18305500</v>
      </c>
    </row>
    <row r="109" spans="1:54" x14ac:dyDescent="0.25">
      <c r="A109" s="62" t="s">
        <v>90</v>
      </c>
      <c r="B109" s="14">
        <v>0</v>
      </c>
      <c r="C109" s="14"/>
      <c r="D109" s="14"/>
      <c r="E109" s="14"/>
      <c r="F109" s="7">
        <f t="shared" si="225"/>
        <v>0</v>
      </c>
      <c r="G109" s="214">
        <f>G108*1.02</f>
        <v>50694</v>
      </c>
      <c r="H109" s="14">
        <v>0</v>
      </c>
      <c r="I109" s="14"/>
      <c r="J109" s="14"/>
      <c r="K109" s="14"/>
      <c r="L109" s="7">
        <f t="shared" si="226"/>
        <v>0</v>
      </c>
      <c r="N109" s="14">
        <v>0</v>
      </c>
      <c r="O109" s="14"/>
      <c r="P109" s="14"/>
      <c r="Q109" s="14"/>
      <c r="R109" s="7">
        <f t="shared" si="227"/>
        <v>0</v>
      </c>
      <c r="T109" s="14">
        <v>0</v>
      </c>
      <c r="U109" s="14"/>
      <c r="V109" s="14"/>
      <c r="W109" s="14"/>
      <c r="X109" s="7">
        <f t="shared" si="228"/>
        <v>0</v>
      </c>
      <c r="Z109" s="14">
        <v>0</v>
      </c>
      <c r="AA109" s="14"/>
      <c r="AB109" s="14"/>
      <c r="AC109" s="14"/>
      <c r="AD109" s="7">
        <f t="shared" si="229"/>
        <v>0</v>
      </c>
      <c r="AF109" s="14">
        <v>0</v>
      </c>
      <c r="AG109" s="14"/>
      <c r="AH109" s="14"/>
      <c r="AI109" s="14"/>
      <c r="AJ109" s="7">
        <f t="shared" si="230"/>
        <v>0</v>
      </c>
      <c r="AL109" s="15">
        <v>0</v>
      </c>
      <c r="AM109" s="15">
        <v>0</v>
      </c>
      <c r="AN109" s="15">
        <v>0</v>
      </c>
      <c r="AO109" s="15">
        <v>0</v>
      </c>
      <c r="AP109" s="7">
        <f t="shared" si="231"/>
        <v>0</v>
      </c>
      <c r="AR109" s="14">
        <v>0</v>
      </c>
      <c r="AS109" s="14"/>
      <c r="AT109" s="14"/>
      <c r="AU109" s="14"/>
      <c r="AV109" s="7">
        <f t="shared" si="232"/>
        <v>0</v>
      </c>
      <c r="AX109" s="7">
        <f t="shared" si="235"/>
        <v>0</v>
      </c>
      <c r="AY109" s="7">
        <f t="shared" si="233"/>
        <v>0</v>
      </c>
      <c r="AZ109" s="7">
        <f t="shared" si="233"/>
        <v>0</v>
      </c>
      <c r="BA109" s="7">
        <f t="shared" si="233"/>
        <v>0</v>
      </c>
      <c r="BB109" s="7">
        <f t="shared" si="234"/>
        <v>0</v>
      </c>
    </row>
    <row r="110" spans="1:54" x14ac:dyDescent="0.25">
      <c r="A110" s="62" t="s">
        <v>30</v>
      </c>
      <c r="B110" s="7">
        <v>0</v>
      </c>
      <c r="C110" s="7"/>
      <c r="D110" s="7">
        <f>49700*D30</f>
        <v>198800</v>
      </c>
      <c r="E110" s="7"/>
      <c r="F110" s="7">
        <f t="shared" si="225"/>
        <v>198800</v>
      </c>
      <c r="H110" s="7">
        <v>0</v>
      </c>
      <c r="I110" s="7"/>
      <c r="J110" s="7">
        <f>49700*J30</f>
        <v>646100</v>
      </c>
      <c r="K110" s="7"/>
      <c r="L110" s="7">
        <f t="shared" si="226"/>
        <v>646100</v>
      </c>
      <c r="N110" s="7">
        <v>0</v>
      </c>
      <c r="O110" s="7"/>
      <c r="P110" s="7">
        <f>49700*P30</f>
        <v>198800</v>
      </c>
      <c r="Q110" s="7"/>
      <c r="R110" s="7">
        <f t="shared" si="227"/>
        <v>198800</v>
      </c>
      <c r="T110" s="7">
        <v>0</v>
      </c>
      <c r="U110" s="7"/>
      <c r="V110" s="7">
        <f>49700*V30</f>
        <v>248500</v>
      </c>
      <c r="W110" s="7"/>
      <c r="X110" s="7">
        <f t="shared" si="228"/>
        <v>248500</v>
      </c>
      <c r="Z110" s="7">
        <v>0</v>
      </c>
      <c r="AA110" s="7"/>
      <c r="AB110" s="7">
        <f>49700*AB30</f>
        <v>497000</v>
      </c>
      <c r="AC110" s="7"/>
      <c r="AD110" s="7">
        <f t="shared" si="229"/>
        <v>497000</v>
      </c>
      <c r="AF110" s="7">
        <v>0</v>
      </c>
      <c r="AG110" s="7"/>
      <c r="AH110" s="7">
        <f>49700*AH30</f>
        <v>173950</v>
      </c>
      <c r="AI110" s="7"/>
      <c r="AJ110" s="7">
        <f t="shared" si="230"/>
        <v>173950</v>
      </c>
      <c r="AL110" s="15">
        <v>0</v>
      </c>
      <c r="AM110" s="15">
        <v>0</v>
      </c>
      <c r="AN110" s="15">
        <v>0</v>
      </c>
      <c r="AO110" s="15">
        <v>0</v>
      </c>
      <c r="AP110" s="7">
        <f t="shared" si="231"/>
        <v>0</v>
      </c>
      <c r="AR110" s="7">
        <v>0</v>
      </c>
      <c r="AS110" s="7"/>
      <c r="AT110" s="7">
        <v>50000</v>
      </c>
      <c r="AU110" s="7"/>
      <c r="AV110" s="7">
        <f t="shared" si="232"/>
        <v>50000</v>
      </c>
      <c r="AX110" s="7">
        <f t="shared" si="235"/>
        <v>0</v>
      </c>
      <c r="AY110" s="7">
        <f t="shared" si="233"/>
        <v>0</v>
      </c>
      <c r="AZ110" s="7">
        <f t="shared" si="233"/>
        <v>2013150</v>
      </c>
      <c r="BA110" s="7">
        <f t="shared" si="233"/>
        <v>0</v>
      </c>
      <c r="BB110" s="7">
        <f t="shared" si="234"/>
        <v>2013150</v>
      </c>
    </row>
    <row r="111" spans="1:54" x14ac:dyDescent="0.25">
      <c r="A111" s="62" t="s">
        <v>91</v>
      </c>
      <c r="B111" s="15">
        <f>'FY24'!B111*1.02</f>
        <v>118313.42876277119</v>
      </c>
      <c r="C111" s="7"/>
      <c r="D111" s="7"/>
      <c r="E111" s="7"/>
      <c r="F111" s="7">
        <f t="shared" si="225"/>
        <v>118313.42876277119</v>
      </c>
      <c r="H111" s="15">
        <f>'FY24'!H111*1.02</f>
        <v>202306.57070400001</v>
      </c>
      <c r="I111" s="7"/>
      <c r="J111" s="7"/>
      <c r="K111" s="7"/>
      <c r="L111" s="7">
        <f t="shared" si="226"/>
        <v>202306.57070400001</v>
      </c>
      <c r="N111" s="15">
        <f>'FY24'!N111*1.02</f>
        <v>104043.92043528</v>
      </c>
      <c r="O111" s="7"/>
      <c r="P111" s="7"/>
      <c r="Q111" s="7"/>
      <c r="R111" s="7">
        <f t="shared" si="227"/>
        <v>104043.92043528</v>
      </c>
      <c r="T111" s="15">
        <f>'FY24'!T111*1.02</f>
        <v>96353.239938479994</v>
      </c>
      <c r="U111" s="7"/>
      <c r="V111" s="7"/>
      <c r="W111" s="7"/>
      <c r="X111" s="7">
        <f t="shared" si="228"/>
        <v>96353.239938479994</v>
      </c>
      <c r="Z111" s="15">
        <f>'FY24'!Z111*1.02</f>
        <v>166103.18928000002</v>
      </c>
      <c r="AA111" s="7"/>
      <c r="AB111" s="7"/>
      <c r="AC111" s="7"/>
      <c r="AD111" s="7">
        <f t="shared" si="229"/>
        <v>166103.18928000002</v>
      </c>
      <c r="AF111" s="15">
        <f>'FY24'!AF111*1.02+45000</f>
        <v>90900</v>
      </c>
      <c r="AG111" s="7"/>
      <c r="AH111" s="7"/>
      <c r="AI111" s="7"/>
      <c r="AJ111" s="7">
        <f t="shared" si="230"/>
        <v>90900</v>
      </c>
      <c r="AL111" s="15">
        <f>'FY24'!AL111*1.02</f>
        <v>75770.251199999999</v>
      </c>
      <c r="AM111" s="15">
        <v>0</v>
      </c>
      <c r="AN111" s="15">
        <v>0</v>
      </c>
      <c r="AO111" s="15">
        <v>0</v>
      </c>
      <c r="AP111" s="7">
        <f t="shared" si="231"/>
        <v>75770.251199999999</v>
      </c>
      <c r="AR111" s="7">
        <f>(46725*1.02)*(AR47+AR48)</f>
        <v>0</v>
      </c>
      <c r="AS111" s="7"/>
      <c r="AT111" s="7"/>
      <c r="AU111" s="7"/>
      <c r="AV111" s="7">
        <f t="shared" si="232"/>
        <v>0</v>
      </c>
      <c r="AX111" s="7">
        <f t="shared" si="235"/>
        <v>853790.60032053129</v>
      </c>
      <c r="AY111" s="7">
        <f t="shared" si="233"/>
        <v>0</v>
      </c>
      <c r="AZ111" s="7">
        <f t="shared" si="233"/>
        <v>0</v>
      </c>
      <c r="BA111" s="7">
        <f t="shared" si="233"/>
        <v>0</v>
      </c>
      <c r="BB111" s="7">
        <f t="shared" si="234"/>
        <v>853790.60032053129</v>
      </c>
    </row>
    <row r="112" spans="1:54" x14ac:dyDescent="0.25">
      <c r="A112" s="62" t="s">
        <v>92</v>
      </c>
      <c r="B112" s="15">
        <f>'FY24'!B112*1.02</f>
        <v>61586.9694183744</v>
      </c>
      <c r="C112" s="7"/>
      <c r="D112" s="7"/>
      <c r="E112" s="7"/>
      <c r="F112" s="7">
        <f t="shared" si="225"/>
        <v>61586.9694183744</v>
      </c>
      <c r="H112" s="7">
        <f>((42750+43800+56000)+(33000+19000))*1.015*1.02*1.0125</f>
        <v>203935.33518749996</v>
      </c>
      <c r="I112" s="7"/>
      <c r="J112" s="7"/>
      <c r="K112" s="7"/>
      <c r="L112" s="7">
        <f t="shared" si="226"/>
        <v>203935.33518749996</v>
      </c>
      <c r="N112" s="7">
        <f>(17*8*190)*(N49+N50)</f>
        <v>51680</v>
      </c>
      <c r="O112" s="7"/>
      <c r="P112" s="7"/>
      <c r="Q112" s="7"/>
      <c r="R112" s="7">
        <f t="shared" si="227"/>
        <v>51680</v>
      </c>
      <c r="T112" s="7">
        <f>(14.75*8*190)*(T49+T50)</f>
        <v>44840</v>
      </c>
      <c r="U112" s="7"/>
      <c r="V112" s="7"/>
      <c r="W112" s="7"/>
      <c r="X112" s="7">
        <f t="shared" si="228"/>
        <v>44840</v>
      </c>
      <c r="Z112" s="7">
        <f>(14*8*200)*(Z49+Z50)</f>
        <v>89600</v>
      </c>
      <c r="AA112" s="7"/>
      <c r="AB112" s="7"/>
      <c r="AC112" s="7"/>
      <c r="AD112" s="7">
        <f t="shared" si="229"/>
        <v>89600</v>
      </c>
      <c r="AF112" s="7">
        <f>(14.25*8*200)*(AF49+AF50)</f>
        <v>45600</v>
      </c>
      <c r="AG112" s="7"/>
      <c r="AH112" s="7"/>
      <c r="AI112" s="7"/>
      <c r="AJ112" s="7">
        <f t="shared" si="230"/>
        <v>45600</v>
      </c>
      <c r="AL112" s="15">
        <v>0</v>
      </c>
      <c r="AM112" s="15">
        <v>0</v>
      </c>
      <c r="AN112" s="15">
        <v>0</v>
      </c>
      <c r="AO112" s="15">
        <v>0</v>
      </c>
      <c r="AP112" s="7">
        <f t="shared" si="231"/>
        <v>0</v>
      </c>
      <c r="AR112" s="7">
        <v>0</v>
      </c>
      <c r="AS112" s="7"/>
      <c r="AT112" s="7"/>
      <c r="AU112" s="7"/>
      <c r="AV112" s="7">
        <f t="shared" si="232"/>
        <v>0</v>
      </c>
      <c r="AX112" s="7">
        <f t="shared" si="235"/>
        <v>497242.30460587435</v>
      </c>
      <c r="AY112" s="7">
        <f t="shared" si="233"/>
        <v>0</v>
      </c>
      <c r="AZ112" s="7">
        <f t="shared" si="233"/>
        <v>0</v>
      </c>
      <c r="BA112" s="7">
        <f t="shared" si="233"/>
        <v>0</v>
      </c>
      <c r="BB112" s="7">
        <f t="shared" si="234"/>
        <v>497242.30460587435</v>
      </c>
    </row>
    <row r="113" spans="1:54" x14ac:dyDescent="0.25">
      <c r="A113" s="62" t="s">
        <v>93</v>
      </c>
      <c r="B113" s="7">
        <f>(13.5*8*200)*B51</f>
        <v>0</v>
      </c>
      <c r="C113" s="7">
        <f>(14.5*8*180)*C51</f>
        <v>31320</v>
      </c>
      <c r="D113" s="7">
        <f>(14.5*8*180)*D51</f>
        <v>83520</v>
      </c>
      <c r="E113" s="7">
        <v>0</v>
      </c>
      <c r="F113" s="7">
        <f t="shared" si="225"/>
        <v>114840</v>
      </c>
      <c r="H113" s="7">
        <f>(13.5*8*200)*H51</f>
        <v>0</v>
      </c>
      <c r="I113" s="7">
        <f>(14.75*8*180)*I51</f>
        <v>127440</v>
      </c>
      <c r="J113" s="7">
        <f>(14.75*8*180)*J51</f>
        <v>276120</v>
      </c>
      <c r="K113" s="7">
        <v>0</v>
      </c>
      <c r="L113" s="7">
        <f t="shared" si="226"/>
        <v>403560</v>
      </c>
      <c r="N113" s="7">
        <f>(13.5*8*200)*N51</f>
        <v>0</v>
      </c>
      <c r="O113" s="7">
        <f>(15*8*180)*O51</f>
        <v>97200</v>
      </c>
      <c r="P113" s="7">
        <f>(15*8*180)*P51</f>
        <v>86400</v>
      </c>
      <c r="Q113" s="7">
        <v>0</v>
      </c>
      <c r="R113" s="7">
        <f t="shared" si="227"/>
        <v>183600</v>
      </c>
      <c r="T113" s="7">
        <f>(14.5*8*180)*T51</f>
        <v>31320</v>
      </c>
      <c r="U113" s="7">
        <f>(14.5*8*180)*U51</f>
        <v>41760</v>
      </c>
      <c r="V113" s="7">
        <f>(14.5*8*180)*V51</f>
        <v>104400</v>
      </c>
      <c r="W113" s="7">
        <v>0</v>
      </c>
      <c r="X113" s="7">
        <f t="shared" si="228"/>
        <v>177480</v>
      </c>
      <c r="Z113" s="7">
        <f>(13.5*8*200)*Z51</f>
        <v>0</v>
      </c>
      <c r="AA113" s="7">
        <f>(14.75*8*180)*AA51</f>
        <v>84960</v>
      </c>
      <c r="AB113" s="7">
        <f>(14.75*8*180)*AB51</f>
        <v>212400</v>
      </c>
      <c r="AC113" s="7">
        <v>0</v>
      </c>
      <c r="AD113" s="7">
        <f t="shared" si="229"/>
        <v>297360</v>
      </c>
      <c r="AF113" s="7">
        <f t="shared" ref="AF113" si="247">(14*8*180)*AF51</f>
        <v>0</v>
      </c>
      <c r="AG113" s="7">
        <f>(14.25*8*180)*AG51</f>
        <v>0</v>
      </c>
      <c r="AH113" s="7">
        <f>(14.25*8*180)*AH51</f>
        <v>102600</v>
      </c>
      <c r="AI113" s="7">
        <v>0</v>
      </c>
      <c r="AJ113" s="7">
        <f t="shared" si="230"/>
        <v>102600</v>
      </c>
      <c r="AL113" s="15">
        <v>0</v>
      </c>
      <c r="AM113" s="15">
        <v>0</v>
      </c>
      <c r="AN113" s="15">
        <v>0</v>
      </c>
      <c r="AO113" s="15">
        <v>0</v>
      </c>
      <c r="AP113" s="7">
        <f t="shared" si="231"/>
        <v>0</v>
      </c>
      <c r="AR113" s="7">
        <f>(14.5*8*200)*AR51</f>
        <v>0</v>
      </c>
      <c r="AS113" s="7">
        <f>(14.5*8*180)*AS51</f>
        <v>0</v>
      </c>
      <c r="AT113" s="7">
        <f>(14.5*8*180)*AT51</f>
        <v>20880</v>
      </c>
      <c r="AU113" s="7">
        <f>(14.5*8*180)*AU51</f>
        <v>0</v>
      </c>
      <c r="AV113" s="7">
        <f t="shared" si="232"/>
        <v>20880</v>
      </c>
      <c r="AX113" s="7">
        <f t="shared" si="235"/>
        <v>31320</v>
      </c>
      <c r="AY113" s="7">
        <f t="shared" si="233"/>
        <v>382680</v>
      </c>
      <c r="AZ113" s="7">
        <f t="shared" si="233"/>
        <v>886320</v>
      </c>
      <c r="BA113" s="7">
        <f t="shared" si="233"/>
        <v>0</v>
      </c>
      <c r="BB113" s="7">
        <f t="shared" si="234"/>
        <v>1300320</v>
      </c>
    </row>
    <row r="114" spans="1:54" x14ac:dyDescent="0.25">
      <c r="A114" s="62" t="s">
        <v>94</v>
      </c>
      <c r="B114" s="7">
        <f>(23.25*8*240)*B52</f>
        <v>44640</v>
      </c>
      <c r="C114" s="7"/>
      <c r="D114" s="7">
        <f>(22.75*8*240)*D52</f>
        <v>0</v>
      </c>
      <c r="E114" s="7"/>
      <c r="F114" s="7">
        <f t="shared" si="225"/>
        <v>44640</v>
      </c>
      <c r="H114" s="7">
        <f>(15.5*8*240)*H52</f>
        <v>148800</v>
      </c>
      <c r="I114" s="7"/>
      <c r="J114" s="7">
        <f>(22.75*8*240)*J52</f>
        <v>0</v>
      </c>
      <c r="K114" s="7"/>
      <c r="L114" s="7">
        <f t="shared" si="226"/>
        <v>148800</v>
      </c>
      <c r="N114" s="7">
        <f>(16*8*240)*N52</f>
        <v>61440</v>
      </c>
      <c r="O114" s="7"/>
      <c r="P114" s="7">
        <f>(22.75*8*240)*P52</f>
        <v>0</v>
      </c>
      <c r="Q114" s="7"/>
      <c r="R114" s="7">
        <f t="shared" si="227"/>
        <v>61440</v>
      </c>
      <c r="T114" s="7">
        <f>(14.5*8*240)*T52</f>
        <v>55680</v>
      </c>
      <c r="U114" s="7"/>
      <c r="V114" s="7">
        <f>(22.75*8*240)*V52</f>
        <v>0</v>
      </c>
      <c r="W114" s="7"/>
      <c r="X114" s="7">
        <f t="shared" si="228"/>
        <v>55680</v>
      </c>
      <c r="Z114" s="7">
        <f>(15.5*8*240)*Z52</f>
        <v>119040</v>
      </c>
      <c r="AA114" s="7"/>
      <c r="AB114" s="7">
        <f>(22.75*8*240)*AB52</f>
        <v>0</v>
      </c>
      <c r="AC114" s="7"/>
      <c r="AD114" s="7">
        <f t="shared" si="229"/>
        <v>119040</v>
      </c>
      <c r="AF114" s="7">
        <f>(14.25*8*240)*AF52</f>
        <v>27360</v>
      </c>
      <c r="AG114" s="7"/>
      <c r="AH114" s="7">
        <f>(22.75*8*240)*AH52</f>
        <v>0</v>
      </c>
      <c r="AI114" s="7"/>
      <c r="AJ114" s="7">
        <f t="shared" si="230"/>
        <v>27360</v>
      </c>
      <c r="AL114" s="15">
        <v>0</v>
      </c>
      <c r="AM114" s="15">
        <v>0</v>
      </c>
      <c r="AN114" s="15">
        <v>0</v>
      </c>
      <c r="AO114" s="15">
        <v>0</v>
      </c>
      <c r="AP114" s="7">
        <f t="shared" si="231"/>
        <v>0</v>
      </c>
      <c r="AR114" s="7">
        <f>(14*8*240)*AR52</f>
        <v>0</v>
      </c>
      <c r="AS114" s="7"/>
      <c r="AT114" s="7"/>
      <c r="AU114" s="7"/>
      <c r="AV114" s="7">
        <f t="shared" si="232"/>
        <v>0</v>
      </c>
      <c r="AX114" s="7">
        <f t="shared" si="235"/>
        <v>456960</v>
      </c>
      <c r="AY114" s="7">
        <f t="shared" si="233"/>
        <v>0</v>
      </c>
      <c r="AZ114" s="7">
        <f t="shared" si="233"/>
        <v>0</v>
      </c>
      <c r="BA114" s="7">
        <f t="shared" si="233"/>
        <v>0</v>
      </c>
      <c r="BB114" s="7">
        <f t="shared" si="234"/>
        <v>456960</v>
      </c>
    </row>
    <row r="115" spans="1:54" x14ac:dyDescent="0.25">
      <c r="A115" s="62" t="s">
        <v>248</v>
      </c>
      <c r="B115" s="7">
        <v>0</v>
      </c>
      <c r="C115" s="7">
        <f>(12.75*8*180)*C54</f>
        <v>0</v>
      </c>
      <c r="D115" s="7"/>
      <c r="E115" s="7"/>
      <c r="F115" s="7">
        <f t="shared" si="225"/>
        <v>0</v>
      </c>
      <c r="H115" s="7">
        <v>0</v>
      </c>
      <c r="I115" s="7">
        <f>(12.75*8*180)*I54</f>
        <v>0</v>
      </c>
      <c r="J115" s="7"/>
      <c r="K115" s="7"/>
      <c r="L115" s="7">
        <f t="shared" si="226"/>
        <v>0</v>
      </c>
      <c r="N115" s="7">
        <v>0</v>
      </c>
      <c r="O115" s="7">
        <f>(12.75*8*180)*O54</f>
        <v>0</v>
      </c>
      <c r="P115" s="7"/>
      <c r="Q115" s="7"/>
      <c r="R115" s="7">
        <f t="shared" si="227"/>
        <v>0</v>
      </c>
      <c r="T115" s="7">
        <v>0</v>
      </c>
      <c r="U115" s="7">
        <f>(12.75*8*180)*U54</f>
        <v>0</v>
      </c>
      <c r="V115" s="7"/>
      <c r="W115" s="7"/>
      <c r="X115" s="7">
        <f t="shared" si="228"/>
        <v>0</v>
      </c>
      <c r="Z115" s="7">
        <v>0</v>
      </c>
      <c r="AA115" s="7">
        <f>(12.75*8*180)*AA54</f>
        <v>0</v>
      </c>
      <c r="AB115" s="7"/>
      <c r="AC115" s="7"/>
      <c r="AD115" s="7">
        <f t="shared" si="229"/>
        <v>0</v>
      </c>
      <c r="AF115" s="7">
        <v>0</v>
      </c>
      <c r="AG115" s="7">
        <f>(12.75*8*180)*AG54</f>
        <v>0</v>
      </c>
      <c r="AH115" s="7"/>
      <c r="AI115" s="7"/>
      <c r="AJ115" s="7">
        <f t="shared" si="230"/>
        <v>0</v>
      </c>
      <c r="AL115" s="15">
        <v>0</v>
      </c>
      <c r="AM115" s="15">
        <v>0</v>
      </c>
      <c r="AN115" s="15">
        <v>0</v>
      </c>
      <c r="AO115" s="15">
        <v>0</v>
      </c>
      <c r="AP115" s="7">
        <f t="shared" si="231"/>
        <v>0</v>
      </c>
      <c r="AR115" s="7">
        <f>(55000*1.04)*2</f>
        <v>114400</v>
      </c>
      <c r="AS115" s="7">
        <f>(12.75*8*180)*AS54</f>
        <v>0</v>
      </c>
      <c r="AT115" s="7"/>
      <c r="AU115" s="7"/>
      <c r="AV115" s="7">
        <f t="shared" si="232"/>
        <v>114400</v>
      </c>
      <c r="AX115" s="7">
        <f t="shared" si="235"/>
        <v>114400</v>
      </c>
      <c r="AY115" s="7">
        <f t="shared" si="233"/>
        <v>0</v>
      </c>
      <c r="AZ115" s="7">
        <f t="shared" si="233"/>
        <v>0</v>
      </c>
      <c r="BA115" s="7">
        <f t="shared" si="233"/>
        <v>0</v>
      </c>
      <c r="BB115" s="7">
        <f t="shared" si="234"/>
        <v>114400</v>
      </c>
    </row>
    <row r="116" spans="1:54" ht="15.75" thickBot="1" x14ac:dyDescent="0.3">
      <c r="A116" s="82" t="s">
        <v>95</v>
      </c>
      <c r="B116" s="83">
        <f>SUM(B103:B115)</f>
        <v>2632584.4484272255</v>
      </c>
      <c r="C116" s="83">
        <f>SUM(C103:C115)</f>
        <v>105604.56</v>
      </c>
      <c r="D116" s="83">
        <f t="shared" ref="D116:F116" si="248">SUM(D103:D115)</f>
        <v>282320</v>
      </c>
      <c r="E116" s="83">
        <f t="shared" si="248"/>
        <v>0</v>
      </c>
      <c r="F116" s="83">
        <f t="shared" si="248"/>
        <v>3020509.0084272255</v>
      </c>
      <c r="H116" s="83">
        <f>SUM(H103:H115)</f>
        <v>6295106.7588007003</v>
      </c>
      <c r="I116" s="83">
        <f>SUM(I103:I115)</f>
        <v>127440</v>
      </c>
      <c r="J116" s="83">
        <f t="shared" ref="J116:L116" si="249">SUM(J103:J115)</f>
        <v>922220</v>
      </c>
      <c r="K116" s="83">
        <f t="shared" si="249"/>
        <v>0</v>
      </c>
      <c r="L116" s="83">
        <f t="shared" si="249"/>
        <v>7344766.7588007003</v>
      </c>
      <c r="N116" s="83">
        <f>SUM(N103:N115)</f>
        <v>2701512.40219528</v>
      </c>
      <c r="O116" s="83">
        <f>SUM(O103:O115)</f>
        <v>156733.76880000002</v>
      </c>
      <c r="P116" s="83">
        <f t="shared" ref="P116:R116" si="250">SUM(P103:P115)</f>
        <v>285200</v>
      </c>
      <c r="Q116" s="83">
        <f t="shared" si="250"/>
        <v>0</v>
      </c>
      <c r="R116" s="83">
        <f t="shared" si="250"/>
        <v>3143446.1709952801</v>
      </c>
      <c r="T116" s="83">
        <f>SUM(T103:T115)</f>
        <v>3343868.26717128</v>
      </c>
      <c r="U116" s="83">
        <f>SUM(U103:U115)</f>
        <v>41760</v>
      </c>
      <c r="V116" s="83">
        <f t="shared" ref="V116:X116" si="251">SUM(V103:V115)</f>
        <v>352900</v>
      </c>
      <c r="W116" s="83">
        <f t="shared" si="251"/>
        <v>0</v>
      </c>
      <c r="X116" s="83">
        <f t="shared" si="251"/>
        <v>3738528.26717128</v>
      </c>
      <c r="Z116" s="83">
        <f>SUM(Z103:Z115)</f>
        <v>5695861.9070991995</v>
      </c>
      <c r="AA116" s="83">
        <f>SUM(AA103:AA115)</f>
        <v>84960</v>
      </c>
      <c r="AB116" s="83">
        <f t="shared" ref="AB116:AD116" si="252">SUM(AB103:AB115)</f>
        <v>803036</v>
      </c>
      <c r="AC116" s="83">
        <f t="shared" si="252"/>
        <v>0</v>
      </c>
      <c r="AD116" s="83">
        <f t="shared" si="252"/>
        <v>6583857.9070991995</v>
      </c>
      <c r="AF116" s="83">
        <f>SUM(AF103:AF115)</f>
        <v>2117360</v>
      </c>
      <c r="AG116" s="83">
        <f>SUM(AG103:AG115)</f>
        <v>66300</v>
      </c>
      <c r="AH116" s="83">
        <f t="shared" ref="AH116:AJ116" si="253">SUM(AH103:AH115)</f>
        <v>276550</v>
      </c>
      <c r="AI116" s="83">
        <f t="shared" si="253"/>
        <v>0</v>
      </c>
      <c r="AJ116" s="83">
        <f t="shared" si="253"/>
        <v>2460210</v>
      </c>
      <c r="AL116" s="83">
        <f>SUM(AL103:AL115)</f>
        <v>151540.5024</v>
      </c>
      <c r="AM116" s="83">
        <f>SUM(AM103:AM115)</f>
        <v>0</v>
      </c>
      <c r="AN116" s="83">
        <f t="shared" ref="AN116:AP116" si="254">SUM(AN103:AN115)</f>
        <v>0</v>
      </c>
      <c r="AO116" s="83">
        <f t="shared" si="254"/>
        <v>0</v>
      </c>
      <c r="AP116" s="83">
        <f t="shared" si="254"/>
        <v>151540.5024</v>
      </c>
      <c r="AR116" s="83">
        <f>SUM(AR103:AR115)</f>
        <v>279400</v>
      </c>
      <c r="AS116" s="83">
        <f>SUM(AS103:AS115)</f>
        <v>0</v>
      </c>
      <c r="AT116" s="83">
        <f t="shared" ref="AT116:AV116" si="255">SUM(AT103:AT115)</f>
        <v>70880</v>
      </c>
      <c r="AU116" s="83">
        <f t="shared" si="255"/>
        <v>0</v>
      </c>
      <c r="AV116" s="83">
        <f t="shared" si="255"/>
        <v>350280</v>
      </c>
      <c r="AX116" s="83">
        <f>SUM(AX103:AX115)</f>
        <v>23217234.28609369</v>
      </c>
      <c r="AY116" s="83">
        <f>SUM(AY103:AY115)</f>
        <v>582798.32880000002</v>
      </c>
      <c r="AZ116" s="83">
        <f t="shared" ref="AZ116:BB116" si="256">SUM(AZ103:AZ115)</f>
        <v>2993106</v>
      </c>
      <c r="BA116" s="83">
        <f t="shared" si="256"/>
        <v>0</v>
      </c>
      <c r="BB116" s="83">
        <f t="shared" si="256"/>
        <v>26793138.61489369</v>
      </c>
    </row>
    <row r="117" spans="1:54" x14ac:dyDescent="0.25">
      <c r="A117" s="84" t="s">
        <v>96</v>
      </c>
      <c r="B117" s="150" t="str">
        <f>B1</f>
        <v>Operating</v>
      </c>
      <c r="C117" s="150" t="str">
        <f>C1</f>
        <v>Weights</v>
      </c>
      <c r="D117" s="150" t="str">
        <f>D1</f>
        <v>SPED</v>
      </c>
      <c r="E117" s="150" t="str">
        <f t="shared" ref="E117:F117" si="257">E1</f>
        <v>NSLP</v>
      </c>
      <c r="F117" s="150" t="str">
        <f t="shared" si="257"/>
        <v>Horizon</v>
      </c>
      <c r="H117" s="150" t="str">
        <f>H1</f>
        <v>Operating</v>
      </c>
      <c r="I117" s="150" t="str">
        <f>I1</f>
        <v>Weights</v>
      </c>
      <c r="J117" s="150" t="str">
        <f>J1</f>
        <v>SPED</v>
      </c>
      <c r="K117" s="150" t="str">
        <f t="shared" ref="K117:L117" si="258">K1</f>
        <v>NSLP</v>
      </c>
      <c r="L117" s="150" t="str">
        <f t="shared" si="258"/>
        <v>Cadence</v>
      </c>
      <c r="N117" s="150" t="str">
        <f>N1</f>
        <v>Operating</v>
      </c>
      <c r="O117" s="150" t="str">
        <f>O1</f>
        <v>Weights</v>
      </c>
      <c r="P117" s="150" t="str">
        <f>P1</f>
        <v>SPED</v>
      </c>
      <c r="Q117" s="150" t="str">
        <f t="shared" ref="Q117:R117" si="259">Q1</f>
        <v>NSLP</v>
      </c>
      <c r="R117" s="150" t="str">
        <f t="shared" si="259"/>
        <v>St. Rose</v>
      </c>
      <c r="T117" s="150" t="str">
        <f>T1</f>
        <v>Operating</v>
      </c>
      <c r="U117" s="150" t="str">
        <f>U1</f>
        <v>Weights</v>
      </c>
      <c r="V117" s="150" t="str">
        <f>V1</f>
        <v>SPED</v>
      </c>
      <c r="W117" s="150" t="str">
        <f t="shared" ref="W117:X117" si="260">W1</f>
        <v>NSLP</v>
      </c>
      <c r="X117" s="150" t="str">
        <f t="shared" si="260"/>
        <v>Inspirada</v>
      </c>
      <c r="Z117" s="150" t="str">
        <f>Z1</f>
        <v>Operating</v>
      </c>
      <c r="AA117" s="150" t="str">
        <f>AA1</f>
        <v>Weights</v>
      </c>
      <c r="AB117" s="150" t="str">
        <f>AB1</f>
        <v>SPED</v>
      </c>
      <c r="AC117" s="150" t="str">
        <f t="shared" ref="AC117:AD117" si="261">AC1</f>
        <v>NSLP</v>
      </c>
      <c r="AD117" s="150" t="str">
        <f t="shared" si="261"/>
        <v>Sloan Canyon</v>
      </c>
      <c r="AF117" s="150" t="str">
        <f>AF1</f>
        <v>Operating</v>
      </c>
      <c r="AG117" s="150" t="str">
        <f>AG1</f>
        <v>Weights</v>
      </c>
      <c r="AH117" s="150" t="str">
        <f>AH1</f>
        <v>SPED</v>
      </c>
      <c r="AI117" s="150" t="str">
        <f t="shared" ref="AI117:AJ117" si="262">AI1</f>
        <v>NSLP</v>
      </c>
      <c r="AJ117" s="150" t="str">
        <f t="shared" si="262"/>
        <v>Springs</v>
      </c>
      <c r="AL117" s="150" t="str">
        <f>AL1</f>
        <v>Operating</v>
      </c>
      <c r="AM117" s="150" t="str">
        <f>AM1</f>
        <v>Weights</v>
      </c>
      <c r="AN117" s="150" t="str">
        <f>AN1</f>
        <v>SPED</v>
      </c>
      <c r="AO117" s="150" t="str">
        <f t="shared" ref="AO117:AP117" si="263">AO1</f>
        <v>NSLP</v>
      </c>
      <c r="AP117" s="150" t="str">
        <f t="shared" si="263"/>
        <v>System Wide</v>
      </c>
      <c r="AR117" s="150" t="str">
        <f>AR1</f>
        <v>Operating</v>
      </c>
      <c r="AS117" s="150" t="str">
        <f>AS1</f>
        <v>Weights</v>
      </c>
      <c r="AT117" s="150" t="str">
        <f>AT1</f>
        <v>SPED</v>
      </c>
      <c r="AU117" s="150" t="str">
        <f t="shared" ref="AU117:AV117" si="264">AU1</f>
        <v>NSLP</v>
      </c>
      <c r="AV117" s="150" t="str">
        <f t="shared" si="264"/>
        <v>Virtual</v>
      </c>
      <c r="AX117" s="150" t="str">
        <f>AX1</f>
        <v>Operating</v>
      </c>
      <c r="AY117" s="150" t="str">
        <f>AY1</f>
        <v>Weights</v>
      </c>
      <c r="AZ117" s="150" t="str">
        <f>AZ1</f>
        <v>SPED</v>
      </c>
      <c r="BA117" s="150" t="str">
        <f t="shared" ref="BA117:BB117" si="265">BA1</f>
        <v>NSLP</v>
      </c>
      <c r="BB117" s="150" t="str">
        <f t="shared" si="265"/>
        <v>Pinecrest System</v>
      </c>
    </row>
    <row r="118" spans="1:54" x14ac:dyDescent="0.25">
      <c r="A118" s="62"/>
      <c r="B118" s="7"/>
      <c r="C118" s="7"/>
      <c r="D118" s="7"/>
      <c r="E118" s="7"/>
      <c r="F118" s="7">
        <f t="shared" ref="F118:F127" si="266">SUM(B118:E118)</f>
        <v>0</v>
      </c>
      <c r="H118" s="7"/>
      <c r="I118" s="7"/>
      <c r="J118" s="7"/>
      <c r="K118" s="7"/>
      <c r="L118" s="7">
        <f t="shared" ref="L118:L127" si="267">SUM(H118:K118)</f>
        <v>0</v>
      </c>
      <c r="N118" s="7"/>
      <c r="O118" s="7"/>
      <c r="P118" s="7"/>
      <c r="Q118" s="7"/>
      <c r="R118" s="7">
        <f t="shared" ref="R118:R127" si="268">SUM(N118:Q118)</f>
        <v>0</v>
      </c>
      <c r="T118" s="7"/>
      <c r="U118" s="7"/>
      <c r="V118" s="7"/>
      <c r="W118" s="7"/>
      <c r="X118" s="7">
        <f t="shared" ref="X118:X127" si="269">SUM(T118:W118)</f>
        <v>0</v>
      </c>
      <c r="Z118" s="7"/>
      <c r="AA118" s="7"/>
      <c r="AB118" s="7"/>
      <c r="AC118" s="7"/>
      <c r="AD118" s="7">
        <f t="shared" ref="AD118:AD127" si="270">SUM(Z118:AC118)</f>
        <v>0</v>
      </c>
      <c r="AF118" s="7"/>
      <c r="AG118" s="7"/>
      <c r="AH118" s="7"/>
      <c r="AI118" s="7"/>
      <c r="AJ118" s="7">
        <f t="shared" ref="AJ118:AJ127" si="271">SUM(AF118:AI118)</f>
        <v>0</v>
      </c>
      <c r="AL118" s="7"/>
      <c r="AM118" s="7"/>
      <c r="AN118" s="7"/>
      <c r="AO118" s="7"/>
      <c r="AP118" s="7">
        <f t="shared" ref="AP118:AP127" si="272">SUM(AL118:AO118)</f>
        <v>0</v>
      </c>
      <c r="AR118" s="7"/>
      <c r="AS118" s="7"/>
      <c r="AT118" s="7"/>
      <c r="AU118" s="7"/>
      <c r="AV118" s="7">
        <f t="shared" ref="AV118:AV127" si="273">SUM(AR118:AU118)</f>
        <v>0</v>
      </c>
      <c r="AX118" s="7">
        <f>B118+H118+N118+T118+Z118+AF118+AL118+AR118</f>
        <v>0</v>
      </c>
      <c r="AY118" s="7">
        <f t="shared" ref="AY118:BA127" si="274">C118+I118+O118+U118+AA118+AG118+AM118+AS118</f>
        <v>0</v>
      </c>
      <c r="AZ118" s="7">
        <f t="shared" si="274"/>
        <v>0</v>
      </c>
      <c r="BA118" s="7">
        <f t="shared" si="274"/>
        <v>0</v>
      </c>
      <c r="BB118" s="7">
        <f t="shared" ref="BB118:BB127" si="275">SUM(AX118:BA118)</f>
        <v>0</v>
      </c>
    </row>
    <row r="119" spans="1:54" x14ac:dyDescent="0.25">
      <c r="A119" s="62" t="s">
        <v>54</v>
      </c>
      <c r="B119" s="7">
        <v>0</v>
      </c>
      <c r="C119" s="15">
        <f>'FY24'!C119*1.02</f>
        <v>0</v>
      </c>
      <c r="D119" s="15">
        <f>'FY24'!D119*1.02</f>
        <v>68680.320552000019</v>
      </c>
      <c r="E119" s="15">
        <f>'FY24'!E119*1.02</f>
        <v>0</v>
      </c>
      <c r="F119" s="7">
        <f t="shared" si="266"/>
        <v>68680.320552000019</v>
      </c>
      <c r="H119" s="7">
        <v>0</v>
      </c>
      <c r="I119" s="15">
        <f>'FY24'!I119*1.02</f>
        <v>0</v>
      </c>
      <c r="J119" s="15">
        <f>'FY24'!J119*1.02</f>
        <v>68484.33</v>
      </c>
      <c r="K119" s="15">
        <f>'FY24'!K119*1.02</f>
        <v>0</v>
      </c>
      <c r="L119" s="7">
        <f t="shared" si="267"/>
        <v>68484.33</v>
      </c>
      <c r="N119" s="7">
        <v>0</v>
      </c>
      <c r="O119" s="15">
        <f>'FY24'!O119*1.02</f>
        <v>0</v>
      </c>
      <c r="P119" s="15">
        <f>'FY24'!P119*1.02</f>
        <v>63464.4</v>
      </c>
      <c r="Q119" s="15">
        <f>'FY24'!Q119*1.02</f>
        <v>0</v>
      </c>
      <c r="R119" s="7">
        <f t="shared" si="268"/>
        <v>63464.4</v>
      </c>
      <c r="T119" s="7">
        <v>0</v>
      </c>
      <c r="U119" s="15">
        <f>'FY24'!U119*1.02</f>
        <v>0</v>
      </c>
      <c r="V119" s="15">
        <f>'FY24'!V119*1.02</f>
        <v>47858.400000000001</v>
      </c>
      <c r="W119" s="15">
        <f>'FY24'!W119*1.02</f>
        <v>0</v>
      </c>
      <c r="X119" s="7">
        <f t="shared" si="269"/>
        <v>47858.400000000001</v>
      </c>
      <c r="Z119" s="7">
        <v>0</v>
      </c>
      <c r="AA119" s="15">
        <f>'FY24'!AA119*1.02</f>
        <v>0</v>
      </c>
      <c r="AB119" s="15">
        <f>'FY24'!AB119*1.02</f>
        <v>0</v>
      </c>
      <c r="AC119" s="15">
        <f>'FY24'!AC119*1.02</f>
        <v>0</v>
      </c>
      <c r="AD119" s="7">
        <f t="shared" si="270"/>
        <v>0</v>
      </c>
      <c r="AF119" s="7">
        <v>0</v>
      </c>
      <c r="AG119" s="7">
        <f>'FY23'!AG119*1.02</f>
        <v>0</v>
      </c>
      <c r="AH119" s="7">
        <f>'FY23'!AH119*1.02</f>
        <v>0</v>
      </c>
      <c r="AI119" s="7">
        <f>'FY23'!AI119*1.02</f>
        <v>0</v>
      </c>
      <c r="AJ119" s="7">
        <f t="shared" si="271"/>
        <v>0</v>
      </c>
      <c r="AL119" s="7">
        <v>0</v>
      </c>
      <c r="AM119" s="15">
        <f>'FY24'!AM119*1.02</f>
        <v>0</v>
      </c>
      <c r="AN119" s="15">
        <f>'FY24'!AN119*1.02</f>
        <v>0</v>
      </c>
      <c r="AO119" s="15">
        <f>'FY24'!AO119*1.02</f>
        <v>0</v>
      </c>
      <c r="AP119" s="7">
        <f t="shared" si="272"/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f t="shared" si="273"/>
        <v>0</v>
      </c>
      <c r="AX119" s="7">
        <f t="shared" ref="AX119:AX127" si="276">B119+H119+N119+T119+Z119+AF119+AL119+AR119</f>
        <v>0</v>
      </c>
      <c r="AY119" s="7">
        <f t="shared" si="274"/>
        <v>0</v>
      </c>
      <c r="AZ119" s="7">
        <f t="shared" si="274"/>
        <v>248487.45055200002</v>
      </c>
      <c r="BA119" s="7">
        <f t="shared" si="274"/>
        <v>0</v>
      </c>
      <c r="BB119" s="7">
        <f t="shared" si="275"/>
        <v>248487.45055200002</v>
      </c>
    </row>
    <row r="120" spans="1:54" x14ac:dyDescent="0.25">
      <c r="A120" s="62" t="s">
        <v>55</v>
      </c>
      <c r="B120" s="7">
        <v>0</v>
      </c>
      <c r="C120" s="15">
        <f>'FY24'!C120*1.02</f>
        <v>0</v>
      </c>
      <c r="D120" s="15">
        <f>'FY24'!D120*1.02</f>
        <v>0</v>
      </c>
      <c r="E120" s="15">
        <f>'FY24'!E120*1.02</f>
        <v>0</v>
      </c>
      <c r="F120" s="7">
        <f t="shared" si="266"/>
        <v>0</v>
      </c>
      <c r="H120" s="7">
        <v>0</v>
      </c>
      <c r="I120" s="15">
        <f>'FY24'!I120*1.02</f>
        <v>0</v>
      </c>
      <c r="J120" s="15">
        <f>'FY24'!J120*1.02</f>
        <v>49939.200000000004</v>
      </c>
      <c r="K120" s="15">
        <f>'FY24'!K120*1.02</f>
        <v>0</v>
      </c>
      <c r="L120" s="7">
        <f t="shared" si="267"/>
        <v>49939.200000000004</v>
      </c>
      <c r="N120" s="7">
        <v>0</v>
      </c>
      <c r="O120" s="15">
        <f>'FY24'!O120*1.02</f>
        <v>0</v>
      </c>
      <c r="P120" s="15">
        <f>'FY24'!P120*1.02</f>
        <v>0</v>
      </c>
      <c r="Q120" s="15">
        <f>'FY24'!Q120*1.02</f>
        <v>0</v>
      </c>
      <c r="R120" s="7">
        <f t="shared" si="268"/>
        <v>0</v>
      </c>
      <c r="T120" s="7">
        <v>0</v>
      </c>
      <c r="U120" s="15">
        <f>'FY24'!U120*1.02</f>
        <v>0</v>
      </c>
      <c r="V120" s="15">
        <f>'FY24'!V120*1.02</f>
        <v>44295.03</v>
      </c>
      <c r="W120" s="15">
        <f>'FY24'!W120*1.02</f>
        <v>0</v>
      </c>
      <c r="X120" s="7">
        <f t="shared" si="269"/>
        <v>44295.03</v>
      </c>
      <c r="Z120" s="7">
        <v>0</v>
      </c>
      <c r="AA120" s="15">
        <f>'FY24'!AA120*1.02</f>
        <v>0</v>
      </c>
      <c r="AB120" s="15">
        <f>'FY24'!AB120*1.02</f>
        <v>49791.879359999999</v>
      </c>
      <c r="AC120" s="15">
        <f>'FY24'!AC120*1.02</f>
        <v>0</v>
      </c>
      <c r="AD120" s="7">
        <f t="shared" si="270"/>
        <v>49791.879359999999</v>
      </c>
      <c r="AF120" s="7">
        <v>0</v>
      </c>
      <c r="AG120" s="7">
        <f>'FY23'!AG120*1.02</f>
        <v>0</v>
      </c>
      <c r="AH120" s="7">
        <f>'FY23'!AH120*1.02</f>
        <v>0</v>
      </c>
      <c r="AI120" s="7">
        <f>'FY23'!AI120*1.02</f>
        <v>0</v>
      </c>
      <c r="AJ120" s="7">
        <f t="shared" si="271"/>
        <v>0</v>
      </c>
      <c r="AL120" s="7">
        <v>0</v>
      </c>
      <c r="AM120" s="15">
        <f>'FY24'!AM120*1.02</f>
        <v>0</v>
      </c>
      <c r="AN120" s="15">
        <f>'FY24'!AN120*1.02</f>
        <v>0</v>
      </c>
      <c r="AO120" s="15">
        <f>'FY24'!AO120*1.02</f>
        <v>0</v>
      </c>
      <c r="AP120" s="7">
        <f t="shared" si="272"/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f t="shared" si="273"/>
        <v>0</v>
      </c>
      <c r="AX120" s="7">
        <f t="shared" si="276"/>
        <v>0</v>
      </c>
      <c r="AY120" s="7">
        <f t="shared" si="274"/>
        <v>0</v>
      </c>
      <c r="AZ120" s="7">
        <f t="shared" si="274"/>
        <v>144026.10936</v>
      </c>
      <c r="BA120" s="7">
        <f t="shared" si="274"/>
        <v>0</v>
      </c>
      <c r="BB120" s="7">
        <f t="shared" si="275"/>
        <v>144026.10936</v>
      </c>
    </row>
    <row r="121" spans="1:54" x14ac:dyDescent="0.25">
      <c r="A121" s="62" t="s">
        <v>56</v>
      </c>
      <c r="B121" s="7">
        <v>0</v>
      </c>
      <c r="C121" s="15">
        <f>'FY24'!C121*1.02</f>
        <v>0</v>
      </c>
      <c r="D121" s="15">
        <f>'FY24'!D121*1.02</f>
        <v>0</v>
      </c>
      <c r="E121" s="15">
        <f>'FY24'!E121*1.02</f>
        <v>0</v>
      </c>
      <c r="F121" s="7">
        <f t="shared" si="266"/>
        <v>0</v>
      </c>
      <c r="H121" s="7">
        <v>0</v>
      </c>
      <c r="I121" s="15">
        <f>'FY24'!I121*1.02</f>
        <v>0</v>
      </c>
      <c r="J121" s="15">
        <f>'FY24'!J121*1.02</f>
        <v>83232</v>
      </c>
      <c r="K121" s="15">
        <f>'FY24'!K121*1.02</f>
        <v>0</v>
      </c>
      <c r="L121" s="7">
        <f t="shared" si="267"/>
        <v>83232</v>
      </c>
      <c r="N121" s="7">
        <v>0</v>
      </c>
      <c r="O121" s="15">
        <f>'FY24'!O121*1.02</f>
        <v>0</v>
      </c>
      <c r="P121" s="15">
        <f>'FY24'!P121*1.02</f>
        <v>36414</v>
      </c>
      <c r="Q121" s="15">
        <f>'FY24'!Q121*1.02</f>
        <v>0</v>
      </c>
      <c r="R121" s="7">
        <f t="shared" si="268"/>
        <v>36414</v>
      </c>
      <c r="T121" s="7">
        <v>0</v>
      </c>
      <c r="U121" s="15">
        <f>'FY24'!U121*1.02</f>
        <v>0</v>
      </c>
      <c r="V121" s="15">
        <f>'FY24'!V121*1.02</f>
        <v>36414</v>
      </c>
      <c r="W121" s="15">
        <f>'FY24'!W121*1.02</f>
        <v>0</v>
      </c>
      <c r="X121" s="7">
        <f t="shared" si="269"/>
        <v>36414</v>
      </c>
      <c r="Z121" s="7">
        <v>0</v>
      </c>
      <c r="AA121" s="15">
        <f>'FY24'!AA121*1.02</f>
        <v>0</v>
      </c>
      <c r="AB121" s="15">
        <f>'FY24'!AB121*1.02</f>
        <v>67626</v>
      </c>
      <c r="AC121" s="15">
        <f>'FY24'!AC121*1.02</f>
        <v>0</v>
      </c>
      <c r="AD121" s="7">
        <f t="shared" si="270"/>
        <v>67626</v>
      </c>
      <c r="AF121" s="7">
        <v>0</v>
      </c>
      <c r="AG121" s="7">
        <f>'FY23'!AG121*1.02</f>
        <v>0</v>
      </c>
      <c r="AH121" s="7">
        <f>'FY23'!AH121*1.02</f>
        <v>0</v>
      </c>
      <c r="AI121" s="7">
        <f>'FY23'!AI121*1.02</f>
        <v>0</v>
      </c>
      <c r="AJ121" s="7">
        <f t="shared" si="271"/>
        <v>0</v>
      </c>
      <c r="AL121" s="7">
        <v>0</v>
      </c>
      <c r="AM121" s="15">
        <f>'FY24'!AM121*1.02</f>
        <v>0</v>
      </c>
      <c r="AN121" s="15">
        <f>'FY24'!AN121*1.02</f>
        <v>0</v>
      </c>
      <c r="AO121" s="15">
        <f>'FY24'!AO121*1.02</f>
        <v>0</v>
      </c>
      <c r="AP121" s="7">
        <f t="shared" si="272"/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f t="shared" si="273"/>
        <v>0</v>
      </c>
      <c r="AX121" s="7">
        <f t="shared" si="276"/>
        <v>0</v>
      </c>
      <c r="AY121" s="7">
        <f t="shared" si="274"/>
        <v>0</v>
      </c>
      <c r="AZ121" s="7">
        <f t="shared" si="274"/>
        <v>223686</v>
      </c>
      <c r="BA121" s="7">
        <f t="shared" si="274"/>
        <v>0</v>
      </c>
      <c r="BB121" s="7">
        <f t="shared" si="275"/>
        <v>223686</v>
      </c>
    </row>
    <row r="122" spans="1:54" x14ac:dyDescent="0.25">
      <c r="A122" s="62" t="s">
        <v>97</v>
      </c>
      <c r="B122" s="7">
        <v>0</v>
      </c>
      <c r="C122" s="15">
        <f>'FY24'!C122*1.02</f>
        <v>0</v>
      </c>
      <c r="D122" s="15">
        <f>'FY24'!D122*1.02</f>
        <v>0</v>
      </c>
      <c r="E122" s="15">
        <f>'FY24'!E122*1.02</f>
        <v>0</v>
      </c>
      <c r="F122" s="7">
        <f t="shared" si="266"/>
        <v>0</v>
      </c>
      <c r="H122" s="7">
        <v>0</v>
      </c>
      <c r="I122" s="15">
        <f>'FY24'!I122*1.02</f>
        <v>0</v>
      </c>
      <c r="J122" s="15">
        <f>'FY24'!J122*1.02</f>
        <v>0</v>
      </c>
      <c r="K122" s="15">
        <f>'FY24'!K122*1.02</f>
        <v>0</v>
      </c>
      <c r="L122" s="7">
        <f t="shared" si="267"/>
        <v>0</v>
      </c>
      <c r="N122" s="7">
        <v>0</v>
      </c>
      <c r="O122" s="15">
        <f>'FY24'!O122*1.02</f>
        <v>0</v>
      </c>
      <c r="P122" s="15">
        <f>'FY24'!P122*1.02</f>
        <v>0</v>
      </c>
      <c r="Q122" s="15">
        <f>'FY24'!Q122*1.02</f>
        <v>0</v>
      </c>
      <c r="R122" s="7">
        <f t="shared" si="268"/>
        <v>0</v>
      </c>
      <c r="T122" s="7">
        <v>0</v>
      </c>
      <c r="U122" s="15">
        <f>'FY24'!U122*1.02</f>
        <v>0</v>
      </c>
      <c r="V122" s="15">
        <f>'FY24'!V122*1.02</f>
        <v>0</v>
      </c>
      <c r="W122" s="15">
        <f>'FY24'!W122*1.02</f>
        <v>0</v>
      </c>
      <c r="X122" s="7">
        <f t="shared" si="269"/>
        <v>0</v>
      </c>
      <c r="Z122" s="7">
        <v>0</v>
      </c>
      <c r="AA122" s="15">
        <f>'FY24'!AA122*1.02</f>
        <v>0</v>
      </c>
      <c r="AB122" s="15">
        <f>'FY24'!AB122*1.02</f>
        <v>17968.373856000002</v>
      </c>
      <c r="AC122" s="15">
        <f>'FY24'!AC122*1.02</f>
        <v>0</v>
      </c>
      <c r="AD122" s="7">
        <f t="shared" si="270"/>
        <v>17968.373856000002</v>
      </c>
      <c r="AF122" s="7">
        <v>0</v>
      </c>
      <c r="AG122" s="7">
        <f>'FY23'!AG122*1.02</f>
        <v>0</v>
      </c>
      <c r="AH122" s="7">
        <f>'FY23'!AH122*1.02</f>
        <v>0</v>
      </c>
      <c r="AI122" s="7">
        <f>'FY23'!AI122*1.02</f>
        <v>0</v>
      </c>
      <c r="AJ122" s="7">
        <f t="shared" si="271"/>
        <v>0</v>
      </c>
      <c r="AL122" s="7">
        <v>0</v>
      </c>
      <c r="AM122" s="15">
        <f>'FY24'!AM122*1.02</f>
        <v>0</v>
      </c>
      <c r="AN122" s="15">
        <f>'FY24'!AN122*1.02</f>
        <v>0</v>
      </c>
      <c r="AO122" s="15">
        <f>'FY24'!AO122*1.02</f>
        <v>0</v>
      </c>
      <c r="AP122" s="7">
        <f t="shared" si="272"/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f t="shared" si="273"/>
        <v>0</v>
      </c>
      <c r="AX122" s="7">
        <f t="shared" si="276"/>
        <v>0</v>
      </c>
      <c r="AY122" s="7">
        <f t="shared" si="274"/>
        <v>0</v>
      </c>
      <c r="AZ122" s="7">
        <f t="shared" si="274"/>
        <v>17968.373856000002</v>
      </c>
      <c r="BA122" s="7">
        <f t="shared" si="274"/>
        <v>0</v>
      </c>
      <c r="BB122" s="7">
        <f t="shared" si="275"/>
        <v>17968.373856000002</v>
      </c>
    </row>
    <row r="123" spans="1:54" x14ac:dyDescent="0.25">
      <c r="A123" s="62" t="s">
        <v>58</v>
      </c>
      <c r="B123" s="7">
        <v>0</v>
      </c>
      <c r="C123" s="15">
        <f>'FY24'!C123*1.02</f>
        <v>0</v>
      </c>
      <c r="D123" s="15">
        <f>'FY24'!D123*1.02</f>
        <v>0</v>
      </c>
      <c r="E123" s="15">
        <f>'FY24'!E123*1.02</f>
        <v>0</v>
      </c>
      <c r="F123" s="7">
        <f t="shared" si="266"/>
        <v>0</v>
      </c>
      <c r="H123" s="7">
        <v>0</v>
      </c>
      <c r="I123" s="15">
        <f>'FY24'!I123*1.02</f>
        <v>0</v>
      </c>
      <c r="J123" s="15">
        <f>'FY24'!J123*1.02</f>
        <v>63464.4</v>
      </c>
      <c r="K123" s="15">
        <f>'FY24'!K123*1.02</f>
        <v>0</v>
      </c>
      <c r="L123" s="7">
        <f t="shared" si="267"/>
        <v>63464.4</v>
      </c>
      <c r="N123" s="7">
        <v>0</v>
      </c>
      <c r="O123" s="15">
        <f>'FY24'!O123*1.02</f>
        <v>0</v>
      </c>
      <c r="P123" s="15">
        <f>'FY24'!P123*1.02</f>
        <v>0</v>
      </c>
      <c r="Q123" s="15">
        <f>'FY24'!Q123*1.02</f>
        <v>0</v>
      </c>
      <c r="R123" s="7">
        <f t="shared" si="268"/>
        <v>0</v>
      </c>
      <c r="T123" s="7">
        <v>0</v>
      </c>
      <c r="U123" s="15">
        <f>'FY24'!U123*1.02</f>
        <v>0</v>
      </c>
      <c r="V123" s="15">
        <f>'FY24'!V123*1.02</f>
        <v>0</v>
      </c>
      <c r="W123" s="15">
        <f>'FY24'!W123*1.02</f>
        <v>0</v>
      </c>
      <c r="X123" s="7">
        <f t="shared" si="269"/>
        <v>0</v>
      </c>
      <c r="Z123" s="7">
        <v>0</v>
      </c>
      <c r="AA123" s="15">
        <f>'FY24'!AA123*1.02</f>
        <v>0</v>
      </c>
      <c r="AB123" s="15">
        <f>'FY24'!AB123*1.02</f>
        <v>70358.090400000001</v>
      </c>
      <c r="AC123" s="15">
        <f>'FY24'!AC123*1.02</f>
        <v>0</v>
      </c>
      <c r="AD123" s="7">
        <f t="shared" si="270"/>
        <v>70358.090400000001</v>
      </c>
      <c r="AF123" s="7">
        <v>0</v>
      </c>
      <c r="AG123" s="7">
        <f>'FY23'!AG123*1.02</f>
        <v>0</v>
      </c>
      <c r="AH123" s="7">
        <f>'FY23'!AH123*1.02</f>
        <v>0</v>
      </c>
      <c r="AI123" s="7">
        <f>'FY23'!AI123*1.02</f>
        <v>0</v>
      </c>
      <c r="AJ123" s="7">
        <f t="shared" si="271"/>
        <v>0</v>
      </c>
      <c r="AL123" s="7">
        <v>0</v>
      </c>
      <c r="AM123" s="15">
        <f>'FY24'!AM123*1.02</f>
        <v>0</v>
      </c>
      <c r="AN123" s="15">
        <f>'FY24'!AN123*1.02</f>
        <v>0</v>
      </c>
      <c r="AO123" s="15">
        <f>'FY24'!AO123*1.02</f>
        <v>0</v>
      </c>
      <c r="AP123" s="7">
        <f t="shared" si="272"/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f t="shared" si="273"/>
        <v>0</v>
      </c>
      <c r="AX123" s="7">
        <f t="shared" si="276"/>
        <v>0</v>
      </c>
      <c r="AY123" s="7">
        <f t="shared" si="274"/>
        <v>0</v>
      </c>
      <c r="AZ123" s="7">
        <f t="shared" si="274"/>
        <v>133822.49040000001</v>
      </c>
      <c r="BA123" s="7">
        <f t="shared" si="274"/>
        <v>0</v>
      </c>
      <c r="BB123" s="7">
        <f t="shared" si="275"/>
        <v>133822.49040000001</v>
      </c>
    </row>
    <row r="124" spans="1:54" x14ac:dyDescent="0.25">
      <c r="A124" s="62" t="s">
        <v>98</v>
      </c>
      <c r="B124" s="7">
        <v>0</v>
      </c>
      <c r="C124" s="15">
        <f>'FY24'!C124*1.02</f>
        <v>25269.378775200006</v>
      </c>
      <c r="D124" s="15">
        <f>'FY24'!D124*1.02</f>
        <v>0</v>
      </c>
      <c r="E124" s="15">
        <f>'FY24'!E124*1.02</f>
        <v>0</v>
      </c>
      <c r="F124" s="7">
        <f t="shared" si="266"/>
        <v>25269.378775200006</v>
      </c>
      <c r="H124" s="7">
        <v>0</v>
      </c>
      <c r="I124" s="15">
        <f>'FY24'!I124*1.02</f>
        <v>45045.414338400005</v>
      </c>
      <c r="J124" s="15">
        <f>'FY24'!J124*1.02</f>
        <v>0</v>
      </c>
      <c r="K124" s="15">
        <f>'FY24'!K124*1.02</f>
        <v>0</v>
      </c>
      <c r="L124" s="7">
        <f t="shared" si="267"/>
        <v>45045.414338400005</v>
      </c>
      <c r="N124" s="7">
        <v>0</v>
      </c>
      <c r="O124" s="15">
        <f>'FY24'!O124*1.02</f>
        <v>25269.378775200003</v>
      </c>
      <c r="P124" s="15">
        <f>'FY24'!P124*1.02</f>
        <v>0</v>
      </c>
      <c r="Q124" s="15">
        <f>'FY24'!Q124*1.02</f>
        <v>0</v>
      </c>
      <c r="R124" s="7">
        <f t="shared" si="268"/>
        <v>25269.378775200003</v>
      </c>
      <c r="T124" s="7">
        <v>0</v>
      </c>
      <c r="U124" s="15">
        <f>'FY24'!U124*1.02</f>
        <v>70227</v>
      </c>
      <c r="V124" s="15">
        <f>'FY24'!V124*1.02</f>
        <v>0</v>
      </c>
      <c r="W124" s="15">
        <f>'FY24'!W124*1.02</f>
        <v>0</v>
      </c>
      <c r="X124" s="7">
        <f t="shared" si="269"/>
        <v>70227</v>
      </c>
      <c r="Z124" s="7">
        <v>0</v>
      </c>
      <c r="AA124" s="15">
        <f>'FY24'!AA124*1.02</f>
        <v>72307.8</v>
      </c>
      <c r="AB124" s="15">
        <f>'FY24'!AB124*1.02</f>
        <v>0</v>
      </c>
      <c r="AC124" s="15">
        <f>'FY24'!AC124*1.02</f>
        <v>0</v>
      </c>
      <c r="AD124" s="7">
        <f t="shared" si="270"/>
        <v>72307.8</v>
      </c>
      <c r="AF124" s="7">
        <v>0</v>
      </c>
      <c r="AG124" s="357">
        <v>35000</v>
      </c>
      <c r="AH124" s="7">
        <f>'FY23'!AH124*1.02</f>
        <v>0</v>
      </c>
      <c r="AI124" s="7">
        <f>'FY23'!AI124*1.02</f>
        <v>0</v>
      </c>
      <c r="AJ124" s="7">
        <f t="shared" si="271"/>
        <v>35000</v>
      </c>
      <c r="AL124" s="7">
        <v>0</v>
      </c>
      <c r="AM124" s="15">
        <f>'FY24'!AM124*1.02</f>
        <v>26928.152999999998</v>
      </c>
      <c r="AN124" s="15">
        <f>'FY24'!AN124*1.02</f>
        <v>0</v>
      </c>
      <c r="AO124" s="15">
        <f>'FY24'!AO124*1.02</f>
        <v>0</v>
      </c>
      <c r="AP124" s="7">
        <f t="shared" si="272"/>
        <v>26928.152999999998</v>
      </c>
      <c r="AR124" s="7">
        <v>0</v>
      </c>
      <c r="AS124" s="7">
        <v>0</v>
      </c>
      <c r="AT124" s="7">
        <v>0</v>
      </c>
      <c r="AU124" s="7">
        <v>0</v>
      </c>
      <c r="AV124" s="7">
        <f t="shared" si="273"/>
        <v>0</v>
      </c>
      <c r="AX124" s="7">
        <f t="shared" si="276"/>
        <v>0</v>
      </c>
      <c r="AY124" s="7">
        <f t="shared" si="274"/>
        <v>300047.12488880003</v>
      </c>
      <c r="AZ124" s="7">
        <f t="shared" si="274"/>
        <v>0</v>
      </c>
      <c r="BA124" s="7">
        <f t="shared" si="274"/>
        <v>0</v>
      </c>
      <c r="BB124" s="7">
        <f t="shared" si="275"/>
        <v>300047.12488880003</v>
      </c>
    </row>
    <row r="125" spans="1:54" x14ac:dyDescent="0.25">
      <c r="A125" s="62" t="s">
        <v>99</v>
      </c>
      <c r="B125" s="7">
        <v>0</v>
      </c>
      <c r="C125" s="7">
        <v>0</v>
      </c>
      <c r="D125" s="7">
        <v>0</v>
      </c>
      <c r="E125" s="7">
        <v>0</v>
      </c>
      <c r="F125" s="7">
        <f t="shared" si="266"/>
        <v>0</v>
      </c>
      <c r="H125" s="7">
        <v>0</v>
      </c>
      <c r="I125" s="7">
        <v>0</v>
      </c>
      <c r="J125" s="7">
        <v>0</v>
      </c>
      <c r="K125" s="7">
        <v>0</v>
      </c>
      <c r="L125" s="7">
        <f t="shared" si="267"/>
        <v>0</v>
      </c>
      <c r="N125" s="7">
        <v>0</v>
      </c>
      <c r="O125" s="7">
        <v>0</v>
      </c>
      <c r="P125" s="7">
        <v>0</v>
      </c>
      <c r="Q125" s="7">
        <v>0</v>
      </c>
      <c r="R125" s="7">
        <f t="shared" si="268"/>
        <v>0</v>
      </c>
      <c r="T125" s="7">
        <v>0</v>
      </c>
      <c r="U125" s="7">
        <v>0</v>
      </c>
      <c r="V125" s="7">
        <v>0</v>
      </c>
      <c r="W125" s="7">
        <v>0</v>
      </c>
      <c r="X125" s="7">
        <f t="shared" si="269"/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f t="shared" si="270"/>
        <v>0</v>
      </c>
      <c r="AF125" s="7">
        <v>0</v>
      </c>
      <c r="AG125" s="7">
        <v>0</v>
      </c>
      <c r="AH125" s="7">
        <v>0</v>
      </c>
      <c r="AI125" s="7">
        <f>(14.25*8*180)*AI51</f>
        <v>0</v>
      </c>
      <c r="AJ125" s="7">
        <f t="shared" si="271"/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f t="shared" si="272"/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f t="shared" si="273"/>
        <v>0</v>
      </c>
      <c r="AX125" s="7">
        <f t="shared" si="276"/>
        <v>0</v>
      </c>
      <c r="AY125" s="7">
        <f t="shared" si="274"/>
        <v>0</v>
      </c>
      <c r="AZ125" s="7">
        <f t="shared" si="274"/>
        <v>0</v>
      </c>
      <c r="BA125" s="7">
        <f t="shared" si="274"/>
        <v>0</v>
      </c>
      <c r="BB125" s="7">
        <f t="shared" si="275"/>
        <v>0</v>
      </c>
    </row>
    <row r="126" spans="1:54" x14ac:dyDescent="0.25">
      <c r="A126" s="62" t="s">
        <v>100</v>
      </c>
      <c r="B126" s="7">
        <v>0</v>
      </c>
      <c r="C126" s="7">
        <v>0</v>
      </c>
      <c r="D126" s="7">
        <v>0</v>
      </c>
      <c r="E126" s="7">
        <f>(14.5*8*180)*E53</f>
        <v>20880</v>
      </c>
      <c r="F126" s="7">
        <f t="shared" si="266"/>
        <v>20880</v>
      </c>
      <c r="H126" s="7">
        <v>0</v>
      </c>
      <c r="I126" s="7">
        <v>0</v>
      </c>
      <c r="J126" s="7">
        <v>0</v>
      </c>
      <c r="K126" s="7">
        <f>(14.75*8*180)*K53</f>
        <v>63720</v>
      </c>
      <c r="L126" s="7">
        <f t="shared" si="267"/>
        <v>63720</v>
      </c>
      <c r="N126" s="7">
        <v>0</v>
      </c>
      <c r="O126" s="7">
        <v>0</v>
      </c>
      <c r="P126" s="7">
        <v>0</v>
      </c>
      <c r="Q126" s="7">
        <f>(14.75*8*180)*Q53</f>
        <v>21240</v>
      </c>
      <c r="R126" s="7">
        <f t="shared" si="268"/>
        <v>21240</v>
      </c>
      <c r="T126" s="7">
        <v>0</v>
      </c>
      <c r="U126" s="7">
        <v>0</v>
      </c>
      <c r="V126" s="7">
        <v>0</v>
      </c>
      <c r="W126" s="7">
        <f>(14.5*8*180)*W53</f>
        <v>20880</v>
      </c>
      <c r="X126" s="7">
        <f t="shared" si="269"/>
        <v>20880</v>
      </c>
      <c r="Z126" s="7">
        <v>0</v>
      </c>
      <c r="AA126" s="7">
        <v>0</v>
      </c>
      <c r="AB126" s="7">
        <v>0</v>
      </c>
      <c r="AC126" s="7">
        <f>(14.5*8*180)*AC53</f>
        <v>41760</v>
      </c>
      <c r="AD126" s="7">
        <f t="shared" si="270"/>
        <v>41760</v>
      </c>
      <c r="AF126" s="7">
        <v>0</v>
      </c>
      <c r="AG126" s="7">
        <v>0</v>
      </c>
      <c r="AH126" s="7">
        <v>0</v>
      </c>
      <c r="AI126" s="357">
        <f>(15*8*180)*AI53</f>
        <v>21600</v>
      </c>
      <c r="AJ126" s="7">
        <f t="shared" si="271"/>
        <v>21600</v>
      </c>
      <c r="AL126" s="7">
        <v>0</v>
      </c>
      <c r="AM126" s="7">
        <v>0</v>
      </c>
      <c r="AN126" s="7">
        <v>0</v>
      </c>
      <c r="AO126" s="7">
        <f>(14*8*180)*AO53</f>
        <v>0</v>
      </c>
      <c r="AP126" s="7">
        <f t="shared" si="272"/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f t="shared" si="273"/>
        <v>0</v>
      </c>
      <c r="AX126" s="7">
        <f t="shared" si="276"/>
        <v>0</v>
      </c>
      <c r="AY126" s="7">
        <f t="shared" si="274"/>
        <v>0</v>
      </c>
      <c r="AZ126" s="7">
        <f t="shared" si="274"/>
        <v>0</v>
      </c>
      <c r="BA126" s="7">
        <f t="shared" si="274"/>
        <v>190080</v>
      </c>
      <c r="BB126" s="7">
        <f t="shared" si="275"/>
        <v>190080</v>
      </c>
    </row>
    <row r="127" spans="1:54" x14ac:dyDescent="0.25">
      <c r="A127" s="62" t="s">
        <v>101</v>
      </c>
      <c r="B127" s="37">
        <f>135*180</f>
        <v>24300</v>
      </c>
      <c r="C127" s="37"/>
      <c r="D127" s="37"/>
      <c r="E127" s="37"/>
      <c r="F127" s="7">
        <f t="shared" si="266"/>
        <v>24300</v>
      </c>
      <c r="H127" s="37">
        <f>135*180*2</f>
        <v>48600</v>
      </c>
      <c r="I127" s="37"/>
      <c r="J127" s="37"/>
      <c r="K127" s="37"/>
      <c r="L127" s="7">
        <f t="shared" si="267"/>
        <v>48600</v>
      </c>
      <c r="N127" s="37">
        <f>125*180</f>
        <v>22500</v>
      </c>
      <c r="O127" s="37"/>
      <c r="P127" s="37"/>
      <c r="Q127" s="37"/>
      <c r="R127" s="7">
        <f t="shared" si="268"/>
        <v>22500</v>
      </c>
      <c r="T127" s="37">
        <f>125*180</f>
        <v>22500</v>
      </c>
      <c r="U127" s="37"/>
      <c r="V127" s="37"/>
      <c r="W127" s="37"/>
      <c r="X127" s="7">
        <f t="shared" si="269"/>
        <v>22500</v>
      </c>
      <c r="Z127" s="37">
        <f>135*180</f>
        <v>24300</v>
      </c>
      <c r="AA127" s="37"/>
      <c r="AB127" s="37"/>
      <c r="AC127" s="37"/>
      <c r="AD127" s="7">
        <f t="shared" si="270"/>
        <v>24300</v>
      </c>
      <c r="AF127" s="37">
        <f>125*180</f>
        <v>22500</v>
      </c>
      <c r="AG127" s="7">
        <v>0</v>
      </c>
      <c r="AH127" s="7">
        <v>0</v>
      </c>
      <c r="AI127" s="7">
        <v>0</v>
      </c>
      <c r="AJ127" s="7">
        <f t="shared" si="271"/>
        <v>22500</v>
      </c>
      <c r="AL127" s="7">
        <v>0</v>
      </c>
      <c r="AM127" s="7">
        <v>0</v>
      </c>
      <c r="AN127" s="7">
        <v>0</v>
      </c>
      <c r="AO127" s="7">
        <v>0</v>
      </c>
      <c r="AP127" s="7">
        <f t="shared" si="272"/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f t="shared" si="273"/>
        <v>0</v>
      </c>
      <c r="AX127" s="7">
        <f t="shared" si="276"/>
        <v>164700</v>
      </c>
      <c r="AY127" s="7">
        <f t="shared" si="274"/>
        <v>0</v>
      </c>
      <c r="AZ127" s="7">
        <f t="shared" si="274"/>
        <v>0</v>
      </c>
      <c r="BA127" s="7">
        <f t="shared" si="274"/>
        <v>0</v>
      </c>
      <c r="BB127" s="7">
        <f t="shared" si="275"/>
        <v>164700</v>
      </c>
    </row>
    <row r="128" spans="1:54" ht="15.75" thickBot="1" x14ac:dyDescent="0.3">
      <c r="A128" s="82" t="s">
        <v>102</v>
      </c>
      <c r="B128" s="87">
        <f>SUM(B118:B127)</f>
        <v>24300</v>
      </c>
      <c r="C128" s="87">
        <f>SUM(C118:C127)</f>
        <v>25269.378775200006</v>
      </c>
      <c r="D128" s="87">
        <f>SUM(D118:D127)</f>
        <v>68680.320552000019</v>
      </c>
      <c r="E128" s="87">
        <f t="shared" ref="E128:F128" si="277">SUM(E118:E127)</f>
        <v>20880</v>
      </c>
      <c r="F128" s="87">
        <f t="shared" si="277"/>
        <v>139129.69932720001</v>
      </c>
      <c r="H128" s="87">
        <f>SUM(H118:H127)</f>
        <v>48600</v>
      </c>
      <c r="I128" s="87">
        <f>SUM(I118:I127)</f>
        <v>45045.414338400005</v>
      </c>
      <c r="J128" s="87">
        <f>SUM(J118:J127)</f>
        <v>265119.93</v>
      </c>
      <c r="K128" s="87">
        <f t="shared" ref="K128:L128" si="278">SUM(K118:K127)</f>
        <v>63720</v>
      </c>
      <c r="L128" s="87">
        <f t="shared" si="278"/>
        <v>422485.3443384</v>
      </c>
      <c r="N128" s="87">
        <f>SUM(N118:N127)</f>
        <v>22500</v>
      </c>
      <c r="O128" s="87">
        <f>SUM(O118:O127)</f>
        <v>25269.378775200003</v>
      </c>
      <c r="P128" s="87">
        <f>SUM(P118:P127)</f>
        <v>99878.399999999994</v>
      </c>
      <c r="Q128" s="87">
        <f t="shared" ref="Q128:R128" si="279">SUM(Q118:Q127)</f>
        <v>21240</v>
      </c>
      <c r="R128" s="87">
        <f t="shared" si="279"/>
        <v>168887.77877520001</v>
      </c>
      <c r="T128" s="87">
        <f>SUM(T118:T127)</f>
        <v>22500</v>
      </c>
      <c r="U128" s="87">
        <f>SUM(U118:U127)</f>
        <v>70227</v>
      </c>
      <c r="V128" s="87">
        <f>SUM(V118:V127)</f>
        <v>128567.43</v>
      </c>
      <c r="W128" s="87">
        <f t="shared" ref="W128:X128" si="280">SUM(W118:W127)</f>
        <v>20880</v>
      </c>
      <c r="X128" s="87">
        <f t="shared" si="280"/>
        <v>242174.43</v>
      </c>
      <c r="Z128" s="87">
        <f>SUM(Z118:Z127)</f>
        <v>24300</v>
      </c>
      <c r="AA128" s="87">
        <f>SUM(AA118:AA127)</f>
        <v>72307.8</v>
      </c>
      <c r="AB128" s="87">
        <f>SUM(AB118:AB127)</f>
        <v>205744.34361599997</v>
      </c>
      <c r="AC128" s="87">
        <f t="shared" ref="AC128:AD128" si="281">SUM(AC118:AC127)</f>
        <v>41760</v>
      </c>
      <c r="AD128" s="87">
        <f t="shared" si="281"/>
        <v>344112.14361599996</v>
      </c>
      <c r="AF128" s="87">
        <f>SUM(AF118:AF127)</f>
        <v>22500</v>
      </c>
      <c r="AG128" s="87">
        <f>SUM(AG118:AG127)</f>
        <v>35000</v>
      </c>
      <c r="AH128" s="87">
        <f>SUM(AH118:AH127)</f>
        <v>0</v>
      </c>
      <c r="AI128" s="87">
        <f t="shared" ref="AI128:AJ128" si="282">SUM(AI118:AI127)</f>
        <v>21600</v>
      </c>
      <c r="AJ128" s="87">
        <f t="shared" si="282"/>
        <v>79100</v>
      </c>
      <c r="AL128" s="87">
        <f>SUM(AL118:AL127)</f>
        <v>0</v>
      </c>
      <c r="AM128" s="87">
        <f>SUM(AM118:AM127)</f>
        <v>26928.152999999998</v>
      </c>
      <c r="AN128" s="87">
        <f>SUM(AN118:AN127)</f>
        <v>0</v>
      </c>
      <c r="AO128" s="87">
        <f t="shared" ref="AO128:AP128" si="283">SUM(AO118:AO127)</f>
        <v>0</v>
      </c>
      <c r="AP128" s="87">
        <f t="shared" si="283"/>
        <v>26928.152999999998</v>
      </c>
      <c r="AR128" s="87">
        <f>SUM(AR118:AR127)</f>
        <v>0</v>
      </c>
      <c r="AS128" s="87">
        <f>SUM(AS118:AS127)</f>
        <v>0</v>
      </c>
      <c r="AT128" s="87">
        <f>SUM(AT118:AT127)</f>
        <v>0</v>
      </c>
      <c r="AU128" s="87">
        <f t="shared" ref="AU128:AV128" si="284">SUM(AU118:AU127)</f>
        <v>0</v>
      </c>
      <c r="AV128" s="87">
        <f t="shared" si="284"/>
        <v>0</v>
      </c>
      <c r="AX128" s="87">
        <f>SUM(AX118:AX127)</f>
        <v>164700</v>
      </c>
      <c r="AY128" s="87">
        <f>SUM(AY118:AY127)</f>
        <v>300047.12488880003</v>
      </c>
      <c r="AZ128" s="87">
        <f>SUM(AZ118:AZ127)</f>
        <v>767990.42416800011</v>
      </c>
      <c r="BA128" s="87">
        <f t="shared" ref="BA128:BB128" si="285">SUM(BA118:BA127)</f>
        <v>190080</v>
      </c>
      <c r="BB128" s="87">
        <f t="shared" si="285"/>
        <v>1422817.5490568001</v>
      </c>
    </row>
    <row r="129" spans="1:54" ht="15.75" thickBot="1" x14ac:dyDescent="0.3">
      <c r="A129" s="89" t="s">
        <v>103</v>
      </c>
      <c r="B129" s="90">
        <f>B116+B128</f>
        <v>2656884.4484272255</v>
      </c>
      <c r="C129" s="90">
        <f>C116+C128</f>
        <v>130873.9387752</v>
      </c>
      <c r="D129" s="90">
        <f>D116+D128</f>
        <v>351000.32055200002</v>
      </c>
      <c r="E129" s="90">
        <f t="shared" ref="E129" si="286">E116+E128</f>
        <v>20880</v>
      </c>
      <c r="F129" s="90">
        <f>F116+F128</f>
        <v>3159638.7077544257</v>
      </c>
      <c r="H129" s="90">
        <f>H116+H128</f>
        <v>6343706.7588007003</v>
      </c>
      <c r="I129" s="90">
        <f>I116+I128</f>
        <v>172485.41433840001</v>
      </c>
      <c r="J129" s="90">
        <f>J116+J128</f>
        <v>1187339.93</v>
      </c>
      <c r="K129" s="90">
        <f t="shared" ref="K129" si="287">K116+K128</f>
        <v>63720</v>
      </c>
      <c r="L129" s="90">
        <f>L116+L128</f>
        <v>7767252.1031391006</v>
      </c>
      <c r="N129" s="90">
        <f>N116+N128</f>
        <v>2724012.40219528</v>
      </c>
      <c r="O129" s="90">
        <f>O116+O128</f>
        <v>182003.14757520001</v>
      </c>
      <c r="P129" s="90">
        <f>P116+P128</f>
        <v>385078.4</v>
      </c>
      <c r="Q129" s="90">
        <f t="shared" ref="Q129" si="288">Q116+Q128</f>
        <v>21240</v>
      </c>
      <c r="R129" s="90">
        <f>R116+R128</f>
        <v>3312333.9497704804</v>
      </c>
      <c r="T129" s="90">
        <f>T116+T128</f>
        <v>3366368.26717128</v>
      </c>
      <c r="U129" s="90">
        <f>U116+U128</f>
        <v>111987</v>
      </c>
      <c r="V129" s="90">
        <f>V116+V128</f>
        <v>481467.43</v>
      </c>
      <c r="W129" s="90">
        <f t="shared" ref="W129" si="289">W116+W128</f>
        <v>20880</v>
      </c>
      <c r="X129" s="90">
        <f>X116+X128</f>
        <v>3980702.6971712802</v>
      </c>
      <c r="Z129" s="90">
        <f>Z116+Z128</f>
        <v>5720161.9070991995</v>
      </c>
      <c r="AA129" s="90">
        <f>AA116+AA128</f>
        <v>157267.79999999999</v>
      </c>
      <c r="AB129" s="90">
        <f>AB116+AB128</f>
        <v>1008780.3436159999</v>
      </c>
      <c r="AC129" s="90">
        <f t="shared" ref="AC129" si="290">AC116+AC128</f>
        <v>41760</v>
      </c>
      <c r="AD129" s="90">
        <f>AD116+AD128</f>
        <v>6927970.0507151997</v>
      </c>
      <c r="AF129" s="90">
        <f>AF116+AF128</f>
        <v>2139860</v>
      </c>
      <c r="AG129" s="90">
        <f>AG116+AG128</f>
        <v>101300</v>
      </c>
      <c r="AH129" s="90">
        <f>AH116+AH128</f>
        <v>276550</v>
      </c>
      <c r="AI129" s="90">
        <f t="shared" ref="AI129" si="291">AI116+AI128</f>
        <v>21600</v>
      </c>
      <c r="AJ129" s="90">
        <f>AJ116+AJ128</f>
        <v>2539310</v>
      </c>
      <c r="AL129" s="90">
        <f>AL116+AL128</f>
        <v>151540.5024</v>
      </c>
      <c r="AM129" s="90">
        <f>AM116+AM128</f>
        <v>26928.152999999998</v>
      </c>
      <c r="AN129" s="90">
        <f>AN116+AN128</f>
        <v>0</v>
      </c>
      <c r="AO129" s="90">
        <f t="shared" ref="AO129" si="292">AO116+AO128</f>
        <v>0</v>
      </c>
      <c r="AP129" s="90">
        <f>AP116+AP128</f>
        <v>178468.65539999999</v>
      </c>
      <c r="AR129" s="90">
        <f>AR116+AR128</f>
        <v>279400</v>
      </c>
      <c r="AS129" s="90">
        <f>AS116+AS128</f>
        <v>0</v>
      </c>
      <c r="AT129" s="90">
        <f>AT116+AT128</f>
        <v>70880</v>
      </c>
      <c r="AU129" s="90">
        <f t="shared" ref="AU129" si="293">AU116+AU128</f>
        <v>0</v>
      </c>
      <c r="AV129" s="90">
        <f>AV116+AV128</f>
        <v>350280</v>
      </c>
      <c r="AX129" s="90">
        <f>AX116+AX128</f>
        <v>23381934.28609369</v>
      </c>
      <c r="AY129" s="90">
        <f>AY116+AY128</f>
        <v>882845.4536888001</v>
      </c>
      <c r="AZ129" s="90">
        <f>AZ116+AZ128</f>
        <v>3761096.424168</v>
      </c>
      <c r="BA129" s="90">
        <f t="shared" ref="BA129" si="294">BA116+BA128</f>
        <v>190080</v>
      </c>
      <c r="BB129" s="90">
        <f>BB116+BB128</f>
        <v>28215956.163950488</v>
      </c>
    </row>
    <row r="130" spans="1:54" x14ac:dyDescent="0.25">
      <c r="A130" s="62" t="s">
        <v>104</v>
      </c>
      <c r="B130" s="80">
        <f>B129*0.2975</f>
        <v>790423.12340709951</v>
      </c>
      <c r="C130" s="61">
        <f t="shared" ref="C130:E130" si="295">C129*0.2975</f>
        <v>38934.996785622003</v>
      </c>
      <c r="D130" s="61">
        <f t="shared" si="295"/>
        <v>104422.59536422</v>
      </c>
      <c r="E130" s="61">
        <f t="shared" si="295"/>
        <v>6211.7999999999993</v>
      </c>
      <c r="F130" s="61">
        <f>SUM(B130:E130)</f>
        <v>939992.51555694151</v>
      </c>
      <c r="H130" s="61">
        <f>H129*0.2975</f>
        <v>1887252.7607432082</v>
      </c>
      <c r="I130" s="61">
        <f t="shared" ref="I130:K130" si="296">I129*0.2975</f>
        <v>51314.410765674002</v>
      </c>
      <c r="J130" s="61">
        <f t="shared" si="296"/>
        <v>353233.62917499995</v>
      </c>
      <c r="K130" s="61">
        <f t="shared" si="296"/>
        <v>18956.7</v>
      </c>
      <c r="L130" s="61">
        <f>SUM(H130:K130)</f>
        <v>2310757.5006838823</v>
      </c>
      <c r="N130" s="61">
        <f>N129*0.2975</f>
        <v>810393.68965309579</v>
      </c>
      <c r="O130" s="61">
        <f t="shared" ref="O130:Q130" si="297">O129*0.2975</f>
        <v>54145.936403621999</v>
      </c>
      <c r="P130" s="61">
        <f t="shared" si="297"/>
        <v>114560.82400000001</v>
      </c>
      <c r="Q130" s="61">
        <f t="shared" si="297"/>
        <v>6318.9</v>
      </c>
      <c r="R130" s="61">
        <f>SUM(N130:Q130)</f>
        <v>985419.35005671787</v>
      </c>
      <c r="T130" s="61">
        <f>T129*0.2975</f>
        <v>1001494.5594834557</v>
      </c>
      <c r="U130" s="61">
        <f t="shared" ref="U130:W130" si="298">U129*0.2975</f>
        <v>33316.1325</v>
      </c>
      <c r="V130" s="61">
        <f t="shared" si="298"/>
        <v>143236.560425</v>
      </c>
      <c r="W130" s="61">
        <f t="shared" si="298"/>
        <v>6211.7999999999993</v>
      </c>
      <c r="X130" s="61">
        <f>SUM(T130:W130)</f>
        <v>1184259.0524084556</v>
      </c>
      <c r="Z130" s="61">
        <f>Z129*0.2975</f>
        <v>1701748.1673620117</v>
      </c>
      <c r="AA130" s="61">
        <f t="shared" ref="AA130:AC130" si="299">AA129*0.2975</f>
        <v>46787.170499999993</v>
      </c>
      <c r="AB130" s="61">
        <f t="shared" si="299"/>
        <v>300112.15222575999</v>
      </c>
      <c r="AC130" s="61">
        <f t="shared" si="299"/>
        <v>12423.599999999999</v>
      </c>
      <c r="AD130" s="61">
        <f>SUM(Z130:AC130)</f>
        <v>2061071.0900877719</v>
      </c>
      <c r="AF130" s="61">
        <f>AF129*0.2975</f>
        <v>636608.35</v>
      </c>
      <c r="AG130" s="61">
        <f t="shared" ref="AG130:AI130" si="300">AG129*0.2975</f>
        <v>30136.75</v>
      </c>
      <c r="AH130" s="61">
        <f t="shared" si="300"/>
        <v>82273.625</v>
      </c>
      <c r="AI130" s="61">
        <f t="shared" si="300"/>
        <v>6426</v>
      </c>
      <c r="AJ130" s="61">
        <f>SUM(AF130:AI130)</f>
        <v>755444.72499999998</v>
      </c>
      <c r="AL130" s="61">
        <f>AL129*0.2975</f>
        <v>45083.299463999996</v>
      </c>
      <c r="AM130" s="61">
        <f t="shared" ref="AM130:AO130" si="301">AM129*0.2975</f>
        <v>8011.1255174999988</v>
      </c>
      <c r="AN130" s="61">
        <f t="shared" si="301"/>
        <v>0</v>
      </c>
      <c r="AO130" s="61">
        <f t="shared" si="301"/>
        <v>0</v>
      </c>
      <c r="AP130" s="61">
        <f>SUM(AL130:AO130)</f>
        <v>53094.424981499993</v>
      </c>
      <c r="AR130" s="61">
        <f>AR129*0.2975</f>
        <v>83121.5</v>
      </c>
      <c r="AS130" s="61">
        <f t="shared" ref="AS130:AU130" si="302">AS129*0.2975</f>
        <v>0</v>
      </c>
      <c r="AT130" s="61">
        <f t="shared" si="302"/>
        <v>21086.799999999999</v>
      </c>
      <c r="AU130" s="61">
        <f t="shared" si="302"/>
        <v>0</v>
      </c>
      <c r="AV130" s="61">
        <f>SUM(AR130:AU130)</f>
        <v>104208.3</v>
      </c>
      <c r="AX130" s="7">
        <f>B130+H130+N130+T130+Z130+AF130+AL130+AR130</f>
        <v>6956125.4501128709</v>
      </c>
      <c r="AY130" s="7">
        <f t="shared" ref="AY130:BA137" si="303">C130+I130+O130+U130+AA130+AG130+AM130+AS130</f>
        <v>262646.52247241797</v>
      </c>
      <c r="AZ130" s="7">
        <f t="shared" si="303"/>
        <v>1118926.18618998</v>
      </c>
      <c r="BA130" s="7">
        <f t="shared" si="303"/>
        <v>56548.799999999996</v>
      </c>
      <c r="BB130" s="61">
        <f>SUM(AX130:BA130)</f>
        <v>8394246.9587752689</v>
      </c>
    </row>
    <row r="131" spans="1:54" x14ac:dyDescent="0.25">
      <c r="A131" s="62" t="s">
        <v>105</v>
      </c>
      <c r="B131" s="14">
        <f>B129*0.1825</f>
        <v>484881.41183796863</v>
      </c>
      <c r="C131" s="14">
        <f t="shared" ref="C131:E131" si="304">C129*0.1825</f>
        <v>23884.493826474001</v>
      </c>
      <c r="D131" s="14">
        <f t="shared" si="304"/>
        <v>64057.55850074</v>
      </c>
      <c r="E131" s="14">
        <f t="shared" si="304"/>
        <v>3810.6</v>
      </c>
      <c r="F131" s="61">
        <f t="shared" ref="F131:F137" si="305">SUM(B131:E131)</f>
        <v>576634.06416518264</v>
      </c>
      <c r="H131" s="14">
        <f>H129*0.1825</f>
        <v>1157726.4834811278</v>
      </c>
      <c r="I131" s="14">
        <f t="shared" ref="I131:K131" si="306">I129*0.1825</f>
        <v>31478.588116758001</v>
      </c>
      <c r="J131" s="14">
        <f t="shared" si="306"/>
        <v>216689.53722499998</v>
      </c>
      <c r="K131" s="14">
        <f t="shared" si="306"/>
        <v>11628.9</v>
      </c>
      <c r="L131" s="61">
        <f t="shared" ref="L131:L137" si="307">SUM(H131:K131)</f>
        <v>1417523.5088228858</v>
      </c>
      <c r="N131" s="14">
        <f>N129*0.1825</f>
        <v>497132.26340063859</v>
      </c>
      <c r="O131" s="14">
        <f t="shared" ref="O131:Q131" si="308">O129*0.1825</f>
        <v>33215.574432474001</v>
      </c>
      <c r="P131" s="14">
        <f t="shared" si="308"/>
        <v>70276.808000000005</v>
      </c>
      <c r="Q131" s="14">
        <f t="shared" si="308"/>
        <v>3876.2999999999997</v>
      </c>
      <c r="R131" s="61">
        <f t="shared" ref="R131:R137" si="309">SUM(N131:Q131)</f>
        <v>604500.94583311258</v>
      </c>
      <c r="T131" s="14">
        <f>T129*0.1825</f>
        <v>614362.20875875861</v>
      </c>
      <c r="U131" s="14">
        <f t="shared" ref="U131:W131" si="310">U129*0.1825</f>
        <v>20437.627499999999</v>
      </c>
      <c r="V131" s="14">
        <f t="shared" si="310"/>
        <v>87867.805974999996</v>
      </c>
      <c r="W131" s="14">
        <f t="shared" si="310"/>
        <v>3810.6</v>
      </c>
      <c r="X131" s="61">
        <f t="shared" ref="X131:X137" si="311">SUM(T131:W131)</f>
        <v>726478.24223375856</v>
      </c>
      <c r="Z131" s="14">
        <f>Z129*0.1825</f>
        <v>1043929.5480456039</v>
      </c>
      <c r="AA131" s="14">
        <f t="shared" ref="AA131:AC131" si="312">AA129*0.1825</f>
        <v>28701.373499999998</v>
      </c>
      <c r="AB131" s="14">
        <f t="shared" si="312"/>
        <v>184102.41270991997</v>
      </c>
      <c r="AC131" s="14">
        <f t="shared" si="312"/>
        <v>7621.2</v>
      </c>
      <c r="AD131" s="61">
        <f t="shared" ref="AD131:AD137" si="313">SUM(Z131:AC131)</f>
        <v>1264354.5342555239</v>
      </c>
      <c r="AF131" s="14">
        <f>AF129*0.1825</f>
        <v>390524.45</v>
      </c>
      <c r="AG131" s="14">
        <f t="shared" ref="AG131:AI131" si="314">AG129*0.1825</f>
        <v>18487.25</v>
      </c>
      <c r="AH131" s="14">
        <f t="shared" si="314"/>
        <v>50470.375</v>
      </c>
      <c r="AI131" s="14">
        <f t="shared" si="314"/>
        <v>3942</v>
      </c>
      <c r="AJ131" s="61">
        <f t="shared" ref="AJ131:AJ137" si="315">SUM(AF131:AI131)</f>
        <v>463424.07500000001</v>
      </c>
      <c r="AL131" s="14">
        <f>AL129*0.1825</f>
        <v>27656.141688</v>
      </c>
      <c r="AM131" s="14">
        <f t="shared" ref="AM131:AO131" si="316">AM129*0.1825</f>
        <v>4914.3879224999991</v>
      </c>
      <c r="AN131" s="14">
        <f t="shared" si="316"/>
        <v>0</v>
      </c>
      <c r="AO131" s="14">
        <f t="shared" si="316"/>
        <v>0</v>
      </c>
      <c r="AP131" s="61">
        <f t="shared" ref="AP131:AP137" si="317">SUM(AL131:AO131)</f>
        <v>32570.529610499998</v>
      </c>
      <c r="AR131" s="14">
        <f>AR129*0.1825</f>
        <v>50990.5</v>
      </c>
      <c r="AS131" s="14">
        <f t="shared" ref="AS131:AU131" si="318">AS129*0.1825</f>
        <v>0</v>
      </c>
      <c r="AT131" s="14">
        <f t="shared" si="318"/>
        <v>12935.6</v>
      </c>
      <c r="AU131" s="14">
        <f t="shared" si="318"/>
        <v>0</v>
      </c>
      <c r="AV131" s="61">
        <f t="shared" ref="AV131:AV137" si="319">SUM(AR131:AU131)</f>
        <v>63926.1</v>
      </c>
      <c r="AX131" s="7">
        <f t="shared" ref="AX131:AX137" si="320">B131+H131+N131+T131+Z131+AF131+AL131+AR131</f>
        <v>4267203.0072120978</v>
      </c>
      <c r="AY131" s="7">
        <f t="shared" si="303"/>
        <v>161119.29529820598</v>
      </c>
      <c r="AZ131" s="7">
        <f t="shared" si="303"/>
        <v>686400.09741065989</v>
      </c>
      <c r="BA131" s="7">
        <f t="shared" si="303"/>
        <v>34689.599999999999</v>
      </c>
      <c r="BB131" s="61">
        <f t="shared" ref="BB131:BB137" si="321">SUM(AX131:BA131)</f>
        <v>5149411.9999209633</v>
      </c>
    </row>
    <row r="132" spans="1:54" x14ac:dyDescent="0.25">
      <c r="A132" s="62" t="s">
        <v>249</v>
      </c>
      <c r="B132" s="11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1">
        <f t="shared" ref="C132:E132" si="322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1">
        <f t="shared" si="322"/>
        <v>5456</v>
      </c>
      <c r="E132" s="11">
        <f t="shared" si="322"/>
        <v>264</v>
      </c>
      <c r="F132" s="61">
        <f t="shared" si="305"/>
        <v>52404</v>
      </c>
      <c r="H132" s="11">
        <f>(((H42*2000)+(H43*1500)+(H44*1200)+(H45*1200)+(H46*1200)+(H47*1000)+(H48*1000)+(H49*300)+(H50*300)+(H51*300)+(H52*300)+(H53*300)+(H55*1000)+(H56*1000)+(H57*1000)+(H58*1000)+(H59*1000)+(H60*1000)+(H39*1000)+(1000*H54)))*0.9</f>
        <v>107910</v>
      </c>
      <c r="I132" s="11">
        <f t="shared" ref="I132:K132" si="323">(((I42*2000)+(I43*1500)+(I44*1200)+(I45*1200)+(I46*1200)+(I47*1000)+(I48*1000)+(I49*300)+(I50*300)+(I51*300)+(I52*300)+(I53*300)+(I55*1000)+(I56*1000)+(I57*1000)+(I58*1000)+(I59*1000)+(I60*1000)+(I39*1000)+(1000*I54)))*0.9</f>
        <v>3600</v>
      </c>
      <c r="J132" s="11">
        <f t="shared" si="323"/>
        <v>17910</v>
      </c>
      <c r="K132" s="11">
        <f t="shared" si="323"/>
        <v>810</v>
      </c>
      <c r="L132" s="61">
        <f t="shared" si="307"/>
        <v>130230</v>
      </c>
      <c r="N132" s="11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1">
        <f t="shared" ref="O132:Q132" si="324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1">
        <f t="shared" si="324"/>
        <v>4977</v>
      </c>
      <c r="Q132" s="11">
        <f t="shared" si="324"/>
        <v>270</v>
      </c>
      <c r="R132" s="61">
        <f t="shared" ref="R132:R135" si="325">SUM(N132:Q132)</f>
        <v>55152</v>
      </c>
      <c r="T132" s="11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1">
        <f t="shared" ref="U132:W132" si="326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1">
        <f t="shared" si="326"/>
        <v>8856</v>
      </c>
      <c r="W132" s="11">
        <f t="shared" si="326"/>
        <v>270</v>
      </c>
      <c r="X132" s="61">
        <f t="shared" si="311"/>
        <v>69741</v>
      </c>
      <c r="Z132" s="11">
        <f>(((Z42*2000)+(Z43*1500)+(Z44*1200)+(Z45*1200)+(Z46*1200)+(Z47*1000)+(Z48*1000)+(Z49*300)+(Z50*300)+(Z51*300)+(Z52*300)+(Z53*300)+(Z55*1000)+(Z56*1000)+(Z57*1000)+(Z58*1000)+(Z59*1000)+(Z60*1000)+(Z39*1000)+(1000*Z54)))*0.88</f>
        <v>99176</v>
      </c>
      <c r="AA132" s="11">
        <f t="shared" ref="AA132:AC132" si="327">(((AA42*2000)+(AA43*1500)+(AA44*1200)+(AA45*1200)+(AA46*1200)+(AA47*1000)+(AA48*1000)+(AA49*300)+(AA50*300)+(AA51*300)+(AA52*300)+(AA53*300)+(AA55*1000)+(AA56*1000)+(AA57*1000)+(AA58*1000)+(AA59*1000)+(AA60*1000)+(AA39*1000)+(1000*AA54)))*0.88</f>
        <v>2376</v>
      </c>
      <c r="AB132" s="11">
        <f t="shared" si="327"/>
        <v>14370.4</v>
      </c>
      <c r="AC132" s="11">
        <f t="shared" si="327"/>
        <v>528</v>
      </c>
      <c r="AD132" s="61">
        <f t="shared" si="313"/>
        <v>116450.4</v>
      </c>
      <c r="AF132" s="11">
        <f>(((AF42*2000)+(AF43*1500)+(AF44*1200)+(AF45*1200)+(AF46*1200)+(AF47*1000)+(AF48*1000)+(AF49*300)+(AF50*300)+(AF51*300)+(AF52*300)+(AF53*300)+(AF55*1000)+(AF56*1000)+(AF57*1000)+(AF58*1000)+(AF59*1000)+(AF60*1000)+(AF39*1000)+(1000*AF54)))*0.88</f>
        <v>36872</v>
      </c>
      <c r="AG132" s="11">
        <f t="shared" ref="AG132:AI132" si="328">(((AG42*2000)+(AG43*1500)+(AG44*1200)+(AG45*1200)+(AG46*1200)+(AG47*1000)+(AG48*1000)+(AG49*300)+(AG50*300)+(AG51*300)+(AG52*300)+(AG53*300)+(AG55*1000)+(AG56*1000)+(AG57*1000)+(AG58*1000)+(AG59*1000)+(AG60*1000)+(AG39*1000)+(1000*AG54)))*0.88</f>
        <v>1496</v>
      </c>
      <c r="AH132" s="11">
        <f t="shared" si="328"/>
        <v>4400</v>
      </c>
      <c r="AI132" s="11">
        <f t="shared" si="328"/>
        <v>264</v>
      </c>
      <c r="AJ132" s="61">
        <f t="shared" si="315"/>
        <v>43032</v>
      </c>
      <c r="AL132" s="11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1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1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1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61">
        <f t="shared" si="317"/>
        <v>4137.5</v>
      </c>
      <c r="AR132" s="11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1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1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1420</v>
      </c>
      <c r="AU132" s="11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61">
        <f t="shared" si="319"/>
        <v>3445</v>
      </c>
      <c r="AX132" s="7">
        <f t="shared" si="320"/>
        <v>401101</v>
      </c>
      <c r="AY132" s="7">
        <f t="shared" si="303"/>
        <v>13695.5</v>
      </c>
      <c r="AZ132" s="7">
        <f t="shared" si="303"/>
        <v>57389.4</v>
      </c>
      <c r="BA132" s="7">
        <f t="shared" si="303"/>
        <v>2406</v>
      </c>
      <c r="BB132" s="61">
        <f t="shared" si="321"/>
        <v>474591.9</v>
      </c>
    </row>
    <row r="133" spans="1:54" x14ac:dyDescent="0.25">
      <c r="A133" s="62" t="s">
        <v>250</v>
      </c>
      <c r="B133" s="11">
        <f>125*B66+2500</f>
        <v>8812.5</v>
      </c>
      <c r="C133" s="11">
        <f t="shared" ref="C133:E133" si="329">125*C66</f>
        <v>375</v>
      </c>
      <c r="D133" s="11">
        <f t="shared" si="329"/>
        <v>1125</v>
      </c>
      <c r="E133" s="11">
        <f t="shared" si="329"/>
        <v>125</v>
      </c>
      <c r="F133" s="61">
        <f t="shared" si="305"/>
        <v>10437.5</v>
      </c>
      <c r="H133" s="11">
        <f>125*H66+3000</f>
        <v>18250</v>
      </c>
      <c r="I133" s="11">
        <f t="shared" ref="I133:K133" si="330">125*I66</f>
        <v>1000</v>
      </c>
      <c r="J133" s="11">
        <f t="shared" si="330"/>
        <v>3625</v>
      </c>
      <c r="K133" s="11">
        <f t="shared" si="330"/>
        <v>375</v>
      </c>
      <c r="L133" s="61">
        <f t="shared" si="307"/>
        <v>23250</v>
      </c>
      <c r="N133" s="11">
        <f>125*N66+2500</f>
        <v>9250</v>
      </c>
      <c r="O133" s="11">
        <f t="shared" ref="O133:Q133" si="331">125*O66</f>
        <v>625</v>
      </c>
      <c r="P133" s="11">
        <f t="shared" si="331"/>
        <v>1041.25</v>
      </c>
      <c r="Q133" s="11">
        <f t="shared" si="331"/>
        <v>125</v>
      </c>
      <c r="R133" s="61">
        <f t="shared" si="325"/>
        <v>11041.25</v>
      </c>
      <c r="T133" s="11">
        <f>125*T66+2500</f>
        <v>10812.5</v>
      </c>
      <c r="U133" s="11">
        <f t="shared" ref="U133:W133" si="332">125*U66</f>
        <v>437.5</v>
      </c>
      <c r="V133" s="11">
        <f t="shared" si="332"/>
        <v>1667.5</v>
      </c>
      <c r="W133" s="11">
        <f t="shared" si="332"/>
        <v>125</v>
      </c>
      <c r="X133" s="61">
        <f t="shared" si="311"/>
        <v>13042.5</v>
      </c>
      <c r="Z133" s="11">
        <f>125*Z66+3000</f>
        <v>17375</v>
      </c>
      <c r="AA133" s="11">
        <f t="shared" ref="AA133:AC133" si="333">125*AA66</f>
        <v>687.5</v>
      </c>
      <c r="AB133" s="11">
        <f t="shared" si="333"/>
        <v>2853.75</v>
      </c>
      <c r="AC133" s="11">
        <f t="shared" si="333"/>
        <v>250</v>
      </c>
      <c r="AD133" s="61">
        <f t="shared" si="313"/>
        <v>21166.25</v>
      </c>
      <c r="AF133" s="11">
        <f>125*AF66+3000</f>
        <v>8250</v>
      </c>
      <c r="AG133" s="11">
        <f t="shared" ref="AG133:AI133" si="334">125*AG66</f>
        <v>187.5</v>
      </c>
      <c r="AH133" s="11">
        <f t="shared" si="334"/>
        <v>1062.5</v>
      </c>
      <c r="AI133" s="11">
        <f t="shared" si="334"/>
        <v>125</v>
      </c>
      <c r="AJ133" s="61">
        <f t="shared" si="315"/>
        <v>9625</v>
      </c>
      <c r="AL133" s="11"/>
      <c r="AM133" s="11"/>
      <c r="AN133" s="11"/>
      <c r="AO133" s="11"/>
      <c r="AP133" s="61">
        <f t="shared" si="317"/>
        <v>0</v>
      </c>
      <c r="AR133" s="11"/>
      <c r="AS133" s="11"/>
      <c r="AT133" s="11"/>
      <c r="AU133" s="11"/>
      <c r="AV133" s="61"/>
      <c r="AX133" s="7">
        <f t="shared" si="320"/>
        <v>72750</v>
      </c>
      <c r="AY133" s="7">
        <f t="shared" si="303"/>
        <v>3312.5</v>
      </c>
      <c r="AZ133" s="7">
        <f t="shared" si="303"/>
        <v>11375</v>
      </c>
      <c r="BA133" s="7">
        <f t="shared" si="303"/>
        <v>1125</v>
      </c>
      <c r="BB133" s="61">
        <f t="shared" si="321"/>
        <v>88562.5</v>
      </c>
    </row>
    <row r="134" spans="1:54" x14ac:dyDescent="0.25">
      <c r="A134" s="62" t="s">
        <v>107</v>
      </c>
      <c r="B134" s="14">
        <v>2500</v>
      </c>
      <c r="C134" s="14"/>
      <c r="D134" s="14"/>
      <c r="E134" s="14"/>
      <c r="F134" s="61">
        <f t="shared" si="305"/>
        <v>2500</v>
      </c>
      <c r="H134" s="14">
        <v>2500</v>
      </c>
      <c r="I134" s="14"/>
      <c r="J134" s="14"/>
      <c r="K134" s="14"/>
      <c r="L134" s="61">
        <f t="shared" si="307"/>
        <v>2500</v>
      </c>
      <c r="N134" s="14">
        <v>2500</v>
      </c>
      <c r="O134" s="14"/>
      <c r="P134" s="14"/>
      <c r="Q134" s="14"/>
      <c r="R134" s="61">
        <f t="shared" si="325"/>
        <v>2500</v>
      </c>
      <c r="T134" s="14">
        <f>2500+15000</f>
        <v>17500</v>
      </c>
      <c r="U134" s="14"/>
      <c r="V134" s="14"/>
      <c r="W134" s="14"/>
      <c r="X134" s="61">
        <f t="shared" si="311"/>
        <v>17500</v>
      </c>
      <c r="Z134" s="14">
        <v>15000</v>
      </c>
      <c r="AA134" s="14"/>
      <c r="AB134" s="14"/>
      <c r="AC134" s="14"/>
      <c r="AD134" s="61">
        <f t="shared" si="313"/>
        <v>15000</v>
      </c>
      <c r="AF134" s="14">
        <v>3000</v>
      </c>
      <c r="AG134" s="14"/>
      <c r="AH134" s="14"/>
      <c r="AI134" s="14"/>
      <c r="AJ134" s="61">
        <f t="shared" si="315"/>
        <v>3000</v>
      </c>
      <c r="AL134" s="14"/>
      <c r="AM134" s="14"/>
      <c r="AN134" s="14"/>
      <c r="AO134" s="14"/>
      <c r="AP134" s="61">
        <f t="shared" si="317"/>
        <v>0</v>
      </c>
      <c r="AR134" s="14"/>
      <c r="AS134" s="14"/>
      <c r="AT134" s="14"/>
      <c r="AU134" s="14"/>
      <c r="AV134" s="61">
        <f t="shared" si="319"/>
        <v>0</v>
      </c>
      <c r="AX134" s="7">
        <f t="shared" si="320"/>
        <v>43000</v>
      </c>
      <c r="AY134" s="7">
        <f t="shared" si="303"/>
        <v>0</v>
      </c>
      <c r="AZ134" s="7">
        <f t="shared" si="303"/>
        <v>0</v>
      </c>
      <c r="BA134" s="7">
        <f t="shared" si="303"/>
        <v>0</v>
      </c>
      <c r="BB134" s="61">
        <f t="shared" si="321"/>
        <v>43000</v>
      </c>
    </row>
    <row r="135" spans="1:54" x14ac:dyDescent="0.25">
      <c r="A135" s="62" t="s">
        <v>251</v>
      </c>
      <c r="B135" s="14">
        <f>(500*B39)+((500*(B42+B43+B44+B45+B46+B47+B48))+((250*(B49+B50+B51+B52+B53+B54))+((500*(B55+B56+B57+B58+B59+B60+B61)))))</f>
        <v>24500</v>
      </c>
      <c r="C135" s="14">
        <f t="shared" ref="C135:E135" si="335">(500*C39)+((500*(C42+C43+C44+C45+C46+C47+C48))+((250*(C49+C50+C51+C52+C53+C54))+((500*(C55+C56+C57+C58+C59+C60+C61)))))</f>
        <v>1125</v>
      </c>
      <c r="D135" s="14">
        <f t="shared" si="335"/>
        <v>3500</v>
      </c>
      <c r="E135" s="14">
        <f t="shared" si="335"/>
        <v>250</v>
      </c>
      <c r="F135" s="61">
        <f t="shared" si="305"/>
        <v>29375</v>
      </c>
      <c r="H135" s="14">
        <f>(500*H39)+((500*(H42+H43+H44+H45+H46+H47+H48))+((250*(H49+H50+H51+H52+H53+H54))+((500*(H55+H56+H57+H58+H59+H60+H61)))))</f>
        <v>58750</v>
      </c>
      <c r="I135" s="14">
        <f t="shared" ref="I135:K135" si="336">(1000*I39)+((1000*(I42+I43+I44+I45+I46+I47+I48))+((500*(I49+I50+I51+I52+I53+I54))+((1000*(I55+I56+I57+I58+I59+I60+I61)))))</f>
        <v>5000</v>
      </c>
      <c r="J135" s="14">
        <f t="shared" si="336"/>
        <v>22500</v>
      </c>
      <c r="K135" s="14">
        <f t="shared" si="336"/>
        <v>1500</v>
      </c>
      <c r="L135" s="61">
        <f t="shared" si="307"/>
        <v>87750</v>
      </c>
      <c r="N135" s="14">
        <f>(500*N39)+((500*(N42+N43+N44+N45+N46+N47+N48))+((250*(N49+N50+N51+N52+N53+N54))+((500*(N55+N56+N57+N58+N59+N60+N61)))))</f>
        <v>26000</v>
      </c>
      <c r="O135" s="14">
        <f t="shared" ref="O135:Q135" si="337">(500*O39)+((500*(O42+O43+O44+O45+O46+O47+O48))+((250*(O49+O50+O51+O52+O53+O54))+((500*(O55+O56+O57+O58+O59+O60+O61)))))</f>
        <v>1375</v>
      </c>
      <c r="P135" s="14">
        <f t="shared" si="337"/>
        <v>3165</v>
      </c>
      <c r="Q135" s="14">
        <f t="shared" si="337"/>
        <v>250</v>
      </c>
      <c r="R135" s="61">
        <f t="shared" si="325"/>
        <v>30790</v>
      </c>
      <c r="T135" s="14">
        <f>(500*T39)+((500*(T42+T43+T44+T45+T46+T47+T48))+((250*(T49+T50+T51+T52+T53+T54))+((500*(T55+T56+T57+T58+T59+T60+T61)))))</f>
        <v>31875</v>
      </c>
      <c r="U135" s="14">
        <f t="shared" ref="U135:W135" si="338">(500*U39)+((500*(U42+U43+U44+U45+U46+U47+U48))+((250*(U49+U50+U51+U52+U53+U54))+((500*(U55+U56+U57+U58+U59+U60+U61)))))</f>
        <v>1250</v>
      </c>
      <c r="V135" s="14">
        <f t="shared" si="338"/>
        <v>5420</v>
      </c>
      <c r="W135" s="14">
        <f t="shared" si="338"/>
        <v>250</v>
      </c>
      <c r="X135" s="61">
        <f t="shared" si="311"/>
        <v>38795</v>
      </c>
      <c r="Z135" s="14">
        <f>(500*Z39)+((500*(Z42+Z43+Z44+Z45+Z46+Z47+Z48))+((250*(Z49+Z50+Z51+Z52+Z53+Z54))+((500*(Z55+Z56+Z57+Z58+Z59+Z60+Z61)))))</f>
        <v>55500</v>
      </c>
      <c r="AA135" s="14">
        <f t="shared" ref="AA135:AC135" si="339">(500*AA39)+((500*(AA42+AA43+AA44+AA45+AA46+AA47+AA48))+((250*(AA49+AA50+AA51+AA52+AA53+AA54))+((500*(AA55+AA56+AA57+AA58+AA59+AA60+AA61)))))</f>
        <v>1750</v>
      </c>
      <c r="AB135" s="14">
        <f t="shared" si="339"/>
        <v>8915</v>
      </c>
      <c r="AC135" s="14">
        <f t="shared" si="339"/>
        <v>500</v>
      </c>
      <c r="AD135" s="61">
        <f t="shared" si="313"/>
        <v>66665</v>
      </c>
      <c r="AF135" s="14">
        <f>(500*AF39)+((500*(AF42+AF43+AF44+AF45+AF46+AF47+AF48))+((250*(AF49+AF50+AF51+AF52+AF53+AF54))+((500*(AF55+AF56+AF57+AF58+AF59+AF60+AF61)))))</f>
        <v>20250</v>
      </c>
      <c r="AG135" s="14">
        <f t="shared" ref="AG135:AI135" si="340">(500*AG39)+((500*(AG42+AG43+AG44+AG45+AG46+AG47+AG48))+((250*(AG49+AG50+AG51+AG52+AG53+AG54))+((500*(AG55+AG56+AG57+AG58+AG59+AG60+AG61)))))</f>
        <v>750</v>
      </c>
      <c r="AH135" s="14">
        <f t="shared" si="340"/>
        <v>3000</v>
      </c>
      <c r="AI135" s="14">
        <f t="shared" si="340"/>
        <v>250</v>
      </c>
      <c r="AJ135" s="61">
        <f t="shared" si="315"/>
        <v>24250</v>
      </c>
      <c r="AL135" s="14"/>
      <c r="AM135" s="14"/>
      <c r="AN135" s="14"/>
      <c r="AO135" s="14"/>
      <c r="AP135" s="61">
        <f t="shared" si="317"/>
        <v>0</v>
      </c>
      <c r="AR135" s="14"/>
      <c r="AS135" s="14"/>
      <c r="AT135" s="14"/>
      <c r="AU135" s="14"/>
      <c r="AV135" s="61"/>
      <c r="AX135" s="7">
        <f t="shared" si="320"/>
        <v>216875</v>
      </c>
      <c r="AY135" s="7">
        <f t="shared" si="303"/>
        <v>11250</v>
      </c>
      <c r="AZ135" s="7">
        <f t="shared" si="303"/>
        <v>46500</v>
      </c>
      <c r="BA135" s="7">
        <f t="shared" si="303"/>
        <v>3000</v>
      </c>
      <c r="BB135" s="61">
        <f t="shared" si="321"/>
        <v>277625</v>
      </c>
    </row>
    <row r="136" spans="1:54" x14ac:dyDescent="0.25">
      <c r="A136" s="62" t="s">
        <v>108</v>
      </c>
      <c r="B136" s="7">
        <v>7500</v>
      </c>
      <c r="C136" s="7"/>
      <c r="D136" s="7"/>
      <c r="E136" s="7"/>
      <c r="F136" s="61">
        <f t="shared" si="305"/>
        <v>7500</v>
      </c>
      <c r="H136" s="7">
        <v>12000</v>
      </c>
      <c r="I136" s="7"/>
      <c r="J136" s="7"/>
      <c r="K136" s="7"/>
      <c r="L136" s="61">
        <f t="shared" si="307"/>
        <v>12000</v>
      </c>
      <c r="N136" s="7">
        <v>12000</v>
      </c>
      <c r="O136" s="7"/>
      <c r="P136" s="7"/>
      <c r="Q136" s="7"/>
      <c r="R136" s="61">
        <f t="shared" si="309"/>
        <v>12000</v>
      </c>
      <c r="T136" s="7">
        <v>12000</v>
      </c>
      <c r="U136" s="7"/>
      <c r="V136" s="7"/>
      <c r="W136" s="7"/>
      <c r="X136" s="61">
        <f t="shared" si="311"/>
        <v>12000</v>
      </c>
      <c r="Z136" s="7">
        <v>12000</v>
      </c>
      <c r="AA136" s="7"/>
      <c r="AB136" s="7"/>
      <c r="AC136" s="7"/>
      <c r="AD136" s="61">
        <f t="shared" si="313"/>
        <v>12000</v>
      </c>
      <c r="AF136" s="7">
        <v>12000</v>
      </c>
      <c r="AG136" s="7"/>
      <c r="AH136" s="7"/>
      <c r="AI136" s="7"/>
      <c r="AJ136" s="61">
        <f t="shared" si="315"/>
        <v>12000</v>
      </c>
      <c r="AL136" s="7">
        <v>0</v>
      </c>
      <c r="AM136" s="7"/>
      <c r="AN136" s="7"/>
      <c r="AO136" s="7"/>
      <c r="AP136" s="61">
        <f t="shared" si="317"/>
        <v>0</v>
      </c>
      <c r="AR136" s="7">
        <v>0</v>
      </c>
      <c r="AS136" s="7"/>
      <c r="AT136" s="7"/>
      <c r="AU136" s="7"/>
      <c r="AV136" s="61">
        <f t="shared" si="319"/>
        <v>0</v>
      </c>
      <c r="AX136" s="7">
        <f t="shared" si="320"/>
        <v>67500</v>
      </c>
      <c r="AY136" s="7">
        <f t="shared" si="303"/>
        <v>0</v>
      </c>
      <c r="AZ136" s="7">
        <f t="shared" si="303"/>
        <v>0</v>
      </c>
      <c r="BA136" s="7">
        <f t="shared" si="303"/>
        <v>0</v>
      </c>
      <c r="BB136" s="61">
        <f t="shared" si="321"/>
        <v>67500</v>
      </c>
    </row>
    <row r="137" spans="1:54" x14ac:dyDescent="0.25">
      <c r="A137" s="62" t="s">
        <v>109</v>
      </c>
      <c r="B137" s="37">
        <f>(175*10*B39)-B127</f>
        <v>48325</v>
      </c>
      <c r="C137" s="37">
        <f t="shared" ref="C137:E137" si="341">(175*10*C39)-C127</f>
        <v>0</v>
      </c>
      <c r="D137" s="37">
        <f t="shared" si="341"/>
        <v>7000</v>
      </c>
      <c r="E137" s="37">
        <f t="shared" si="341"/>
        <v>0</v>
      </c>
      <c r="F137" s="61">
        <f t="shared" si="305"/>
        <v>55325</v>
      </c>
      <c r="H137" s="37">
        <f>(175*10*H39)-H127</f>
        <v>122900</v>
      </c>
      <c r="I137" s="37">
        <f t="shared" ref="I137:K137" si="342">(175*10*I39)-I127</f>
        <v>0</v>
      </c>
      <c r="J137" s="37">
        <f t="shared" si="342"/>
        <v>22750</v>
      </c>
      <c r="K137" s="37">
        <f t="shared" si="342"/>
        <v>0</v>
      </c>
      <c r="L137" s="61">
        <f t="shared" si="307"/>
        <v>145650</v>
      </c>
      <c r="N137" s="37">
        <f>(175*10*N39)-N127</f>
        <v>52750</v>
      </c>
      <c r="O137" s="37">
        <f t="shared" ref="O137:Q137" si="343">(175*10*O39)-O127</f>
        <v>0</v>
      </c>
      <c r="P137" s="37">
        <f t="shared" si="343"/>
        <v>7000</v>
      </c>
      <c r="Q137" s="37">
        <f t="shared" si="343"/>
        <v>0</v>
      </c>
      <c r="R137" s="61">
        <f t="shared" si="309"/>
        <v>59750</v>
      </c>
      <c r="T137" s="37">
        <f>(175*10*T39)-T127</f>
        <v>70250</v>
      </c>
      <c r="U137" s="37">
        <f t="shared" ref="U137:W137" si="344">(175*10*U39)-U127</f>
        <v>0</v>
      </c>
      <c r="V137" s="37">
        <f t="shared" si="344"/>
        <v>8750</v>
      </c>
      <c r="W137" s="37">
        <f t="shared" si="344"/>
        <v>0</v>
      </c>
      <c r="X137" s="61">
        <f t="shared" si="311"/>
        <v>79000</v>
      </c>
      <c r="Z137" s="37">
        <f>(175*10*Z39)-Z127</f>
        <v>142825</v>
      </c>
      <c r="AA137" s="37">
        <f t="shared" ref="AA137:AC137" si="345">(175*10*AA39)-AA127</f>
        <v>0</v>
      </c>
      <c r="AB137" s="37">
        <f t="shared" si="345"/>
        <v>17500</v>
      </c>
      <c r="AC137" s="37">
        <f t="shared" si="345"/>
        <v>0</v>
      </c>
      <c r="AD137" s="61">
        <f t="shared" si="313"/>
        <v>160325</v>
      </c>
      <c r="AF137" s="37">
        <f>(175*10*AF39)-AF127</f>
        <v>37000</v>
      </c>
      <c r="AG137" s="37">
        <f t="shared" ref="AG137:AI137" si="346">(175*10*AG39)-AG127</f>
        <v>0</v>
      </c>
      <c r="AH137" s="37">
        <f t="shared" si="346"/>
        <v>6125</v>
      </c>
      <c r="AI137" s="37">
        <f t="shared" si="346"/>
        <v>0</v>
      </c>
      <c r="AJ137" s="61">
        <f t="shared" si="315"/>
        <v>43125</v>
      </c>
      <c r="AL137" s="37">
        <f>(165*10*AL39)-AL127</f>
        <v>0</v>
      </c>
      <c r="AM137" s="37">
        <v>0</v>
      </c>
      <c r="AN137" s="37">
        <f t="shared" ref="AN137:AO137" si="347">(165*10*AN39)-AN127</f>
        <v>0</v>
      </c>
      <c r="AO137" s="37">
        <f t="shared" si="347"/>
        <v>0</v>
      </c>
      <c r="AP137" s="61">
        <f t="shared" si="317"/>
        <v>0</v>
      </c>
      <c r="AR137" s="37">
        <f>(165*10*AR39)-AR127</f>
        <v>0</v>
      </c>
      <c r="AS137" s="37">
        <v>0</v>
      </c>
      <c r="AT137" s="37">
        <f t="shared" ref="AT137:AU137" si="348">(165*10*AT39)-AT127</f>
        <v>1650</v>
      </c>
      <c r="AU137" s="37">
        <f t="shared" si="348"/>
        <v>0</v>
      </c>
      <c r="AV137" s="61">
        <f t="shared" si="319"/>
        <v>1650</v>
      </c>
      <c r="AX137" s="7">
        <f t="shared" si="320"/>
        <v>474050</v>
      </c>
      <c r="AY137" s="7">
        <f t="shared" si="303"/>
        <v>0</v>
      </c>
      <c r="AZ137" s="7">
        <f t="shared" si="303"/>
        <v>70775</v>
      </c>
      <c r="BA137" s="7">
        <f t="shared" si="303"/>
        <v>0</v>
      </c>
      <c r="BB137" s="61">
        <f t="shared" si="321"/>
        <v>544825</v>
      </c>
    </row>
    <row r="138" spans="1:54" ht="15.75" thickBot="1" x14ac:dyDescent="0.3">
      <c r="A138" s="91" t="s">
        <v>110</v>
      </c>
      <c r="B138" s="87">
        <f>SUM(B130:B137)</f>
        <v>1411470.0352450681</v>
      </c>
      <c r="C138" s="87">
        <f>SUM(C130:C137)</f>
        <v>66475.490612096008</v>
      </c>
      <c r="D138" s="87">
        <f>SUM(D130:D137)</f>
        <v>185561.15386496001</v>
      </c>
      <c r="E138" s="87">
        <f t="shared" ref="E138:F138" si="349">SUM(E130:E137)</f>
        <v>10661.4</v>
      </c>
      <c r="F138" s="87">
        <f t="shared" si="349"/>
        <v>1674168.0797221242</v>
      </c>
      <c r="H138" s="87">
        <f>SUM(H130:H137)</f>
        <v>3367289.244224336</v>
      </c>
      <c r="I138" s="87">
        <f>SUM(I130:I137)</f>
        <v>92392.998882432003</v>
      </c>
      <c r="J138" s="87">
        <f>SUM(J130:J137)</f>
        <v>636708.16639999999</v>
      </c>
      <c r="K138" s="87">
        <f t="shared" ref="K138:L138" si="350">SUM(K130:K137)</f>
        <v>33270.6</v>
      </c>
      <c r="L138" s="87">
        <f t="shared" si="350"/>
        <v>4129661.0095067681</v>
      </c>
      <c r="N138" s="87">
        <f>SUM(N130:N137)</f>
        <v>1458265.9530537343</v>
      </c>
      <c r="O138" s="87">
        <f>SUM(O130:O137)</f>
        <v>91026.510836096</v>
      </c>
      <c r="P138" s="87">
        <f>SUM(P130:P137)</f>
        <v>201020.88200000001</v>
      </c>
      <c r="Q138" s="87">
        <f t="shared" ref="Q138:R138" si="351">SUM(Q130:Q137)</f>
        <v>10840.199999999999</v>
      </c>
      <c r="R138" s="87">
        <f t="shared" si="351"/>
        <v>1761153.5458898304</v>
      </c>
      <c r="T138" s="87">
        <f>SUM(T130:T137)</f>
        <v>1817019.2682422143</v>
      </c>
      <c r="U138" s="87">
        <f>SUM(U130:U137)</f>
        <v>57331.259999999995</v>
      </c>
      <c r="V138" s="87">
        <f>SUM(V130:V137)</f>
        <v>255797.8664</v>
      </c>
      <c r="W138" s="87">
        <f t="shared" ref="W138:X138" si="352">SUM(W130:W137)</f>
        <v>10667.4</v>
      </c>
      <c r="X138" s="87">
        <f t="shared" si="352"/>
        <v>2140815.7946422142</v>
      </c>
      <c r="Z138" s="87">
        <f>SUM(Z130:Z137)</f>
        <v>3087553.7154076155</v>
      </c>
      <c r="AA138" s="87">
        <f>SUM(AA130:AA137)</f>
        <v>80302.043999999994</v>
      </c>
      <c r="AB138" s="87">
        <f>SUM(AB130:AB137)</f>
        <v>527853.71493567992</v>
      </c>
      <c r="AC138" s="87">
        <f t="shared" ref="AC138:AD138" si="353">SUM(AC130:AC137)</f>
        <v>21322.799999999999</v>
      </c>
      <c r="AD138" s="87">
        <f t="shared" si="353"/>
        <v>3717032.2743432955</v>
      </c>
      <c r="AF138" s="87">
        <f>SUM(AF130:AF137)</f>
        <v>1144504.8</v>
      </c>
      <c r="AG138" s="87">
        <f>SUM(AG130:AG137)</f>
        <v>51057.5</v>
      </c>
      <c r="AH138" s="87">
        <f>SUM(AH130:AH137)</f>
        <v>147331.5</v>
      </c>
      <c r="AI138" s="87">
        <f t="shared" ref="AI138:AJ138" si="354">SUM(AI130:AI137)</f>
        <v>11007</v>
      </c>
      <c r="AJ138" s="87">
        <f t="shared" si="354"/>
        <v>1353900.8</v>
      </c>
      <c r="AL138" s="87">
        <f>SUM(AL130:AL137)</f>
        <v>76364.441151999999</v>
      </c>
      <c r="AM138" s="87">
        <f>SUM(AM130:AM137)</f>
        <v>13438.013439999999</v>
      </c>
      <c r="AN138" s="87">
        <f>SUM(AN130:AN137)</f>
        <v>0</v>
      </c>
      <c r="AO138" s="87">
        <f t="shared" ref="AO138:AP138" si="355">SUM(AO130:AO137)</f>
        <v>0</v>
      </c>
      <c r="AP138" s="87">
        <f t="shared" si="355"/>
        <v>89802.454591999995</v>
      </c>
      <c r="AR138" s="87">
        <f>SUM(AR130:AR137)</f>
        <v>136137</v>
      </c>
      <c r="AS138" s="87">
        <f>SUM(AS130:AS137)</f>
        <v>0</v>
      </c>
      <c r="AT138" s="87">
        <f>SUM(AT130:AT137)</f>
        <v>37092.400000000001</v>
      </c>
      <c r="AU138" s="87">
        <f t="shared" ref="AU138:AV138" si="356">SUM(AU130:AU137)</f>
        <v>0</v>
      </c>
      <c r="AV138" s="87">
        <f t="shared" si="356"/>
        <v>173229.4</v>
      </c>
      <c r="AX138" s="87">
        <f>SUM(AX130:AX137)</f>
        <v>12498604.457324969</v>
      </c>
      <c r="AY138" s="87">
        <f>SUM(AY130:AY137)</f>
        <v>452023.81777062395</v>
      </c>
      <c r="AZ138" s="87">
        <f>SUM(AZ130:AZ137)</f>
        <v>1991365.6836006399</v>
      </c>
      <c r="BA138" s="87">
        <f t="shared" ref="BA138:BB138" si="357">SUM(BA130:BA137)</f>
        <v>97769.4</v>
      </c>
      <c r="BB138" s="87">
        <f t="shared" si="357"/>
        <v>15039763.358696232</v>
      </c>
    </row>
    <row r="139" spans="1:54" ht="15.75" thickBot="1" x14ac:dyDescent="0.3">
      <c r="A139" s="95" t="s">
        <v>111</v>
      </c>
      <c r="B139" s="90">
        <f>B129+B138</f>
        <v>4068354.4836722938</v>
      </c>
      <c r="C139" s="90">
        <f>C129+C138</f>
        <v>197349.42938729603</v>
      </c>
      <c r="D139" s="90">
        <f>D129+D138</f>
        <v>536561.47441696003</v>
      </c>
      <c r="E139" s="90">
        <f t="shared" ref="E139:F139" si="358">E129+E138</f>
        <v>31541.4</v>
      </c>
      <c r="F139" s="90">
        <f t="shared" si="358"/>
        <v>4833806.7874765499</v>
      </c>
      <c r="H139" s="90">
        <f>H129+H138</f>
        <v>9710996.0030250363</v>
      </c>
      <c r="I139" s="90">
        <f>I129+I138</f>
        <v>264878.41322083201</v>
      </c>
      <c r="J139" s="90">
        <f>J129+J138</f>
        <v>1824048.0963999999</v>
      </c>
      <c r="K139" s="90">
        <f t="shared" ref="K139:L139" si="359">K129+K138</f>
        <v>96990.6</v>
      </c>
      <c r="L139" s="90">
        <f t="shared" si="359"/>
        <v>11896913.112645868</v>
      </c>
      <c r="N139" s="90">
        <f>N129+N138</f>
        <v>4182278.3552490142</v>
      </c>
      <c r="O139" s="90">
        <f>O129+O138</f>
        <v>273029.65841129603</v>
      </c>
      <c r="P139" s="90">
        <f>P129+P138</f>
        <v>586099.28200000001</v>
      </c>
      <c r="Q139" s="90">
        <f t="shared" ref="Q139:R139" si="360">Q129+Q138</f>
        <v>32080.199999999997</v>
      </c>
      <c r="R139" s="90">
        <f t="shared" si="360"/>
        <v>5073487.4956603106</v>
      </c>
      <c r="T139" s="90">
        <f>T129+T138</f>
        <v>5183387.5354134943</v>
      </c>
      <c r="U139" s="90">
        <f>U129+U138</f>
        <v>169318.26</v>
      </c>
      <c r="V139" s="90">
        <f>V129+V138</f>
        <v>737265.29639999999</v>
      </c>
      <c r="W139" s="90">
        <f t="shared" ref="W139:X139" si="361">W129+W138</f>
        <v>31547.4</v>
      </c>
      <c r="X139" s="90">
        <f t="shared" si="361"/>
        <v>6121518.4918134939</v>
      </c>
      <c r="Z139" s="90">
        <f>Z129+Z138</f>
        <v>8807715.6225068159</v>
      </c>
      <c r="AA139" s="90">
        <f>AA129+AA138</f>
        <v>237569.84399999998</v>
      </c>
      <c r="AB139" s="90">
        <f>AB129+AB138</f>
        <v>1536634.0585516798</v>
      </c>
      <c r="AC139" s="90">
        <f t="shared" ref="AC139:AD139" si="362">AC129+AC138</f>
        <v>63082.8</v>
      </c>
      <c r="AD139" s="90">
        <f t="shared" si="362"/>
        <v>10645002.325058496</v>
      </c>
      <c r="AF139" s="90">
        <f>AF129+AF138</f>
        <v>3284364.8</v>
      </c>
      <c r="AG139" s="90">
        <f>AG129+AG138</f>
        <v>152357.5</v>
      </c>
      <c r="AH139" s="90">
        <f>AH129+AH138</f>
        <v>423881.5</v>
      </c>
      <c r="AI139" s="90">
        <f t="shared" ref="AI139:AJ139" si="363">AI129+AI138</f>
        <v>32607</v>
      </c>
      <c r="AJ139" s="90">
        <f t="shared" si="363"/>
        <v>3893210.8</v>
      </c>
      <c r="AL139" s="90">
        <f>AL129+AL138</f>
        <v>227904.94355199998</v>
      </c>
      <c r="AM139" s="90">
        <f>AM129+AM138</f>
        <v>40366.166440000001</v>
      </c>
      <c r="AN139" s="90">
        <f>AN129+AN138</f>
        <v>0</v>
      </c>
      <c r="AO139" s="90">
        <f t="shared" ref="AO139:AP139" si="364">AO129+AO138</f>
        <v>0</v>
      </c>
      <c r="AP139" s="90">
        <f t="shared" si="364"/>
        <v>268271.10999199998</v>
      </c>
      <c r="AR139" s="90">
        <f>AR129+AR138</f>
        <v>415537</v>
      </c>
      <c r="AS139" s="90">
        <f>AS129+AS138</f>
        <v>0</v>
      </c>
      <c r="AT139" s="90">
        <f>AT129+AT138</f>
        <v>107972.4</v>
      </c>
      <c r="AU139" s="90">
        <f t="shared" ref="AU139:AV139" si="365">AU129+AU138</f>
        <v>0</v>
      </c>
      <c r="AV139" s="90">
        <f t="shared" si="365"/>
        <v>523509.4</v>
      </c>
      <c r="AX139" s="90">
        <f>AX129+AX138</f>
        <v>35880538.743418656</v>
      </c>
      <c r="AY139" s="90">
        <f>AY129+AY138</f>
        <v>1334869.2714594239</v>
      </c>
      <c r="AZ139" s="90">
        <f>AZ129+AZ138</f>
        <v>5752462.1077686399</v>
      </c>
      <c r="BA139" s="90">
        <f t="shared" ref="BA139:BB139" si="366">BA129+BA138</f>
        <v>287849.40000000002</v>
      </c>
      <c r="BB139" s="90">
        <f t="shared" si="366"/>
        <v>43255719.522646718</v>
      </c>
    </row>
    <row r="140" spans="1:54" x14ac:dyDescent="0.25">
      <c r="A140" s="97" t="s">
        <v>112</v>
      </c>
      <c r="B140" s="149" t="str">
        <f>B1</f>
        <v>Operating</v>
      </c>
      <c r="C140" s="149" t="str">
        <f>C1</f>
        <v>Weights</v>
      </c>
      <c r="D140" s="149" t="str">
        <f>D1</f>
        <v>SPED</v>
      </c>
      <c r="E140" s="149" t="str">
        <f t="shared" ref="E140:F140" si="367">E1</f>
        <v>NSLP</v>
      </c>
      <c r="F140" s="149" t="str">
        <f t="shared" si="367"/>
        <v>Horizon</v>
      </c>
      <c r="H140" s="149" t="str">
        <f>H1</f>
        <v>Operating</v>
      </c>
      <c r="I140" s="149" t="str">
        <f>I1</f>
        <v>Weights</v>
      </c>
      <c r="J140" s="149" t="str">
        <f>J1</f>
        <v>SPED</v>
      </c>
      <c r="K140" s="149" t="str">
        <f t="shared" ref="K140:L140" si="368">K1</f>
        <v>NSLP</v>
      </c>
      <c r="L140" s="149" t="str">
        <f t="shared" si="368"/>
        <v>Cadence</v>
      </c>
      <c r="N140" s="149" t="str">
        <f>N1</f>
        <v>Operating</v>
      </c>
      <c r="O140" s="149" t="str">
        <f>O1</f>
        <v>Weights</v>
      </c>
      <c r="P140" s="149" t="str">
        <f>P1</f>
        <v>SPED</v>
      </c>
      <c r="Q140" s="149" t="str">
        <f t="shared" ref="Q140:R140" si="369">Q1</f>
        <v>NSLP</v>
      </c>
      <c r="R140" s="149" t="str">
        <f t="shared" si="369"/>
        <v>St. Rose</v>
      </c>
      <c r="T140" s="149" t="str">
        <f>T1</f>
        <v>Operating</v>
      </c>
      <c r="U140" s="149" t="str">
        <f>U1</f>
        <v>Weights</v>
      </c>
      <c r="V140" s="149" t="str">
        <f>V1</f>
        <v>SPED</v>
      </c>
      <c r="W140" s="149" t="str">
        <f t="shared" ref="W140:X140" si="370">W1</f>
        <v>NSLP</v>
      </c>
      <c r="X140" s="149" t="str">
        <f t="shared" si="370"/>
        <v>Inspirada</v>
      </c>
      <c r="Z140" s="149" t="str">
        <f>Z1</f>
        <v>Operating</v>
      </c>
      <c r="AA140" s="149" t="str">
        <f>AA1</f>
        <v>Weights</v>
      </c>
      <c r="AB140" s="149" t="str">
        <f>AB1</f>
        <v>SPED</v>
      </c>
      <c r="AC140" s="149" t="str">
        <f t="shared" ref="AC140:AD140" si="371">AC1</f>
        <v>NSLP</v>
      </c>
      <c r="AD140" s="149" t="str">
        <f t="shared" si="371"/>
        <v>Sloan Canyon</v>
      </c>
      <c r="AF140" s="149" t="str">
        <f>AF1</f>
        <v>Operating</v>
      </c>
      <c r="AG140" s="149" t="str">
        <f>AG1</f>
        <v>Weights</v>
      </c>
      <c r="AH140" s="149" t="str">
        <f>AH1</f>
        <v>SPED</v>
      </c>
      <c r="AI140" s="149" t="str">
        <f t="shared" ref="AI140:AJ140" si="372">AI1</f>
        <v>NSLP</v>
      </c>
      <c r="AJ140" s="149" t="str">
        <f t="shared" si="372"/>
        <v>Springs</v>
      </c>
      <c r="AL140" s="149" t="str">
        <f>AL1</f>
        <v>Operating</v>
      </c>
      <c r="AM140" s="149" t="str">
        <f>AM1</f>
        <v>Weights</v>
      </c>
      <c r="AN140" s="149" t="str">
        <f>AN1</f>
        <v>SPED</v>
      </c>
      <c r="AO140" s="149" t="str">
        <f t="shared" ref="AO140:AP140" si="373">AO1</f>
        <v>NSLP</v>
      </c>
      <c r="AP140" s="149" t="str">
        <f t="shared" si="373"/>
        <v>System Wide</v>
      </c>
      <c r="AR140" s="149" t="str">
        <f>AR1</f>
        <v>Operating</v>
      </c>
      <c r="AS140" s="149" t="str">
        <f>AS1</f>
        <v>Weights</v>
      </c>
      <c r="AT140" s="149" t="str">
        <f>AT1</f>
        <v>SPED</v>
      </c>
      <c r="AU140" s="149" t="str">
        <f t="shared" ref="AU140:AV140" si="374">AU1</f>
        <v>NSLP</v>
      </c>
      <c r="AV140" s="149" t="str">
        <f t="shared" si="374"/>
        <v>Virtual</v>
      </c>
      <c r="AX140" s="149" t="str">
        <f>AX1</f>
        <v>Operating</v>
      </c>
      <c r="AY140" s="149" t="str">
        <f>AY1</f>
        <v>Weights</v>
      </c>
      <c r="AZ140" s="149" t="str">
        <f>AZ1</f>
        <v>SPED</v>
      </c>
      <c r="BA140" s="149" t="str">
        <f t="shared" ref="BA140:BB140" si="375">BA1</f>
        <v>NSLP</v>
      </c>
      <c r="BB140" s="149" t="str">
        <f t="shared" si="375"/>
        <v>Pinecrest System</v>
      </c>
    </row>
    <row r="141" spans="1:54" x14ac:dyDescent="0.25">
      <c r="A141" s="98" t="s">
        <v>113</v>
      </c>
      <c r="B141" s="15">
        <f>B19*150</f>
        <v>140400</v>
      </c>
      <c r="C141" s="15"/>
      <c r="D141" s="15"/>
      <c r="E141" s="15"/>
      <c r="F141" s="15">
        <f>SUM(B141:E141)</f>
        <v>140400</v>
      </c>
      <c r="H141" s="15">
        <f>H19*150</f>
        <v>362850</v>
      </c>
      <c r="I141" s="15"/>
      <c r="J141" s="15"/>
      <c r="K141" s="15"/>
      <c r="L141" s="15">
        <f>SUM(H141:K141)</f>
        <v>362850</v>
      </c>
      <c r="N141" s="15">
        <f>N19*150</f>
        <v>152400</v>
      </c>
      <c r="O141" s="15"/>
      <c r="P141" s="15"/>
      <c r="Q141" s="15"/>
      <c r="R141" s="15">
        <f>SUM(N141:Q141)</f>
        <v>152400</v>
      </c>
      <c r="T141" s="15">
        <f>T19*150</f>
        <v>182250</v>
      </c>
      <c r="U141" s="15"/>
      <c r="V141" s="15"/>
      <c r="W141" s="15"/>
      <c r="X141" s="15">
        <f>SUM(T141:W141)</f>
        <v>182250</v>
      </c>
      <c r="Z141" s="15">
        <f>Z19*150</f>
        <v>356250</v>
      </c>
      <c r="AA141" s="15"/>
      <c r="AB141" s="15"/>
      <c r="AC141" s="15"/>
      <c r="AD141" s="15">
        <f>SUM(Z141:AC141)</f>
        <v>356250</v>
      </c>
      <c r="AF141" s="15">
        <f>AF19*150</f>
        <v>122250</v>
      </c>
      <c r="AG141" s="15"/>
      <c r="AH141" s="15"/>
      <c r="AI141" s="15"/>
      <c r="AJ141" s="15">
        <f>SUM(AF141:AI141)</f>
        <v>122250</v>
      </c>
      <c r="AL141" s="15">
        <f>AL19*140</f>
        <v>0</v>
      </c>
      <c r="AM141" s="15"/>
      <c r="AN141" s="15"/>
      <c r="AO141" s="15"/>
      <c r="AP141" s="15">
        <f>SUM(AL141:AO141)</f>
        <v>0</v>
      </c>
      <c r="AR141" s="15">
        <f>AR19*350</f>
        <v>87500</v>
      </c>
      <c r="AS141" s="15"/>
      <c r="AT141" s="15"/>
      <c r="AU141" s="15"/>
      <c r="AV141" s="15">
        <f>SUM(AR141:AU141)</f>
        <v>87500</v>
      </c>
      <c r="AX141" s="7">
        <f>B141+H141+N141+T141+Z141+AF141+AL141+AR141</f>
        <v>1403900</v>
      </c>
      <c r="AY141" s="7">
        <f t="shared" ref="AY141:BA150" si="376">C141+I141+O141+U141+AA141+AG141+AM141+AS141</f>
        <v>0</v>
      </c>
      <c r="AZ141" s="7">
        <f t="shared" si="376"/>
        <v>0</v>
      </c>
      <c r="BA141" s="7">
        <f t="shared" si="376"/>
        <v>0</v>
      </c>
      <c r="BB141" s="15">
        <f>SUM(AX141:BA141)</f>
        <v>1403900</v>
      </c>
    </row>
    <row r="142" spans="1:54" x14ac:dyDescent="0.25">
      <c r="A142" s="99" t="s">
        <v>252</v>
      </c>
      <c r="B142" s="15">
        <v>0</v>
      </c>
      <c r="C142" s="7"/>
      <c r="D142" s="7"/>
      <c r="E142" s="7"/>
      <c r="F142" s="15">
        <f t="shared" ref="F142:F150" si="377">SUM(B142:E142)</f>
        <v>0</v>
      </c>
      <c r="H142" s="15">
        <v>240000</v>
      </c>
      <c r="I142" s="7"/>
      <c r="J142" s="7"/>
      <c r="K142" s="7"/>
      <c r="L142" s="15">
        <f t="shared" ref="L142:L147" si="378">SUM(H142:K142)</f>
        <v>240000</v>
      </c>
      <c r="N142" s="15">
        <v>0</v>
      </c>
      <c r="O142" s="7"/>
      <c r="P142" s="7"/>
      <c r="Q142" s="7"/>
      <c r="R142" s="15">
        <f t="shared" ref="R142:R147" si="379">SUM(N142:Q142)</f>
        <v>0</v>
      </c>
      <c r="T142" s="15">
        <v>0</v>
      </c>
      <c r="U142" s="7"/>
      <c r="V142" s="7"/>
      <c r="W142" s="7"/>
      <c r="X142" s="15">
        <f t="shared" ref="X142:X147" si="380">SUM(T142:W142)</f>
        <v>0</v>
      </c>
      <c r="Z142" s="15">
        <v>185000</v>
      </c>
      <c r="AA142" s="7"/>
      <c r="AB142" s="7"/>
      <c r="AC142" s="7"/>
      <c r="AD142" s="15">
        <f t="shared" ref="AD142:AD147" si="381">SUM(Z142:AC142)</f>
        <v>185000</v>
      </c>
      <c r="AF142" s="15">
        <v>0</v>
      </c>
      <c r="AG142" s="7"/>
      <c r="AH142" s="7"/>
      <c r="AI142" s="7"/>
      <c r="AJ142" s="15">
        <f t="shared" ref="AJ142:AJ150" si="382">SUM(AF142:AI142)</f>
        <v>0</v>
      </c>
      <c r="AL142" s="15">
        <v>0</v>
      </c>
      <c r="AM142" s="7"/>
      <c r="AN142" s="7"/>
      <c r="AO142" s="7"/>
      <c r="AP142" s="15">
        <f t="shared" ref="AP142:AP147" si="383">SUM(AL142:AO142)</f>
        <v>0</v>
      </c>
      <c r="AR142" s="197">
        <f>(120*3)*(12*12)</f>
        <v>51840</v>
      </c>
      <c r="AS142" s="7"/>
      <c r="AT142" s="7"/>
      <c r="AU142" s="7"/>
      <c r="AV142" s="15">
        <f t="shared" ref="AV142:AV147" si="384">SUM(AR142:AU142)</f>
        <v>51840</v>
      </c>
      <c r="AX142" s="7">
        <f t="shared" ref="AX142:AX150" si="385">B142+H142+N142+T142+Z142+AF142+AL142+AR142</f>
        <v>476840</v>
      </c>
      <c r="AY142" s="7">
        <f t="shared" si="376"/>
        <v>0</v>
      </c>
      <c r="AZ142" s="7">
        <f t="shared" si="376"/>
        <v>0</v>
      </c>
      <c r="BA142" s="7">
        <f t="shared" si="376"/>
        <v>0</v>
      </c>
      <c r="BB142" s="15">
        <f t="shared" ref="BB142:BB150" si="386">SUM(AX142:BA142)</f>
        <v>476840</v>
      </c>
    </row>
    <row r="143" spans="1:54" x14ac:dyDescent="0.25">
      <c r="A143" s="62" t="s">
        <v>115</v>
      </c>
      <c r="B143" s="11">
        <v>15000</v>
      </c>
      <c r="C143" s="11"/>
      <c r="D143" s="11"/>
      <c r="E143" s="11"/>
      <c r="F143" s="15">
        <f t="shared" si="377"/>
        <v>15000</v>
      </c>
      <c r="H143" s="198">
        <v>220000</v>
      </c>
      <c r="I143" s="11"/>
      <c r="J143" s="11"/>
      <c r="K143" s="11"/>
      <c r="L143" s="15">
        <f t="shared" si="378"/>
        <v>220000</v>
      </c>
      <c r="N143" s="15">
        <v>0</v>
      </c>
      <c r="O143" s="11"/>
      <c r="P143" s="11"/>
      <c r="Q143" s="11"/>
      <c r="R143" s="15">
        <f t="shared" si="379"/>
        <v>0</v>
      </c>
      <c r="T143" s="198">
        <v>0</v>
      </c>
      <c r="U143" s="11"/>
      <c r="V143" s="11"/>
      <c r="W143" s="11"/>
      <c r="X143" s="15">
        <f t="shared" si="380"/>
        <v>0</v>
      </c>
      <c r="Z143" s="11">
        <v>0</v>
      </c>
      <c r="AA143" s="11"/>
      <c r="AB143" s="11"/>
      <c r="AC143" s="11"/>
      <c r="AD143" s="15">
        <f t="shared" si="381"/>
        <v>0</v>
      </c>
      <c r="AF143" s="11">
        <v>230000</v>
      </c>
      <c r="AG143" s="11"/>
      <c r="AH143" s="11"/>
      <c r="AI143" s="11"/>
      <c r="AJ143" s="15">
        <f t="shared" si="382"/>
        <v>230000</v>
      </c>
      <c r="AL143" s="11">
        <v>0</v>
      </c>
      <c r="AM143" s="11"/>
      <c r="AN143" s="11"/>
      <c r="AO143" s="11"/>
      <c r="AP143" s="15">
        <f t="shared" si="383"/>
        <v>0</v>
      </c>
      <c r="AR143" s="11">
        <v>0</v>
      </c>
      <c r="AS143" s="11"/>
      <c r="AT143" s="11"/>
      <c r="AU143" s="11"/>
      <c r="AV143" s="15">
        <f t="shared" ref="AV143" si="387">SUM(AR143:AU143)</f>
        <v>0</v>
      </c>
      <c r="AX143" s="7">
        <f t="shared" si="385"/>
        <v>465000</v>
      </c>
      <c r="AY143" s="7">
        <f t="shared" si="376"/>
        <v>0</v>
      </c>
      <c r="AZ143" s="7">
        <f t="shared" si="376"/>
        <v>0</v>
      </c>
      <c r="BA143" s="7">
        <f t="shared" si="376"/>
        <v>0</v>
      </c>
      <c r="BB143" s="15">
        <f t="shared" si="386"/>
        <v>465000</v>
      </c>
    </row>
    <row r="144" spans="1:54" x14ac:dyDescent="0.25">
      <c r="A144" s="62" t="s">
        <v>116</v>
      </c>
      <c r="B144" s="7">
        <v>0</v>
      </c>
      <c r="C144" s="7">
        <v>0</v>
      </c>
      <c r="D144" s="7"/>
      <c r="E144" s="7"/>
      <c r="F144" s="15">
        <f t="shared" si="377"/>
        <v>0</v>
      </c>
      <c r="H144" s="7">
        <v>75000</v>
      </c>
      <c r="I144" s="7">
        <v>0</v>
      </c>
      <c r="J144" s="7"/>
      <c r="K144" s="7"/>
      <c r="L144" s="15">
        <f t="shared" si="378"/>
        <v>75000</v>
      </c>
      <c r="N144" s="15">
        <v>0</v>
      </c>
      <c r="O144" s="7">
        <v>0</v>
      </c>
      <c r="P144" s="7"/>
      <c r="Q144" s="7"/>
      <c r="R144" s="15">
        <f t="shared" si="379"/>
        <v>0</v>
      </c>
      <c r="T144" s="7">
        <v>0</v>
      </c>
      <c r="U144" s="7">
        <v>0</v>
      </c>
      <c r="V144" s="7"/>
      <c r="W144" s="7"/>
      <c r="X144" s="15">
        <f t="shared" si="380"/>
        <v>0</v>
      </c>
      <c r="Z144" s="7">
        <v>0</v>
      </c>
      <c r="AA144" s="7">
        <v>0</v>
      </c>
      <c r="AB144" s="7"/>
      <c r="AC144" s="7"/>
      <c r="AD144" s="15">
        <f t="shared" si="381"/>
        <v>0</v>
      </c>
      <c r="AF144" s="7">
        <v>0</v>
      </c>
      <c r="AG144" s="7">
        <v>0</v>
      </c>
      <c r="AH144" s="7"/>
      <c r="AI144" s="7"/>
      <c r="AJ144" s="15">
        <f t="shared" si="382"/>
        <v>0</v>
      </c>
      <c r="AL144" s="7">
        <v>0</v>
      </c>
      <c r="AM144" s="7">
        <v>0</v>
      </c>
      <c r="AN144" s="7"/>
      <c r="AO144" s="7"/>
      <c r="AP144" s="15">
        <f t="shared" si="383"/>
        <v>0</v>
      </c>
      <c r="AR144" s="7">
        <f>350*80</f>
        <v>28000</v>
      </c>
      <c r="AS144" s="7">
        <v>0</v>
      </c>
      <c r="AT144" s="7"/>
      <c r="AU144" s="7"/>
      <c r="AV144" s="15">
        <f t="shared" si="384"/>
        <v>28000</v>
      </c>
      <c r="AX144" s="7">
        <f t="shared" si="385"/>
        <v>103000</v>
      </c>
      <c r="AY144" s="7">
        <f t="shared" si="376"/>
        <v>0</v>
      </c>
      <c r="AZ144" s="7">
        <f t="shared" si="376"/>
        <v>0</v>
      </c>
      <c r="BA144" s="7">
        <f t="shared" si="376"/>
        <v>0</v>
      </c>
      <c r="BB144" s="15">
        <f t="shared" si="386"/>
        <v>103000</v>
      </c>
    </row>
    <row r="145" spans="1:54" x14ac:dyDescent="0.25">
      <c r="A145" s="62" t="s">
        <v>117</v>
      </c>
      <c r="B145" s="7">
        <f>14*B19</f>
        <v>13104</v>
      </c>
      <c r="C145" s="7">
        <f>13*C19</f>
        <v>0</v>
      </c>
      <c r="D145" s="7"/>
      <c r="E145" s="7">
        <v>0</v>
      </c>
      <c r="F145" s="15">
        <f t="shared" si="377"/>
        <v>13104</v>
      </c>
      <c r="H145" s="7">
        <f>14*H19</f>
        <v>33866</v>
      </c>
      <c r="I145" s="7">
        <f>13*I19</f>
        <v>0</v>
      </c>
      <c r="J145" s="7"/>
      <c r="K145" s="7">
        <v>0</v>
      </c>
      <c r="L145" s="15">
        <f t="shared" si="378"/>
        <v>33866</v>
      </c>
      <c r="N145" s="7">
        <f>14*N19</f>
        <v>14224</v>
      </c>
      <c r="O145" s="7">
        <f>13*O19</f>
        <v>0</v>
      </c>
      <c r="P145" s="7"/>
      <c r="Q145" s="7">
        <v>0</v>
      </c>
      <c r="R145" s="15">
        <f t="shared" si="379"/>
        <v>14224</v>
      </c>
      <c r="T145" s="7">
        <f>14*T19</f>
        <v>17010</v>
      </c>
      <c r="U145" s="7">
        <f>13*U19</f>
        <v>0</v>
      </c>
      <c r="V145" s="7"/>
      <c r="W145" s="7">
        <v>0</v>
      </c>
      <c r="X145" s="15">
        <f t="shared" si="380"/>
        <v>17010</v>
      </c>
      <c r="Z145" s="7">
        <f>14*Z19</f>
        <v>33250</v>
      </c>
      <c r="AA145" s="7">
        <f>13*AA19</f>
        <v>0</v>
      </c>
      <c r="AB145" s="7"/>
      <c r="AC145" s="7">
        <v>0</v>
      </c>
      <c r="AD145" s="15">
        <f t="shared" si="381"/>
        <v>33250</v>
      </c>
      <c r="AF145" s="7">
        <f>14*AF19</f>
        <v>11410</v>
      </c>
      <c r="AG145" s="7">
        <f>13*AG19</f>
        <v>0</v>
      </c>
      <c r="AH145" s="7"/>
      <c r="AI145" s="7">
        <v>0</v>
      </c>
      <c r="AJ145" s="15">
        <f t="shared" si="382"/>
        <v>11410</v>
      </c>
      <c r="AL145" s="7">
        <v>1000</v>
      </c>
      <c r="AM145" s="7">
        <f>13*AM19</f>
        <v>0</v>
      </c>
      <c r="AN145" s="7"/>
      <c r="AO145" s="7">
        <v>0</v>
      </c>
      <c r="AP145" s="15">
        <f t="shared" si="383"/>
        <v>1000</v>
      </c>
      <c r="AR145" s="7">
        <f>13*AR19</f>
        <v>3250</v>
      </c>
      <c r="AS145" s="7">
        <f>13*AS19</f>
        <v>0</v>
      </c>
      <c r="AT145" s="7"/>
      <c r="AU145" s="7">
        <v>0</v>
      </c>
      <c r="AV145" s="15">
        <f t="shared" si="384"/>
        <v>3250</v>
      </c>
      <c r="AX145" s="7">
        <f t="shared" si="385"/>
        <v>127114</v>
      </c>
      <c r="AY145" s="7">
        <f t="shared" si="376"/>
        <v>0</v>
      </c>
      <c r="AZ145" s="7">
        <f t="shared" si="376"/>
        <v>0</v>
      </c>
      <c r="BA145" s="7">
        <f t="shared" si="376"/>
        <v>0</v>
      </c>
      <c r="BB145" s="15">
        <f t="shared" si="386"/>
        <v>127114</v>
      </c>
    </row>
    <row r="146" spans="1:54" x14ac:dyDescent="0.25">
      <c r="A146" s="62" t="s">
        <v>118</v>
      </c>
      <c r="B146" s="7">
        <f>(29*B19)</f>
        <v>27144</v>
      </c>
      <c r="C146" s="7">
        <v>0</v>
      </c>
      <c r="D146" s="7"/>
      <c r="E146" s="7"/>
      <c r="F146" s="15">
        <f t="shared" si="377"/>
        <v>27144</v>
      </c>
      <c r="H146" s="7">
        <f>(29*H19)</f>
        <v>70151</v>
      </c>
      <c r="I146" s="7">
        <v>0</v>
      </c>
      <c r="J146" s="7"/>
      <c r="K146" s="7"/>
      <c r="L146" s="15">
        <f t="shared" si="378"/>
        <v>70151</v>
      </c>
      <c r="N146" s="7">
        <f>(29*N19)</f>
        <v>29464</v>
      </c>
      <c r="O146" s="7">
        <v>0</v>
      </c>
      <c r="P146" s="7"/>
      <c r="Q146" s="7"/>
      <c r="R146" s="15">
        <f t="shared" si="379"/>
        <v>29464</v>
      </c>
      <c r="T146" s="7">
        <f>(29*T19)</f>
        <v>35235</v>
      </c>
      <c r="U146" s="7">
        <v>0</v>
      </c>
      <c r="V146" s="7"/>
      <c r="W146" s="7"/>
      <c r="X146" s="15">
        <f t="shared" si="380"/>
        <v>35235</v>
      </c>
      <c r="Z146" s="7">
        <f>(29*Z19)</f>
        <v>68875</v>
      </c>
      <c r="AA146" s="7">
        <v>0</v>
      </c>
      <c r="AB146" s="7"/>
      <c r="AC146" s="7"/>
      <c r="AD146" s="15">
        <f t="shared" si="381"/>
        <v>68875</v>
      </c>
      <c r="AF146" s="7">
        <f>(29*AF19)</f>
        <v>23635</v>
      </c>
      <c r="AG146" s="7">
        <v>0</v>
      </c>
      <c r="AH146" s="7"/>
      <c r="AI146" s="7"/>
      <c r="AJ146" s="15">
        <f t="shared" si="382"/>
        <v>23635</v>
      </c>
      <c r="AL146" s="7">
        <f>(27*AL19)</f>
        <v>0</v>
      </c>
      <c r="AM146" s="7">
        <v>0</v>
      </c>
      <c r="AN146" s="7"/>
      <c r="AO146" s="7"/>
      <c r="AP146" s="15">
        <f t="shared" si="383"/>
        <v>0</v>
      </c>
      <c r="AR146" s="7">
        <f>(27*AR19)</f>
        <v>6750</v>
      </c>
      <c r="AS146" s="7">
        <v>0</v>
      </c>
      <c r="AT146" s="7"/>
      <c r="AU146" s="7"/>
      <c r="AV146" s="15">
        <f t="shared" si="384"/>
        <v>6750</v>
      </c>
      <c r="AX146" s="7">
        <f t="shared" si="385"/>
        <v>261254</v>
      </c>
      <c r="AY146" s="7">
        <f t="shared" si="376"/>
        <v>0</v>
      </c>
      <c r="AZ146" s="7">
        <f t="shared" si="376"/>
        <v>0</v>
      </c>
      <c r="BA146" s="7">
        <f t="shared" si="376"/>
        <v>0</v>
      </c>
      <c r="BB146" s="15">
        <f t="shared" si="386"/>
        <v>261254</v>
      </c>
    </row>
    <row r="147" spans="1:54" x14ac:dyDescent="0.25">
      <c r="A147" s="62" t="s">
        <v>119</v>
      </c>
      <c r="B147" s="7">
        <f>4.25*B19</f>
        <v>3978</v>
      </c>
      <c r="C147" s="7">
        <f>4*C19</f>
        <v>0</v>
      </c>
      <c r="D147" s="7"/>
      <c r="E147" s="7"/>
      <c r="F147" s="15">
        <f t="shared" si="377"/>
        <v>3978</v>
      </c>
      <c r="H147" s="7">
        <f>4.25*H19</f>
        <v>10280.75</v>
      </c>
      <c r="I147" s="7">
        <f>4*I19</f>
        <v>0</v>
      </c>
      <c r="J147" s="7"/>
      <c r="K147" s="7"/>
      <c r="L147" s="15">
        <f t="shared" si="378"/>
        <v>10280.75</v>
      </c>
      <c r="N147" s="7">
        <f>4.25*N19</f>
        <v>4318</v>
      </c>
      <c r="O147" s="7">
        <f>4*O19</f>
        <v>0</v>
      </c>
      <c r="P147" s="7"/>
      <c r="Q147" s="7"/>
      <c r="R147" s="15">
        <f t="shared" si="379"/>
        <v>4318</v>
      </c>
      <c r="T147" s="7">
        <f>4.25*T19</f>
        <v>5163.75</v>
      </c>
      <c r="U147" s="7">
        <f>4*U19</f>
        <v>0</v>
      </c>
      <c r="V147" s="7"/>
      <c r="W147" s="7"/>
      <c r="X147" s="15">
        <f t="shared" si="380"/>
        <v>5163.75</v>
      </c>
      <c r="Z147" s="7">
        <f>4.25*Z19</f>
        <v>10093.75</v>
      </c>
      <c r="AA147" s="7">
        <f>4*AA19</f>
        <v>0</v>
      </c>
      <c r="AB147" s="7"/>
      <c r="AC147" s="7"/>
      <c r="AD147" s="15">
        <f t="shared" si="381"/>
        <v>10093.75</v>
      </c>
      <c r="AF147" s="7">
        <f>4.25*AF19</f>
        <v>3463.75</v>
      </c>
      <c r="AG147" s="7">
        <f>4*AG19</f>
        <v>0</v>
      </c>
      <c r="AH147" s="7"/>
      <c r="AI147" s="7"/>
      <c r="AJ147" s="15">
        <f t="shared" si="382"/>
        <v>3463.75</v>
      </c>
      <c r="AL147" s="7">
        <f>4*AL19</f>
        <v>0</v>
      </c>
      <c r="AM147" s="7">
        <f>4*AM19</f>
        <v>0</v>
      </c>
      <c r="AN147" s="7"/>
      <c r="AO147" s="7"/>
      <c r="AP147" s="15">
        <f t="shared" si="383"/>
        <v>0</v>
      </c>
      <c r="AR147" s="142">
        <v>0</v>
      </c>
      <c r="AS147" s="7">
        <f>4*AS19</f>
        <v>0</v>
      </c>
      <c r="AT147" s="7"/>
      <c r="AU147" s="7"/>
      <c r="AV147" s="15">
        <f t="shared" si="384"/>
        <v>0</v>
      </c>
      <c r="AX147" s="7">
        <f t="shared" si="385"/>
        <v>37298</v>
      </c>
      <c r="AY147" s="7">
        <f t="shared" si="376"/>
        <v>0</v>
      </c>
      <c r="AZ147" s="7">
        <f t="shared" si="376"/>
        <v>0</v>
      </c>
      <c r="BA147" s="7">
        <f t="shared" si="376"/>
        <v>0</v>
      </c>
      <c r="BB147" s="15">
        <f t="shared" si="386"/>
        <v>37298</v>
      </c>
    </row>
    <row r="148" spans="1:54" x14ac:dyDescent="0.25">
      <c r="A148" s="62" t="s">
        <v>120</v>
      </c>
      <c r="B148" s="7">
        <f>3.25*B19</f>
        <v>3042</v>
      </c>
      <c r="C148" s="7">
        <f>3*C19</f>
        <v>0</v>
      </c>
      <c r="D148" s="7"/>
      <c r="E148" s="7"/>
      <c r="F148" s="15">
        <f t="shared" si="377"/>
        <v>3042</v>
      </c>
      <c r="H148" s="7">
        <f>3.25*H19</f>
        <v>7861.75</v>
      </c>
      <c r="I148" s="7">
        <f>3*I19</f>
        <v>0</v>
      </c>
      <c r="J148" s="7"/>
      <c r="K148" s="7"/>
      <c r="L148" s="15">
        <f t="shared" ref="L148:L150" si="388">SUM(H148:K148)</f>
        <v>7861.75</v>
      </c>
      <c r="N148" s="7">
        <f>3.25*N19</f>
        <v>3302</v>
      </c>
      <c r="O148" s="7">
        <f>3*O19</f>
        <v>0</v>
      </c>
      <c r="P148" s="7"/>
      <c r="Q148" s="7"/>
      <c r="R148" s="15">
        <f t="shared" ref="R148:R150" si="389">SUM(N148:Q148)</f>
        <v>3302</v>
      </c>
      <c r="T148" s="7">
        <f>3.25*T19</f>
        <v>3948.75</v>
      </c>
      <c r="U148" s="7">
        <f>3*U19</f>
        <v>0</v>
      </c>
      <c r="V148" s="7"/>
      <c r="W148" s="7"/>
      <c r="X148" s="15">
        <f t="shared" ref="X148:X150" si="390">SUM(T148:W148)</f>
        <v>3948.75</v>
      </c>
      <c r="Z148" s="7">
        <f>3.25*Z19</f>
        <v>7718.75</v>
      </c>
      <c r="AA148" s="7">
        <f>3*AA19</f>
        <v>0</v>
      </c>
      <c r="AB148" s="7"/>
      <c r="AC148" s="7"/>
      <c r="AD148" s="15">
        <f t="shared" ref="AD148:AD150" si="391">SUM(Z148:AC148)</f>
        <v>7718.75</v>
      </c>
      <c r="AF148" s="7">
        <f>3.25*AF19</f>
        <v>2648.75</v>
      </c>
      <c r="AG148" s="7">
        <f>3*AG19</f>
        <v>0</v>
      </c>
      <c r="AH148" s="7"/>
      <c r="AI148" s="7"/>
      <c r="AJ148" s="15">
        <f t="shared" si="382"/>
        <v>2648.75</v>
      </c>
      <c r="AL148" s="7">
        <f>3*AL19</f>
        <v>0</v>
      </c>
      <c r="AM148" s="7">
        <f>3*AM19</f>
        <v>0</v>
      </c>
      <c r="AN148" s="7"/>
      <c r="AO148" s="7"/>
      <c r="AP148" s="15">
        <f t="shared" ref="AP148:AP150" si="392">SUM(AL148:AO148)</f>
        <v>0</v>
      </c>
      <c r="AR148" s="142">
        <v>0</v>
      </c>
      <c r="AS148" s="7">
        <f>3*AS19</f>
        <v>0</v>
      </c>
      <c r="AT148" s="7"/>
      <c r="AU148" s="7"/>
      <c r="AV148" s="15">
        <f t="shared" ref="AV148:AV150" si="393">SUM(AR148:AU148)</f>
        <v>0</v>
      </c>
      <c r="AX148" s="7">
        <f t="shared" si="385"/>
        <v>28522</v>
      </c>
      <c r="AY148" s="7">
        <f t="shared" si="376"/>
        <v>0</v>
      </c>
      <c r="AZ148" s="7">
        <f t="shared" si="376"/>
        <v>0</v>
      </c>
      <c r="BA148" s="7">
        <f t="shared" si="376"/>
        <v>0</v>
      </c>
      <c r="BB148" s="15">
        <f t="shared" si="386"/>
        <v>28522</v>
      </c>
    </row>
    <row r="149" spans="1:54" x14ac:dyDescent="0.25">
      <c r="A149" s="62" t="s">
        <v>121</v>
      </c>
      <c r="B149" s="7">
        <f>120*B22</f>
        <v>0</v>
      </c>
      <c r="C149" s="7">
        <f>120*C22</f>
        <v>0</v>
      </c>
      <c r="D149" s="7">
        <f>129*D22</f>
        <v>13027.995550611791</v>
      </c>
      <c r="E149" s="7"/>
      <c r="F149" s="15">
        <f t="shared" si="377"/>
        <v>13027.995550611791</v>
      </c>
      <c r="H149" s="7">
        <f>120*H22</f>
        <v>0</v>
      </c>
      <c r="I149" s="7">
        <f>120*I22</f>
        <v>0</v>
      </c>
      <c r="J149" s="7">
        <f>129*J22</f>
        <v>39632.145721925139</v>
      </c>
      <c r="K149" s="7"/>
      <c r="L149" s="15">
        <f t="shared" si="388"/>
        <v>39632.145721925139</v>
      </c>
      <c r="N149" s="7">
        <f>120*N22</f>
        <v>0</v>
      </c>
      <c r="O149" s="7">
        <f>120*O22</f>
        <v>0</v>
      </c>
      <c r="P149" s="7">
        <f>129*P22</f>
        <v>9546</v>
      </c>
      <c r="Q149" s="7"/>
      <c r="R149" s="15">
        <f t="shared" si="389"/>
        <v>9546</v>
      </c>
      <c r="T149" s="7">
        <f>120*T22</f>
        <v>0</v>
      </c>
      <c r="U149" s="7">
        <f>120*U22</f>
        <v>0</v>
      </c>
      <c r="V149" s="7">
        <f>129*V22</f>
        <v>14117.91492910759</v>
      </c>
      <c r="W149" s="7"/>
      <c r="X149" s="15">
        <f t="shared" si="390"/>
        <v>14117.91492910759</v>
      </c>
      <c r="Z149" s="7">
        <f>120*Z22</f>
        <v>0</v>
      </c>
      <c r="AA149" s="7">
        <f>120*AA22</f>
        <v>0</v>
      </c>
      <c r="AB149" s="7">
        <f>129*AB22</f>
        <v>25067.045454545452</v>
      </c>
      <c r="AC149" s="7"/>
      <c r="AD149" s="15">
        <f t="shared" si="391"/>
        <v>25067.045454545452</v>
      </c>
      <c r="AF149" s="7">
        <f>120*AF22</f>
        <v>0</v>
      </c>
      <c r="AG149" s="7">
        <f>120*AG22</f>
        <v>0</v>
      </c>
      <c r="AH149" s="7">
        <f>129*AH22</f>
        <v>9984.5999999999985</v>
      </c>
      <c r="AI149" s="7"/>
      <c r="AJ149" s="15">
        <f t="shared" si="382"/>
        <v>9984.5999999999985</v>
      </c>
      <c r="AL149" s="7">
        <f>120*AL22</f>
        <v>0</v>
      </c>
      <c r="AM149" s="7">
        <f>120*AM22</f>
        <v>0</v>
      </c>
      <c r="AN149" s="7">
        <f>120*AN22</f>
        <v>0</v>
      </c>
      <c r="AO149" s="7"/>
      <c r="AP149" s="15">
        <f t="shared" si="392"/>
        <v>0</v>
      </c>
      <c r="AR149" s="7">
        <f>120*AR22</f>
        <v>0</v>
      </c>
      <c r="AS149" s="7">
        <f>120*AS22</f>
        <v>0</v>
      </c>
      <c r="AT149" s="7">
        <f>150*AT22</f>
        <v>2550</v>
      </c>
      <c r="AU149" s="7"/>
      <c r="AV149" s="15">
        <f t="shared" si="393"/>
        <v>2550</v>
      </c>
      <c r="AX149" s="7">
        <f t="shared" si="385"/>
        <v>0</v>
      </c>
      <c r="AY149" s="7">
        <f t="shared" si="376"/>
        <v>0</v>
      </c>
      <c r="AZ149" s="7">
        <f t="shared" si="376"/>
        <v>113925.70165618998</v>
      </c>
      <c r="BA149" s="7">
        <f t="shared" si="376"/>
        <v>0</v>
      </c>
      <c r="BB149" s="15">
        <f t="shared" si="386"/>
        <v>113925.70165618998</v>
      </c>
    </row>
    <row r="150" spans="1:54" ht="15.75" thickBot="1" x14ac:dyDescent="0.3">
      <c r="A150" s="62" t="s">
        <v>122</v>
      </c>
      <c r="B150" s="37">
        <v>0</v>
      </c>
      <c r="C150" s="37">
        <v>0</v>
      </c>
      <c r="D150" s="37"/>
      <c r="E150" s="37"/>
      <c r="F150" s="15">
        <f t="shared" si="377"/>
        <v>0</v>
      </c>
      <c r="H150" s="80">
        <f>'FY24'!H150+10000</f>
        <v>70000</v>
      </c>
      <c r="I150" s="37">
        <v>0</v>
      </c>
      <c r="J150" s="37"/>
      <c r="K150" s="37"/>
      <c r="L150" s="15">
        <f t="shared" si="388"/>
        <v>70000</v>
      </c>
      <c r="N150" s="37">
        <v>0</v>
      </c>
      <c r="O150" s="37">
        <v>0</v>
      </c>
      <c r="P150" s="37"/>
      <c r="Q150" s="37"/>
      <c r="R150" s="15">
        <f t="shared" si="389"/>
        <v>0</v>
      </c>
      <c r="T150" s="37">
        <v>0</v>
      </c>
      <c r="U150" s="37">
        <v>0</v>
      </c>
      <c r="V150" s="37"/>
      <c r="W150" s="37"/>
      <c r="X150" s="15">
        <f t="shared" si="390"/>
        <v>0</v>
      </c>
      <c r="Z150" s="37">
        <v>40000</v>
      </c>
      <c r="AA150" s="37">
        <v>0</v>
      </c>
      <c r="AB150" s="37"/>
      <c r="AC150" s="37"/>
      <c r="AD150" s="15">
        <f t="shared" si="391"/>
        <v>40000</v>
      </c>
      <c r="AF150" s="37">
        <v>0</v>
      </c>
      <c r="AG150" s="37">
        <v>0</v>
      </c>
      <c r="AH150" s="37"/>
      <c r="AI150" s="37"/>
      <c r="AJ150" s="15">
        <f t="shared" si="382"/>
        <v>0</v>
      </c>
      <c r="AL150" s="37">
        <v>0</v>
      </c>
      <c r="AM150" s="37">
        <v>0</v>
      </c>
      <c r="AN150" s="37"/>
      <c r="AO150" s="37"/>
      <c r="AP150" s="15">
        <f t="shared" si="392"/>
        <v>0</v>
      </c>
      <c r="AR150" s="37">
        <v>0</v>
      </c>
      <c r="AS150" s="37">
        <v>0</v>
      </c>
      <c r="AT150" s="37"/>
      <c r="AU150" s="37"/>
      <c r="AV150" s="15">
        <f t="shared" si="393"/>
        <v>0</v>
      </c>
      <c r="AX150" s="7">
        <f t="shared" si="385"/>
        <v>110000</v>
      </c>
      <c r="AY150" s="7">
        <f t="shared" si="376"/>
        <v>0</v>
      </c>
      <c r="AZ150" s="7">
        <f t="shared" si="376"/>
        <v>0</v>
      </c>
      <c r="BA150" s="7">
        <f t="shared" si="376"/>
        <v>0</v>
      </c>
      <c r="BB150" s="15">
        <f t="shared" si="386"/>
        <v>110000</v>
      </c>
    </row>
    <row r="151" spans="1:54" ht="15.75" thickBot="1" x14ac:dyDescent="0.3">
      <c r="A151" s="95" t="s">
        <v>123</v>
      </c>
      <c r="B151" s="92">
        <f>SUM(B141:B150)</f>
        <v>202668</v>
      </c>
      <c r="C151" s="92">
        <f>SUM(C141:C150)</f>
        <v>0</v>
      </c>
      <c r="D151" s="92">
        <f>SUM(D141:D150)</f>
        <v>13027.995550611791</v>
      </c>
      <c r="E151" s="92">
        <f>SUM(E141:E150)</f>
        <v>0</v>
      </c>
      <c r="F151" s="92">
        <f>SUM(F141:F150)</f>
        <v>215695.99555061178</v>
      </c>
      <c r="H151" s="92">
        <f>SUM(H141:H150)</f>
        <v>1090009.5</v>
      </c>
      <c r="I151" s="92">
        <f>SUM(I141:I150)</f>
        <v>0</v>
      </c>
      <c r="J151" s="92">
        <f>SUM(J141:J150)</f>
        <v>39632.145721925139</v>
      </c>
      <c r="K151" s="92">
        <f>SUM(K141:K150)</f>
        <v>0</v>
      </c>
      <c r="L151" s="92">
        <f>SUM(L141:L150)</f>
        <v>1129641.6457219252</v>
      </c>
      <c r="N151" s="92">
        <f>SUM(N141:N150)</f>
        <v>203708</v>
      </c>
      <c r="O151" s="92">
        <f>SUM(O141:O150)</f>
        <v>0</v>
      </c>
      <c r="P151" s="92">
        <f>SUM(P141:P150)</f>
        <v>9546</v>
      </c>
      <c r="Q151" s="92">
        <f>SUM(Q141:Q150)</f>
        <v>0</v>
      </c>
      <c r="R151" s="92">
        <f>SUM(R141:R150)</f>
        <v>213254</v>
      </c>
      <c r="T151" s="92">
        <f>SUM(T141:T150)</f>
        <v>243607.5</v>
      </c>
      <c r="U151" s="92">
        <f>SUM(U141:U150)</f>
        <v>0</v>
      </c>
      <c r="V151" s="92">
        <f>SUM(V141:V150)</f>
        <v>14117.91492910759</v>
      </c>
      <c r="W151" s="92">
        <f>SUM(W141:W150)</f>
        <v>0</v>
      </c>
      <c r="X151" s="92">
        <f>SUM(X141:X150)</f>
        <v>257725.41492910759</v>
      </c>
      <c r="Z151" s="92">
        <f>SUM(Z141:Z150)</f>
        <v>701187.5</v>
      </c>
      <c r="AA151" s="92">
        <f>SUM(AA141:AA150)</f>
        <v>0</v>
      </c>
      <c r="AB151" s="92">
        <f>SUM(AB141:AB150)</f>
        <v>25067.045454545452</v>
      </c>
      <c r="AC151" s="92">
        <f>SUM(AC141:AC150)</f>
        <v>0</v>
      </c>
      <c r="AD151" s="92">
        <f>SUM(AD141:AD150)</f>
        <v>726254.54545454541</v>
      </c>
      <c r="AF151" s="92">
        <f>SUM(AF141:AF150)</f>
        <v>393407.5</v>
      </c>
      <c r="AG151" s="92">
        <f>SUM(AG141:AG150)</f>
        <v>0</v>
      </c>
      <c r="AH151" s="92">
        <f>SUM(AH141:AH150)</f>
        <v>9984.5999999999985</v>
      </c>
      <c r="AI151" s="92">
        <f>SUM(AI141:AI150)</f>
        <v>0</v>
      </c>
      <c r="AJ151" s="92">
        <f>SUM(AJ141:AJ150)</f>
        <v>403392.1</v>
      </c>
      <c r="AL151" s="92">
        <f>SUM(AL141:AL150)</f>
        <v>1000</v>
      </c>
      <c r="AM151" s="92">
        <f>SUM(AM141:AM150)</f>
        <v>0</v>
      </c>
      <c r="AN151" s="92">
        <f>SUM(AN141:AN150)</f>
        <v>0</v>
      </c>
      <c r="AO151" s="92">
        <f>SUM(AO141:AO150)</f>
        <v>0</v>
      </c>
      <c r="AP151" s="92">
        <f>SUM(AP141:AP150)</f>
        <v>1000</v>
      </c>
      <c r="AR151" s="92">
        <f>SUM(AR141:AR150)</f>
        <v>177340</v>
      </c>
      <c r="AS151" s="92">
        <f>SUM(AS141:AS150)</f>
        <v>0</v>
      </c>
      <c r="AT151" s="92">
        <f>SUM(AT141:AT150)</f>
        <v>2550</v>
      </c>
      <c r="AU151" s="92">
        <f>SUM(AU141:AU150)</f>
        <v>0</v>
      </c>
      <c r="AV151" s="92">
        <f>SUM(AV141:AV150)</f>
        <v>179890</v>
      </c>
      <c r="AX151" s="92">
        <f>SUM(AX141:AX150)</f>
        <v>3012928</v>
      </c>
      <c r="AY151" s="92">
        <f>SUM(AY141:AY150)</f>
        <v>0</v>
      </c>
      <c r="AZ151" s="92">
        <f>SUM(AZ141:AZ150)</f>
        <v>113925.70165618998</v>
      </c>
      <c r="BA151" s="92">
        <f>SUM(BA141:BA150)</f>
        <v>0</v>
      </c>
      <c r="BB151" s="92">
        <f>SUM(BB141:BB150)</f>
        <v>3126853.7016561897</v>
      </c>
    </row>
    <row r="152" spans="1:54" x14ac:dyDescent="0.25">
      <c r="A152" s="101" t="s">
        <v>124</v>
      </c>
      <c r="B152" s="149" t="str">
        <f>B1</f>
        <v>Operating</v>
      </c>
      <c r="C152" s="149" t="str">
        <f>C1</f>
        <v>Weights</v>
      </c>
      <c r="D152" s="149" t="str">
        <f>D1</f>
        <v>SPED</v>
      </c>
      <c r="E152" s="149" t="str">
        <f>E1</f>
        <v>NSLP</v>
      </c>
      <c r="F152" s="149" t="str">
        <f>F1</f>
        <v>Horizon</v>
      </c>
      <c r="H152" s="149" t="str">
        <f>H1</f>
        <v>Operating</v>
      </c>
      <c r="I152" s="149" t="str">
        <f>I1</f>
        <v>Weights</v>
      </c>
      <c r="J152" s="149" t="str">
        <f>J1</f>
        <v>SPED</v>
      </c>
      <c r="K152" s="149" t="str">
        <f>K1</f>
        <v>NSLP</v>
      </c>
      <c r="L152" s="149" t="str">
        <f>L1</f>
        <v>Cadence</v>
      </c>
      <c r="N152" s="149" t="str">
        <f>N1</f>
        <v>Operating</v>
      </c>
      <c r="O152" s="149" t="str">
        <f>O1</f>
        <v>Weights</v>
      </c>
      <c r="P152" s="149" t="str">
        <f>P1</f>
        <v>SPED</v>
      </c>
      <c r="Q152" s="149" t="str">
        <f>Q1</f>
        <v>NSLP</v>
      </c>
      <c r="R152" s="149" t="str">
        <f>R1</f>
        <v>St. Rose</v>
      </c>
      <c r="T152" s="149" t="str">
        <f>T1</f>
        <v>Operating</v>
      </c>
      <c r="U152" s="149" t="str">
        <f>U1</f>
        <v>Weights</v>
      </c>
      <c r="V152" s="149" t="str">
        <f>V1</f>
        <v>SPED</v>
      </c>
      <c r="W152" s="149" t="str">
        <f>W1</f>
        <v>NSLP</v>
      </c>
      <c r="X152" s="149" t="str">
        <f>X1</f>
        <v>Inspirada</v>
      </c>
      <c r="Z152" s="149" t="str">
        <f>Z1</f>
        <v>Operating</v>
      </c>
      <c r="AA152" s="149" t="str">
        <f>AA1</f>
        <v>Weights</v>
      </c>
      <c r="AB152" s="149" t="str">
        <f>AB1</f>
        <v>SPED</v>
      </c>
      <c r="AC152" s="149" t="str">
        <f>AC1</f>
        <v>NSLP</v>
      </c>
      <c r="AD152" s="149" t="str">
        <f>AD1</f>
        <v>Sloan Canyon</v>
      </c>
      <c r="AF152" s="149" t="str">
        <f>AF1</f>
        <v>Operating</v>
      </c>
      <c r="AG152" s="149" t="str">
        <f>AG1</f>
        <v>Weights</v>
      </c>
      <c r="AH152" s="149" t="str">
        <f>AH1</f>
        <v>SPED</v>
      </c>
      <c r="AI152" s="149" t="str">
        <f>AI1</f>
        <v>NSLP</v>
      </c>
      <c r="AJ152" s="149" t="str">
        <f>AJ1</f>
        <v>Springs</v>
      </c>
      <c r="AL152" s="149" t="str">
        <f>AL1</f>
        <v>Operating</v>
      </c>
      <c r="AM152" s="149" t="str">
        <f>AM1</f>
        <v>Weights</v>
      </c>
      <c r="AN152" s="149" t="str">
        <f>AN1</f>
        <v>SPED</v>
      </c>
      <c r="AO152" s="149" t="str">
        <f>AO1</f>
        <v>NSLP</v>
      </c>
      <c r="AP152" s="149" t="str">
        <f>AP1</f>
        <v>System Wide</v>
      </c>
      <c r="AR152" s="149" t="str">
        <f>AR1</f>
        <v>Operating</v>
      </c>
      <c r="AS152" s="149" t="str">
        <f>AS1</f>
        <v>Weights</v>
      </c>
      <c r="AT152" s="149" t="str">
        <f>AT1</f>
        <v>SPED</v>
      </c>
      <c r="AU152" s="149" t="str">
        <f>AU1</f>
        <v>NSLP</v>
      </c>
      <c r="AV152" s="149" t="str">
        <f>AV1</f>
        <v>Virtual</v>
      </c>
      <c r="AX152" s="149" t="str">
        <f>AX1</f>
        <v>Operating</v>
      </c>
      <c r="AY152" s="149" t="str">
        <f>AY1</f>
        <v>Weights</v>
      </c>
      <c r="AZ152" s="149" t="str">
        <f>AZ1</f>
        <v>SPED</v>
      </c>
      <c r="BA152" s="149" t="str">
        <f>BA1</f>
        <v>NSLP</v>
      </c>
      <c r="BB152" s="149" t="str">
        <f>BB1</f>
        <v>Pinecrest System</v>
      </c>
    </row>
    <row r="153" spans="1:54" x14ac:dyDescent="0.25">
      <c r="A153" s="62" t="s">
        <v>125</v>
      </c>
      <c r="B153" s="80">
        <v>0</v>
      </c>
      <c r="C153" s="80">
        <f>'FY24'!C153*1.03</f>
        <v>9017.65</v>
      </c>
      <c r="D153" s="80"/>
      <c r="E153" s="80"/>
      <c r="F153" s="80">
        <f>SUM(B153:E153)</f>
        <v>9017.65</v>
      </c>
      <c r="H153" s="80">
        <v>0</v>
      </c>
      <c r="I153" s="80">
        <f>'FY24'!I153*1.03</f>
        <v>19096.2</v>
      </c>
      <c r="J153" s="80"/>
      <c r="K153" s="80"/>
      <c r="L153" s="80">
        <f>SUM(H153:K153)</f>
        <v>19096.2</v>
      </c>
      <c r="N153" s="80">
        <v>0</v>
      </c>
      <c r="O153" s="80">
        <f>'FY24'!O153*1.03</f>
        <v>12730.800000000001</v>
      </c>
      <c r="P153" s="80"/>
      <c r="Q153" s="80"/>
      <c r="R153" s="80">
        <f>SUM(N153:Q153)</f>
        <v>12730.800000000001</v>
      </c>
      <c r="T153" s="80">
        <v>0</v>
      </c>
      <c r="U153" s="80">
        <f>'FY24'!U153*1.03</f>
        <v>12730.800000000001</v>
      </c>
      <c r="V153" s="80"/>
      <c r="W153" s="80"/>
      <c r="X153" s="80">
        <f>SUM(T153:W153)</f>
        <v>12730.800000000001</v>
      </c>
      <c r="Z153" s="80">
        <v>0</v>
      </c>
      <c r="AA153" s="80">
        <f>'FY24'!AA153*1.03</f>
        <v>19096.2</v>
      </c>
      <c r="AB153" s="80"/>
      <c r="AC153" s="80"/>
      <c r="AD153" s="80">
        <f>SUM(Z153:AC153)</f>
        <v>19096.2</v>
      </c>
      <c r="AF153" s="80">
        <v>0</v>
      </c>
      <c r="AG153" s="80">
        <v>12000</v>
      </c>
      <c r="AH153" s="80"/>
      <c r="AI153" s="80"/>
      <c r="AJ153" s="80">
        <f>SUM(AF153:AI153)</f>
        <v>12000</v>
      </c>
      <c r="AL153" s="80">
        <v>0</v>
      </c>
      <c r="AM153" s="80">
        <v>0</v>
      </c>
      <c r="AN153" s="80"/>
      <c r="AO153" s="80"/>
      <c r="AP153" s="80">
        <f>SUM(AL153:AO153)</f>
        <v>0</v>
      </c>
      <c r="AR153" s="80">
        <v>0</v>
      </c>
      <c r="AS153" s="80">
        <f>7500*1.06</f>
        <v>7950</v>
      </c>
      <c r="AT153" s="80"/>
      <c r="AU153" s="80"/>
      <c r="AV153" s="80">
        <f>SUM(AR153:AU153)</f>
        <v>7950</v>
      </c>
      <c r="AX153" s="7">
        <f>B153+H153+N153+T153+Z153+AF153+AL153+AR153</f>
        <v>0</v>
      </c>
      <c r="AY153" s="7">
        <f t="shared" ref="AY153:BA166" si="394">C153+I153+O153+U153+AA153+AG153+AM153+AS153</f>
        <v>92621.650000000009</v>
      </c>
      <c r="AZ153" s="7">
        <f t="shared" si="394"/>
        <v>0</v>
      </c>
      <c r="BA153" s="7">
        <f t="shared" si="394"/>
        <v>0</v>
      </c>
      <c r="BB153" s="80">
        <f>SUM(AX153:BA153)</f>
        <v>92621.650000000009</v>
      </c>
    </row>
    <row r="154" spans="1:54" x14ac:dyDescent="0.25">
      <c r="A154" s="62" t="s">
        <v>126</v>
      </c>
      <c r="B154" s="14">
        <v>0</v>
      </c>
      <c r="C154" s="142"/>
      <c r="D154" s="14">
        <f>315*B19</f>
        <v>294840</v>
      </c>
      <c r="E154" s="142"/>
      <c r="F154" s="80">
        <f t="shared" ref="F154:F165" si="395">SUM(B154:E154)</f>
        <v>294840</v>
      </c>
      <c r="H154" s="14">
        <v>0</v>
      </c>
      <c r="I154" s="142"/>
      <c r="J154" s="14">
        <f>170*H19</f>
        <v>411230</v>
      </c>
      <c r="K154" s="142"/>
      <c r="L154" s="80">
        <f t="shared" ref="L154:L165" si="396">SUM(H154:K154)</f>
        <v>411230</v>
      </c>
      <c r="N154" s="14">
        <v>0</v>
      </c>
      <c r="O154" s="142"/>
      <c r="P154" s="14">
        <f>165*N19</f>
        <v>167640</v>
      </c>
      <c r="Q154" s="142"/>
      <c r="R154" s="80">
        <f t="shared" ref="R154:R165" si="397">SUM(N154:Q154)</f>
        <v>167640</v>
      </c>
      <c r="T154" s="14">
        <v>0</v>
      </c>
      <c r="U154" s="142"/>
      <c r="V154" s="14">
        <f>130*T19</f>
        <v>157950</v>
      </c>
      <c r="W154" s="142"/>
      <c r="X154" s="80">
        <f t="shared" ref="X154:X165" si="398">SUM(T154:W154)</f>
        <v>157950</v>
      </c>
      <c r="Z154" s="14">
        <v>0</v>
      </c>
      <c r="AA154" s="142"/>
      <c r="AB154" s="14">
        <f>110*Z19</f>
        <v>261250</v>
      </c>
      <c r="AC154" s="142"/>
      <c r="AD154" s="80">
        <f t="shared" ref="AD154:AD165" si="399">SUM(Z154:AC154)</f>
        <v>261250</v>
      </c>
      <c r="AF154" s="14">
        <v>0</v>
      </c>
      <c r="AG154" s="142"/>
      <c r="AH154" s="360">
        <f>200*AF19</f>
        <v>163000</v>
      </c>
      <c r="AI154" s="142"/>
      <c r="AJ154" s="80">
        <f t="shared" ref="AJ154:AJ165" si="400">SUM(AF154:AI154)</f>
        <v>163000</v>
      </c>
      <c r="AL154" s="14">
        <v>0</v>
      </c>
      <c r="AM154" s="142"/>
      <c r="AN154" s="14">
        <f>105*AL19</f>
        <v>0</v>
      </c>
      <c r="AO154" s="142"/>
      <c r="AP154" s="80">
        <f t="shared" ref="AP154:AP165" si="401">SUM(AL154:AO154)</f>
        <v>0</v>
      </c>
      <c r="AR154" s="14">
        <v>0</v>
      </c>
      <c r="AS154" s="142"/>
      <c r="AT154" s="14">
        <f>230*AR19</f>
        <v>57500</v>
      </c>
      <c r="AU154" s="142"/>
      <c r="AV154" s="80">
        <f t="shared" ref="AV154:AV165" si="402">SUM(AR154:AU154)</f>
        <v>57500</v>
      </c>
      <c r="AX154" s="7">
        <f t="shared" ref="AX154:AX165" si="403">B154+H154+N154+T154+Z154+AF154+AL154+AR154</f>
        <v>0</v>
      </c>
      <c r="AY154" s="7">
        <f t="shared" si="394"/>
        <v>0</v>
      </c>
      <c r="AZ154" s="7">
        <f t="shared" si="394"/>
        <v>1513410</v>
      </c>
      <c r="BA154" s="7">
        <f t="shared" si="394"/>
        <v>0</v>
      </c>
      <c r="BB154" s="80">
        <f t="shared" ref="BB154:BB165" si="404">SUM(AX154:BA154)</f>
        <v>1513410</v>
      </c>
    </row>
    <row r="155" spans="1:54" x14ac:dyDescent="0.25">
      <c r="A155" s="62" t="s">
        <v>253</v>
      </c>
      <c r="B155" s="11">
        <v>0</v>
      </c>
      <c r="C155" s="142"/>
      <c r="D155" s="14"/>
      <c r="E155" s="142"/>
      <c r="F155" s="80">
        <f t="shared" si="395"/>
        <v>0</v>
      </c>
      <c r="H155" s="11">
        <v>0</v>
      </c>
      <c r="I155" s="142"/>
      <c r="J155" s="14"/>
      <c r="K155" s="142"/>
      <c r="L155" s="80">
        <f t="shared" si="396"/>
        <v>0</v>
      </c>
      <c r="N155" s="11">
        <v>0</v>
      </c>
      <c r="O155" s="142"/>
      <c r="P155" s="14"/>
      <c r="Q155" s="142"/>
      <c r="R155" s="80">
        <f t="shared" si="397"/>
        <v>0</v>
      </c>
      <c r="T155" s="11">
        <v>0</v>
      </c>
      <c r="U155" s="142"/>
      <c r="V155" s="14"/>
      <c r="W155" s="142"/>
      <c r="X155" s="80">
        <f t="shared" si="398"/>
        <v>0</v>
      </c>
      <c r="Z155" s="11">
        <v>0</v>
      </c>
      <c r="AA155" s="142"/>
      <c r="AB155" s="14"/>
      <c r="AC155" s="142"/>
      <c r="AD155" s="80">
        <f t="shared" si="399"/>
        <v>0</v>
      </c>
      <c r="AF155" s="11">
        <v>0</v>
      </c>
      <c r="AG155" s="142"/>
      <c r="AH155" s="14"/>
      <c r="AI155" s="142"/>
      <c r="AJ155" s="80">
        <f t="shared" si="400"/>
        <v>0</v>
      </c>
      <c r="AL155" s="11">
        <v>0</v>
      </c>
      <c r="AM155" s="142"/>
      <c r="AN155" s="14"/>
      <c r="AO155" s="142"/>
      <c r="AP155" s="80">
        <f t="shared" si="401"/>
        <v>0</v>
      </c>
      <c r="AR155" s="11">
        <f>(110*10)*AR19</f>
        <v>275000</v>
      </c>
      <c r="AS155" s="142"/>
      <c r="AT155" s="14"/>
      <c r="AU155" s="142"/>
      <c r="AV155" s="80">
        <f t="shared" si="402"/>
        <v>275000</v>
      </c>
      <c r="AX155" s="7">
        <f t="shared" si="403"/>
        <v>275000</v>
      </c>
      <c r="AY155" s="7">
        <f t="shared" si="394"/>
        <v>0</v>
      </c>
      <c r="AZ155" s="7">
        <f t="shared" si="394"/>
        <v>0</v>
      </c>
      <c r="BA155" s="7">
        <f t="shared" si="394"/>
        <v>0</v>
      </c>
      <c r="BB155" s="80">
        <f t="shared" si="404"/>
        <v>275000</v>
      </c>
    </row>
    <row r="156" spans="1:54" x14ac:dyDescent="0.25">
      <c r="A156" s="62" t="s">
        <v>254</v>
      </c>
      <c r="B156" s="11">
        <v>0</v>
      </c>
      <c r="C156" s="142"/>
      <c r="D156" s="14"/>
      <c r="E156" s="142"/>
      <c r="F156" s="80">
        <f t="shared" si="395"/>
        <v>0</v>
      </c>
      <c r="H156" s="11">
        <v>0</v>
      </c>
      <c r="I156" s="142"/>
      <c r="J156" s="14"/>
      <c r="K156" s="142"/>
      <c r="L156" s="80">
        <f t="shared" si="396"/>
        <v>0</v>
      </c>
      <c r="N156" s="11">
        <v>0</v>
      </c>
      <c r="O156" s="142"/>
      <c r="P156" s="14"/>
      <c r="Q156" s="142"/>
      <c r="R156" s="80">
        <f t="shared" si="397"/>
        <v>0</v>
      </c>
      <c r="T156" s="11">
        <v>0</v>
      </c>
      <c r="U156" s="142"/>
      <c r="V156" s="14"/>
      <c r="W156" s="142"/>
      <c r="X156" s="80">
        <f t="shared" si="398"/>
        <v>0</v>
      </c>
      <c r="Z156" s="11">
        <v>0</v>
      </c>
      <c r="AA156" s="142"/>
      <c r="AB156" s="14"/>
      <c r="AC156" s="142"/>
      <c r="AD156" s="80">
        <f t="shared" si="399"/>
        <v>0</v>
      </c>
      <c r="AF156" s="11">
        <v>0</v>
      </c>
      <c r="AG156" s="142"/>
      <c r="AH156" s="14"/>
      <c r="AI156" s="142"/>
      <c r="AJ156" s="80">
        <f t="shared" si="400"/>
        <v>0</v>
      </c>
      <c r="AL156" s="11">
        <v>0</v>
      </c>
      <c r="AM156" s="142"/>
      <c r="AN156" s="14"/>
      <c r="AO156" s="142"/>
      <c r="AP156" s="80">
        <f t="shared" si="401"/>
        <v>0</v>
      </c>
      <c r="AR156" s="11">
        <f>(1500*AR19)</f>
        <v>375000</v>
      </c>
      <c r="AS156" s="142"/>
      <c r="AT156" s="14"/>
      <c r="AU156" s="142"/>
      <c r="AV156" s="80">
        <f t="shared" si="402"/>
        <v>375000</v>
      </c>
      <c r="AX156" s="7">
        <f t="shared" si="403"/>
        <v>375000</v>
      </c>
      <c r="AY156" s="7">
        <f t="shared" si="394"/>
        <v>0</v>
      </c>
      <c r="AZ156" s="7">
        <f t="shared" si="394"/>
        <v>0</v>
      </c>
      <c r="BA156" s="7">
        <f t="shared" si="394"/>
        <v>0</v>
      </c>
      <c r="BB156" s="80">
        <f t="shared" si="404"/>
        <v>375000</v>
      </c>
    </row>
    <row r="157" spans="1:54" x14ac:dyDescent="0.25">
      <c r="A157" s="62" t="s">
        <v>128</v>
      </c>
      <c r="B157" s="7">
        <f>(450*B19)</f>
        <v>421200</v>
      </c>
      <c r="C157" s="7"/>
      <c r="D157" s="7"/>
      <c r="E157" s="7"/>
      <c r="F157" s="80">
        <f t="shared" si="395"/>
        <v>421200</v>
      </c>
      <c r="H157" s="7">
        <f>(450*H19)</f>
        <v>1088550</v>
      </c>
      <c r="I157" s="7"/>
      <c r="J157" s="7"/>
      <c r="K157" s="7"/>
      <c r="L157" s="80">
        <f t="shared" si="396"/>
        <v>1088550</v>
      </c>
      <c r="N157" s="7">
        <f>(450*N19)</f>
        <v>457200</v>
      </c>
      <c r="O157" s="7"/>
      <c r="P157" s="7"/>
      <c r="Q157" s="7"/>
      <c r="R157" s="80">
        <f t="shared" si="397"/>
        <v>457200</v>
      </c>
      <c r="T157" s="7">
        <f>(450*T19)</f>
        <v>546750</v>
      </c>
      <c r="U157" s="7"/>
      <c r="V157" s="7"/>
      <c r="W157" s="7"/>
      <c r="X157" s="80">
        <f t="shared" si="398"/>
        <v>546750</v>
      </c>
      <c r="Z157" s="7">
        <f>(450*Z19)</f>
        <v>1068750</v>
      </c>
      <c r="AA157" s="7"/>
      <c r="AB157" s="7"/>
      <c r="AC157" s="7"/>
      <c r="AD157" s="80">
        <f t="shared" si="399"/>
        <v>1068750</v>
      </c>
      <c r="AF157" s="7">
        <f>(450*AF19)</f>
        <v>366750</v>
      </c>
      <c r="AG157" s="7"/>
      <c r="AH157" s="7"/>
      <c r="AI157" s="7"/>
      <c r="AJ157" s="80">
        <f t="shared" si="400"/>
        <v>366750</v>
      </c>
      <c r="AL157" s="7">
        <f>(450*AL19)</f>
        <v>0</v>
      </c>
      <c r="AM157" s="7"/>
      <c r="AN157" s="7"/>
      <c r="AO157" s="7"/>
      <c r="AP157" s="80">
        <f t="shared" si="401"/>
        <v>0</v>
      </c>
      <c r="AR157" s="7">
        <f>(450*AR19)</f>
        <v>112500</v>
      </c>
      <c r="AS157" s="7"/>
      <c r="AT157" s="7"/>
      <c r="AU157" s="7"/>
      <c r="AV157" s="80">
        <f t="shared" si="402"/>
        <v>112500</v>
      </c>
      <c r="AX157" s="7">
        <f t="shared" si="403"/>
        <v>4061700</v>
      </c>
      <c r="AY157" s="7">
        <f t="shared" si="394"/>
        <v>0</v>
      </c>
      <c r="AZ157" s="7">
        <f t="shared" si="394"/>
        <v>0</v>
      </c>
      <c r="BA157" s="7">
        <f t="shared" si="394"/>
        <v>0</v>
      </c>
      <c r="BB157" s="80">
        <f t="shared" si="404"/>
        <v>4061700</v>
      </c>
    </row>
    <row r="158" spans="1:54" x14ac:dyDescent="0.25">
      <c r="A158" s="62" t="s">
        <v>129</v>
      </c>
      <c r="B158" s="7">
        <f>(240*B66)+2000</f>
        <v>14120</v>
      </c>
      <c r="C158" s="7">
        <f>(240*C66)</f>
        <v>720</v>
      </c>
      <c r="D158" s="7">
        <f>(240*D66)</f>
        <v>2160</v>
      </c>
      <c r="E158" s="7">
        <f>(240*E66)</f>
        <v>240</v>
      </c>
      <c r="F158" s="80">
        <f t="shared" si="395"/>
        <v>17240</v>
      </c>
      <c r="H158" s="7">
        <f>(240*H66)+2000</f>
        <v>31280</v>
      </c>
      <c r="I158" s="7">
        <f>(240*I66)</f>
        <v>1920</v>
      </c>
      <c r="J158" s="7">
        <f>(240*J66)</f>
        <v>6960</v>
      </c>
      <c r="K158" s="7">
        <f>(240*K66)</f>
        <v>720</v>
      </c>
      <c r="L158" s="80">
        <f t="shared" si="396"/>
        <v>40880</v>
      </c>
      <c r="N158" s="7">
        <f>(240*N66)+2000</f>
        <v>14960</v>
      </c>
      <c r="O158" s="7">
        <f>(240*O66)</f>
        <v>1200</v>
      </c>
      <c r="P158" s="7">
        <f>(240*P66)</f>
        <v>1999.2</v>
      </c>
      <c r="Q158" s="7">
        <f>(240*Q66)</f>
        <v>240</v>
      </c>
      <c r="R158" s="80">
        <f t="shared" si="397"/>
        <v>18399.2</v>
      </c>
      <c r="T158" s="7">
        <f>(240*T66)+2000</f>
        <v>17960</v>
      </c>
      <c r="U158" s="7">
        <f>(240*U66)</f>
        <v>840</v>
      </c>
      <c r="V158" s="7">
        <f>(240*V66)</f>
        <v>3201.6</v>
      </c>
      <c r="W158" s="7">
        <f>(240*W66)</f>
        <v>240</v>
      </c>
      <c r="X158" s="80">
        <f t="shared" si="398"/>
        <v>22241.599999999999</v>
      </c>
      <c r="Z158" s="7">
        <f>(240*Z66)+2000</f>
        <v>29600</v>
      </c>
      <c r="AA158" s="7">
        <f>(240*AA66)</f>
        <v>1320</v>
      </c>
      <c r="AB158" s="7">
        <f>(240*AB66)</f>
        <v>5479.2</v>
      </c>
      <c r="AC158" s="7">
        <f>(240*AC66)</f>
        <v>480</v>
      </c>
      <c r="AD158" s="80">
        <f t="shared" si="399"/>
        <v>36879.199999999997</v>
      </c>
      <c r="AF158" s="7">
        <f>(240*AF66)+2000</f>
        <v>12080</v>
      </c>
      <c r="AG158" s="7">
        <f>(240*AG66)</f>
        <v>360</v>
      </c>
      <c r="AH158" s="7">
        <f>(240*AH66)</f>
        <v>2040</v>
      </c>
      <c r="AI158" s="7">
        <f>(240*AI66)</f>
        <v>240</v>
      </c>
      <c r="AJ158" s="80">
        <f t="shared" si="400"/>
        <v>14720</v>
      </c>
      <c r="AL158" s="7">
        <f>(240*AL66)+2000</f>
        <v>2720</v>
      </c>
      <c r="AM158" s="7">
        <f>(240*AM66)</f>
        <v>120</v>
      </c>
      <c r="AN158" s="7">
        <f>(240*AN66)</f>
        <v>0</v>
      </c>
      <c r="AO158" s="7">
        <f>(240*AO66)</f>
        <v>0</v>
      </c>
      <c r="AP158" s="80">
        <f t="shared" si="401"/>
        <v>2840</v>
      </c>
      <c r="AR158" s="7">
        <f>(240*AR66)+2000</f>
        <v>2240</v>
      </c>
      <c r="AS158" s="7">
        <f>(240*AS66)</f>
        <v>0</v>
      </c>
      <c r="AT158" s="7">
        <f>(240*AT66)</f>
        <v>480</v>
      </c>
      <c r="AU158" s="7">
        <f>(240*AU66)</f>
        <v>0</v>
      </c>
      <c r="AV158" s="80">
        <f t="shared" si="402"/>
        <v>2720</v>
      </c>
      <c r="AX158" s="7">
        <f t="shared" si="403"/>
        <v>124960</v>
      </c>
      <c r="AY158" s="7">
        <f t="shared" si="394"/>
        <v>6480</v>
      </c>
      <c r="AZ158" s="7">
        <f t="shared" si="394"/>
        <v>22320</v>
      </c>
      <c r="BA158" s="7">
        <f t="shared" si="394"/>
        <v>2160</v>
      </c>
      <c r="BB158" s="80">
        <f t="shared" si="404"/>
        <v>155920</v>
      </c>
    </row>
    <row r="159" spans="1:54" s="212" customFormat="1" x14ac:dyDescent="0.25">
      <c r="A159" s="62" t="s">
        <v>130</v>
      </c>
      <c r="B159" s="80">
        <f>'FY24'!B159*1.03</f>
        <v>12200.35</v>
      </c>
      <c r="C159" s="15"/>
      <c r="D159" s="15"/>
      <c r="E159" s="15"/>
      <c r="F159" s="80">
        <f t="shared" si="395"/>
        <v>12200.35</v>
      </c>
      <c r="G159" s="211"/>
      <c r="H159" s="80">
        <f>'FY24'!H159*1.03</f>
        <v>12200.35</v>
      </c>
      <c r="I159" s="15"/>
      <c r="J159" s="15"/>
      <c r="K159" s="15"/>
      <c r="L159" s="80">
        <f t="shared" si="396"/>
        <v>12200.35</v>
      </c>
      <c r="M159" s="211"/>
      <c r="N159" s="80">
        <f>'FY24'!N159*1.03</f>
        <v>12200.35</v>
      </c>
      <c r="O159" s="15"/>
      <c r="P159" s="15"/>
      <c r="Q159" s="15"/>
      <c r="R159" s="80">
        <f t="shared" si="397"/>
        <v>12200.35</v>
      </c>
      <c r="S159" s="211"/>
      <c r="T159" s="80">
        <f>'FY24'!T159*1.03</f>
        <v>12200.35</v>
      </c>
      <c r="U159" s="15"/>
      <c r="V159" s="15"/>
      <c r="W159" s="15"/>
      <c r="X159" s="80">
        <f t="shared" si="398"/>
        <v>12200.35</v>
      </c>
      <c r="Y159" s="211"/>
      <c r="Z159" s="80">
        <f>'FY24'!Z159*1.03</f>
        <v>12200.35</v>
      </c>
      <c r="AA159" s="15"/>
      <c r="AB159" s="15"/>
      <c r="AC159" s="15"/>
      <c r="AD159" s="80">
        <f t="shared" si="399"/>
        <v>12200.35</v>
      </c>
      <c r="AE159" s="211"/>
      <c r="AF159" s="7">
        <v>12200</v>
      </c>
      <c r="AG159" s="15"/>
      <c r="AH159" s="15"/>
      <c r="AI159" s="15"/>
      <c r="AJ159" s="80">
        <f t="shared" si="400"/>
        <v>12200</v>
      </c>
      <c r="AK159" s="211"/>
      <c r="AL159" s="15">
        <v>0</v>
      </c>
      <c r="AM159" s="15"/>
      <c r="AN159" s="15"/>
      <c r="AO159" s="15"/>
      <c r="AP159" s="80">
        <f t="shared" si="401"/>
        <v>0</v>
      </c>
      <c r="AQ159" s="211"/>
      <c r="AR159" s="7">
        <f>12500*1.06</f>
        <v>13250</v>
      </c>
      <c r="AS159" s="7"/>
      <c r="AT159" s="7"/>
      <c r="AU159" s="7"/>
      <c r="AV159" s="80">
        <f t="shared" si="402"/>
        <v>13250</v>
      </c>
      <c r="AX159" s="7">
        <f t="shared" si="403"/>
        <v>86451.75</v>
      </c>
      <c r="AY159" s="7">
        <f t="shared" si="394"/>
        <v>0</v>
      </c>
      <c r="AZ159" s="7">
        <f t="shared" si="394"/>
        <v>0</v>
      </c>
      <c r="BA159" s="7">
        <f t="shared" si="394"/>
        <v>0</v>
      </c>
      <c r="BB159" s="80">
        <f t="shared" si="404"/>
        <v>86451.75</v>
      </c>
    </row>
    <row r="160" spans="1:54" x14ac:dyDescent="0.25">
      <c r="A160" s="62" t="s">
        <v>131</v>
      </c>
      <c r="B160" s="7">
        <v>6000</v>
      </c>
      <c r="C160" s="7"/>
      <c r="D160" s="7"/>
      <c r="E160" s="7"/>
      <c r="F160" s="80">
        <f t="shared" si="395"/>
        <v>6000</v>
      </c>
      <c r="H160" s="7">
        <v>6000</v>
      </c>
      <c r="I160" s="7"/>
      <c r="J160" s="7"/>
      <c r="K160" s="7"/>
      <c r="L160" s="80">
        <f t="shared" si="396"/>
        <v>6000</v>
      </c>
      <c r="N160" s="7">
        <v>6000</v>
      </c>
      <c r="O160" s="7"/>
      <c r="P160" s="7"/>
      <c r="Q160" s="7"/>
      <c r="R160" s="80">
        <f t="shared" si="397"/>
        <v>6000</v>
      </c>
      <c r="T160" s="7">
        <v>6000</v>
      </c>
      <c r="U160" s="7"/>
      <c r="V160" s="7"/>
      <c r="W160" s="7"/>
      <c r="X160" s="80">
        <f t="shared" si="398"/>
        <v>6000</v>
      </c>
      <c r="Z160" s="7">
        <v>6000</v>
      </c>
      <c r="AA160" s="7"/>
      <c r="AB160" s="7"/>
      <c r="AC160" s="7"/>
      <c r="AD160" s="80">
        <f t="shared" si="399"/>
        <v>6000</v>
      </c>
      <c r="AF160" s="7">
        <v>6000</v>
      </c>
      <c r="AG160" s="7"/>
      <c r="AH160" s="7"/>
      <c r="AI160" s="7"/>
      <c r="AJ160" s="80">
        <f t="shared" si="400"/>
        <v>6000</v>
      </c>
      <c r="AL160" s="7">
        <v>0</v>
      </c>
      <c r="AM160" s="7"/>
      <c r="AN160" s="7"/>
      <c r="AO160" s="7"/>
      <c r="AP160" s="80">
        <f t="shared" si="401"/>
        <v>0</v>
      </c>
      <c r="AR160" s="7">
        <v>1500</v>
      </c>
      <c r="AS160" s="7"/>
      <c r="AT160" s="7"/>
      <c r="AU160" s="7"/>
      <c r="AV160" s="80">
        <f t="shared" si="402"/>
        <v>1500</v>
      </c>
      <c r="AX160" s="7">
        <f t="shared" si="403"/>
        <v>37500</v>
      </c>
      <c r="AY160" s="7">
        <f t="shared" si="394"/>
        <v>0</v>
      </c>
      <c r="AZ160" s="7">
        <f t="shared" si="394"/>
        <v>0</v>
      </c>
      <c r="BA160" s="7">
        <f t="shared" si="394"/>
        <v>0</v>
      </c>
      <c r="BB160" s="80">
        <f t="shared" si="404"/>
        <v>37500</v>
      </c>
    </row>
    <row r="161" spans="1:54" x14ac:dyDescent="0.25">
      <c r="A161" s="62" t="s">
        <v>132</v>
      </c>
      <c r="B161" s="7">
        <f>45*B19</f>
        <v>42120</v>
      </c>
      <c r="C161" s="7"/>
      <c r="D161" s="7"/>
      <c r="E161" s="7"/>
      <c r="F161" s="80">
        <f t="shared" si="395"/>
        <v>42120</v>
      </c>
      <c r="H161" s="7">
        <f>45*H19</f>
        <v>108855</v>
      </c>
      <c r="I161" s="7"/>
      <c r="J161" s="7"/>
      <c r="K161" s="7"/>
      <c r="L161" s="80">
        <f t="shared" si="396"/>
        <v>108855</v>
      </c>
      <c r="N161" s="7">
        <f>45*N19</f>
        <v>45720</v>
      </c>
      <c r="O161" s="7"/>
      <c r="P161" s="7"/>
      <c r="Q161" s="7"/>
      <c r="R161" s="80">
        <f t="shared" si="397"/>
        <v>45720</v>
      </c>
      <c r="T161" s="7">
        <f>45*T19</f>
        <v>54675</v>
      </c>
      <c r="U161" s="7"/>
      <c r="V161" s="7"/>
      <c r="W161" s="7"/>
      <c r="X161" s="80">
        <f t="shared" si="398"/>
        <v>54675</v>
      </c>
      <c r="Z161" s="7">
        <f>45*Z19</f>
        <v>106875</v>
      </c>
      <c r="AA161" s="7"/>
      <c r="AB161" s="7"/>
      <c r="AC161" s="7"/>
      <c r="AD161" s="80">
        <f t="shared" si="399"/>
        <v>106875</v>
      </c>
      <c r="AF161" s="7">
        <f>45*AF19</f>
        <v>36675</v>
      </c>
      <c r="AG161" s="7"/>
      <c r="AH161" s="7"/>
      <c r="AI161" s="7"/>
      <c r="AJ161" s="80">
        <f t="shared" si="400"/>
        <v>36675</v>
      </c>
      <c r="AL161" s="7">
        <f>42*AL19</f>
        <v>0</v>
      </c>
      <c r="AM161" s="7"/>
      <c r="AN161" s="7"/>
      <c r="AO161" s="7"/>
      <c r="AP161" s="80">
        <f t="shared" si="401"/>
        <v>0</v>
      </c>
      <c r="AR161" s="7">
        <f>42*AR19</f>
        <v>10500</v>
      </c>
      <c r="AS161" s="7"/>
      <c r="AT161" s="7"/>
      <c r="AU161" s="7"/>
      <c r="AV161" s="80">
        <f t="shared" si="402"/>
        <v>10500</v>
      </c>
      <c r="AX161" s="7">
        <f t="shared" si="403"/>
        <v>405420</v>
      </c>
      <c r="AY161" s="7">
        <f t="shared" si="394"/>
        <v>0</v>
      </c>
      <c r="AZ161" s="7">
        <f t="shared" si="394"/>
        <v>0</v>
      </c>
      <c r="BA161" s="7">
        <f t="shared" si="394"/>
        <v>0</v>
      </c>
      <c r="BB161" s="80">
        <f t="shared" si="404"/>
        <v>405420</v>
      </c>
    </row>
    <row r="162" spans="1:54" x14ac:dyDescent="0.25">
      <c r="A162" s="62" t="s">
        <v>133</v>
      </c>
      <c r="B162" s="7">
        <v>5000</v>
      </c>
      <c r="C162" s="7"/>
      <c r="D162" s="7"/>
      <c r="E162" s="7"/>
      <c r="F162" s="80">
        <f t="shared" si="395"/>
        <v>5000</v>
      </c>
      <c r="H162" s="7">
        <v>9000</v>
      </c>
      <c r="I162" s="7"/>
      <c r="J162" s="7"/>
      <c r="K162" s="7"/>
      <c r="L162" s="80">
        <f t="shared" si="396"/>
        <v>9000</v>
      </c>
      <c r="N162" s="7">
        <v>7500</v>
      </c>
      <c r="O162" s="7"/>
      <c r="P162" s="7"/>
      <c r="Q162" s="7"/>
      <c r="R162" s="80">
        <f t="shared" si="397"/>
        <v>7500</v>
      </c>
      <c r="T162" s="7">
        <v>7500</v>
      </c>
      <c r="U162" s="7"/>
      <c r="V162" s="7"/>
      <c r="W162" s="7"/>
      <c r="X162" s="80">
        <f t="shared" si="398"/>
        <v>7500</v>
      </c>
      <c r="Z162" s="7">
        <v>12500</v>
      </c>
      <c r="AA162" s="7"/>
      <c r="AB162" s="7"/>
      <c r="AC162" s="7"/>
      <c r="AD162" s="80">
        <f t="shared" si="399"/>
        <v>12500</v>
      </c>
      <c r="AF162" s="7">
        <v>12500</v>
      </c>
      <c r="AG162" s="7"/>
      <c r="AH162" s="7"/>
      <c r="AI162" s="7"/>
      <c r="AJ162" s="80">
        <f t="shared" si="400"/>
        <v>12500</v>
      </c>
      <c r="AL162" s="7">
        <v>0</v>
      </c>
      <c r="AM162" s="7"/>
      <c r="AN162" s="7"/>
      <c r="AO162" s="7"/>
      <c r="AP162" s="80">
        <f t="shared" si="401"/>
        <v>0</v>
      </c>
      <c r="AR162" s="7">
        <v>13000</v>
      </c>
      <c r="AS162" s="7"/>
      <c r="AT162" s="7"/>
      <c r="AU162" s="7"/>
      <c r="AV162" s="80">
        <f t="shared" si="402"/>
        <v>13000</v>
      </c>
      <c r="AX162" s="7">
        <f t="shared" si="403"/>
        <v>67000</v>
      </c>
      <c r="AY162" s="7">
        <f t="shared" si="394"/>
        <v>0</v>
      </c>
      <c r="AZ162" s="7">
        <f t="shared" si="394"/>
        <v>0</v>
      </c>
      <c r="BA162" s="7">
        <f t="shared" si="394"/>
        <v>0</v>
      </c>
      <c r="BB162" s="80">
        <f t="shared" si="404"/>
        <v>67000</v>
      </c>
    </row>
    <row r="163" spans="1:54" x14ac:dyDescent="0.25">
      <c r="A163" s="62" t="s">
        <v>134</v>
      </c>
      <c r="B163" s="7">
        <f>(B87+B88)*0.0125</f>
        <v>87561.051048900001</v>
      </c>
      <c r="C163" s="7"/>
      <c r="D163" s="7"/>
      <c r="E163" s="7"/>
      <c r="F163" s="80">
        <f t="shared" si="395"/>
        <v>87561.051048900001</v>
      </c>
      <c r="H163" s="7">
        <f>(H87+H88)*0.0125</f>
        <v>226292.93000778748</v>
      </c>
      <c r="I163" s="7"/>
      <c r="J163" s="7"/>
      <c r="K163" s="7"/>
      <c r="L163" s="80">
        <f t="shared" si="396"/>
        <v>226292.93000778748</v>
      </c>
      <c r="N163" s="7">
        <f>(N87+N88)*0.0125</f>
        <v>95044.9015659</v>
      </c>
      <c r="O163" s="7"/>
      <c r="P163" s="7"/>
      <c r="Q163" s="7"/>
      <c r="R163" s="80">
        <f t="shared" si="397"/>
        <v>95044.9015659</v>
      </c>
      <c r="T163" s="7">
        <f>(T87+T88)*0.0125</f>
        <v>113660.97972693748</v>
      </c>
      <c r="U163" s="7"/>
      <c r="V163" s="7"/>
      <c r="W163" s="7"/>
      <c r="X163" s="80">
        <f t="shared" si="398"/>
        <v>113660.97972693748</v>
      </c>
      <c r="Z163" s="7">
        <f>(Z87+Z88)*0.0125</f>
        <v>222176.81222343748</v>
      </c>
      <c r="AA163" s="7"/>
      <c r="AB163" s="7"/>
      <c r="AC163" s="7"/>
      <c r="AD163" s="80">
        <f t="shared" si="399"/>
        <v>222176.81222343748</v>
      </c>
      <c r="AF163" s="7">
        <f>(AF87+AF88)*0.0125</f>
        <v>76241.727141937488</v>
      </c>
      <c r="AG163" s="7"/>
      <c r="AH163" s="7"/>
      <c r="AI163" s="7"/>
      <c r="AJ163" s="80">
        <f t="shared" si="400"/>
        <v>76241.727141937488</v>
      </c>
      <c r="AL163" s="7">
        <f>(AL87+AL88)*0.0125</f>
        <v>0</v>
      </c>
      <c r="AM163" s="7"/>
      <c r="AN163" s="7"/>
      <c r="AO163" s="7"/>
      <c r="AP163" s="80">
        <f t="shared" si="401"/>
        <v>0</v>
      </c>
      <c r="AR163" s="7">
        <f>(AR87+AR88)*0.0125</f>
        <v>22840.625</v>
      </c>
      <c r="AS163" s="7"/>
      <c r="AT163" s="7"/>
      <c r="AU163" s="7"/>
      <c r="AV163" s="80">
        <f t="shared" si="402"/>
        <v>22840.625</v>
      </c>
      <c r="AX163" s="7">
        <f t="shared" si="403"/>
        <v>843819.02671489993</v>
      </c>
      <c r="AY163" s="7">
        <f t="shared" si="394"/>
        <v>0</v>
      </c>
      <c r="AZ163" s="7">
        <f t="shared" si="394"/>
        <v>0</v>
      </c>
      <c r="BA163" s="7">
        <f t="shared" si="394"/>
        <v>0</v>
      </c>
      <c r="BB163" s="80">
        <f t="shared" si="404"/>
        <v>843819.02671489993</v>
      </c>
    </row>
    <row r="164" spans="1:54" x14ac:dyDescent="0.25">
      <c r="A164" s="62" t="s">
        <v>135</v>
      </c>
      <c r="B164" s="7">
        <f>(B87+B88)*0.005</f>
        <v>35024.420419559996</v>
      </c>
      <c r="C164" s="7"/>
      <c r="D164" s="7"/>
      <c r="E164" s="7"/>
      <c r="F164" s="80">
        <f t="shared" si="395"/>
        <v>35024.420419559996</v>
      </c>
      <c r="H164" s="7">
        <f>(H87+H88)*0.005</f>
        <v>90517.172003114989</v>
      </c>
      <c r="I164" s="7"/>
      <c r="J164" s="7"/>
      <c r="K164" s="7"/>
      <c r="L164" s="80">
        <f t="shared" si="396"/>
        <v>90517.172003114989</v>
      </c>
      <c r="N164" s="7">
        <f>(N87+N88)*0.005</f>
        <v>38017.96062636</v>
      </c>
      <c r="O164" s="7"/>
      <c r="P164" s="7"/>
      <c r="Q164" s="7"/>
      <c r="R164" s="80">
        <f t="shared" si="397"/>
        <v>38017.96062636</v>
      </c>
      <c r="T164" s="7">
        <f>(T87+T88)*0.005</f>
        <v>45464.391890774998</v>
      </c>
      <c r="U164" s="7"/>
      <c r="V164" s="7"/>
      <c r="W164" s="7"/>
      <c r="X164" s="80">
        <f t="shared" si="398"/>
        <v>45464.391890774998</v>
      </c>
      <c r="Z164" s="7">
        <f>(Z87+Z88)*0.005</f>
        <v>88870.724889374993</v>
      </c>
      <c r="AA164" s="7"/>
      <c r="AB164" s="7"/>
      <c r="AC164" s="7"/>
      <c r="AD164" s="80">
        <f t="shared" si="399"/>
        <v>88870.724889374993</v>
      </c>
      <c r="AF164" s="7">
        <f>(AF87+AF88)*0.005</f>
        <v>30496.690856774996</v>
      </c>
      <c r="AG164" s="7"/>
      <c r="AH164" s="7"/>
      <c r="AI164" s="7"/>
      <c r="AJ164" s="80">
        <f t="shared" si="400"/>
        <v>30496.690856774996</v>
      </c>
      <c r="AL164" s="7">
        <f>(AL87+AL88)*0.005</f>
        <v>0</v>
      </c>
      <c r="AM164" s="7"/>
      <c r="AN164" s="7"/>
      <c r="AO164" s="7"/>
      <c r="AP164" s="80">
        <f t="shared" si="401"/>
        <v>0</v>
      </c>
      <c r="AR164" s="7">
        <f>(AR87+AR88)*0.005</f>
        <v>9136.25</v>
      </c>
      <c r="AS164" s="7"/>
      <c r="AT164" s="7"/>
      <c r="AU164" s="7"/>
      <c r="AV164" s="80">
        <f t="shared" si="402"/>
        <v>9136.25</v>
      </c>
      <c r="AX164" s="7">
        <f t="shared" si="403"/>
        <v>337527.61068595998</v>
      </c>
      <c r="AY164" s="7">
        <f t="shared" si="394"/>
        <v>0</v>
      </c>
      <c r="AZ164" s="7">
        <f t="shared" si="394"/>
        <v>0</v>
      </c>
      <c r="BA164" s="7">
        <f t="shared" si="394"/>
        <v>0</v>
      </c>
      <c r="BB164" s="80">
        <f t="shared" si="404"/>
        <v>337527.61068595998</v>
      </c>
    </row>
    <row r="165" spans="1:54" x14ac:dyDescent="0.25">
      <c r="A165" s="62" t="s">
        <v>136</v>
      </c>
      <c r="B165" s="7">
        <f>(B87+B88)*0.005</f>
        <v>35024.420419559996</v>
      </c>
      <c r="C165" s="7"/>
      <c r="D165" s="7"/>
      <c r="E165" s="7"/>
      <c r="F165" s="80">
        <f t="shared" si="395"/>
        <v>35024.420419559996</v>
      </c>
      <c r="H165" s="7">
        <f>(H87+H88)*0.005</f>
        <v>90517.172003114989</v>
      </c>
      <c r="I165" s="7"/>
      <c r="J165" s="7"/>
      <c r="K165" s="7"/>
      <c r="L165" s="80">
        <f t="shared" si="396"/>
        <v>90517.172003114989</v>
      </c>
      <c r="N165" s="7">
        <f>(N87+N88)*0.005</f>
        <v>38017.96062636</v>
      </c>
      <c r="O165" s="7"/>
      <c r="P165" s="7"/>
      <c r="Q165" s="7"/>
      <c r="R165" s="80">
        <f t="shared" si="397"/>
        <v>38017.96062636</v>
      </c>
      <c r="T165" s="7">
        <f>(T87+T88)*0.005</f>
        <v>45464.391890774998</v>
      </c>
      <c r="U165" s="7"/>
      <c r="V165" s="7"/>
      <c r="W165" s="7"/>
      <c r="X165" s="80">
        <f t="shared" si="398"/>
        <v>45464.391890774998</v>
      </c>
      <c r="Z165" s="7">
        <f>(Z87+Z88)*0.005</f>
        <v>88870.724889374993</v>
      </c>
      <c r="AA165" s="7"/>
      <c r="AB165" s="7"/>
      <c r="AC165" s="7"/>
      <c r="AD165" s="80">
        <f t="shared" si="399"/>
        <v>88870.724889374993</v>
      </c>
      <c r="AF165" s="7">
        <f>(AF87+AF88)*0.005</f>
        <v>30496.690856774996</v>
      </c>
      <c r="AG165" s="7"/>
      <c r="AH165" s="7"/>
      <c r="AI165" s="7"/>
      <c r="AJ165" s="80">
        <f t="shared" si="400"/>
        <v>30496.690856774996</v>
      </c>
      <c r="AL165" s="7">
        <f>(AL87+AL88)*0.005</f>
        <v>0</v>
      </c>
      <c r="AM165" s="7"/>
      <c r="AN165" s="7"/>
      <c r="AO165" s="7"/>
      <c r="AP165" s="80">
        <f t="shared" si="401"/>
        <v>0</v>
      </c>
      <c r="AR165" s="7">
        <f>(AR87+AR88)*0.005</f>
        <v>9136.25</v>
      </c>
      <c r="AS165" s="7"/>
      <c r="AT165" s="7"/>
      <c r="AU165" s="7"/>
      <c r="AV165" s="80">
        <f t="shared" si="402"/>
        <v>9136.25</v>
      </c>
      <c r="AX165" s="7">
        <f t="shared" si="403"/>
        <v>337527.61068595998</v>
      </c>
      <c r="AY165" s="7">
        <f t="shared" si="394"/>
        <v>0</v>
      </c>
      <c r="AZ165" s="7">
        <f t="shared" si="394"/>
        <v>0</v>
      </c>
      <c r="BA165" s="7">
        <f t="shared" si="394"/>
        <v>0</v>
      </c>
      <c r="BB165" s="80">
        <f t="shared" si="404"/>
        <v>337527.61068595998</v>
      </c>
    </row>
    <row r="166" spans="1:54" ht="15.75" thickBot="1" x14ac:dyDescent="0.3">
      <c r="A166" s="62" t="s">
        <v>137</v>
      </c>
      <c r="B166" s="81"/>
      <c r="C166" s="81"/>
      <c r="D166" s="81"/>
      <c r="E166" s="81"/>
      <c r="F166" s="81"/>
      <c r="H166" s="81"/>
      <c r="I166" s="81"/>
      <c r="J166" s="81"/>
      <c r="K166" s="81"/>
      <c r="L166" s="81"/>
      <c r="N166" s="81"/>
      <c r="O166" s="81"/>
      <c r="P166" s="81"/>
      <c r="Q166" s="81"/>
      <c r="R166" s="81"/>
      <c r="T166" s="81"/>
      <c r="U166" s="81"/>
      <c r="V166" s="81"/>
      <c r="W166" s="81"/>
      <c r="X166" s="81"/>
      <c r="Z166" s="81"/>
      <c r="AA166" s="81"/>
      <c r="AB166" s="81"/>
      <c r="AC166" s="81"/>
      <c r="AD166" s="81"/>
      <c r="AF166" s="81"/>
      <c r="AG166" s="81"/>
      <c r="AH166" s="81"/>
      <c r="AI166" s="81"/>
      <c r="AJ166" s="81"/>
      <c r="AL166" s="81"/>
      <c r="AM166" s="81"/>
      <c r="AN166" s="81"/>
      <c r="AO166" s="81"/>
      <c r="AP166" s="81"/>
      <c r="AR166" s="81"/>
      <c r="AS166" s="81"/>
      <c r="AT166" s="81"/>
      <c r="AU166" s="81"/>
      <c r="AV166" s="81"/>
      <c r="AX166" s="7">
        <f>B166+H166+N166+T166+Z166+AF166+AL166+AR166</f>
        <v>0</v>
      </c>
      <c r="AY166" s="7">
        <f t="shared" si="394"/>
        <v>0</v>
      </c>
      <c r="AZ166" s="7">
        <f t="shared" si="394"/>
        <v>0</v>
      </c>
      <c r="BA166" s="7">
        <f t="shared" si="394"/>
        <v>0</v>
      </c>
      <c r="BB166" s="81"/>
    </row>
    <row r="167" spans="1:54" ht="15.75" thickBot="1" x14ac:dyDescent="0.3">
      <c r="A167" s="95" t="s">
        <v>138</v>
      </c>
      <c r="B167" s="92">
        <f>SUM(B153:B166)</f>
        <v>658250.24188802007</v>
      </c>
      <c r="C167" s="92">
        <f>SUM(C153:C166)</f>
        <v>9737.65</v>
      </c>
      <c r="D167" s="92">
        <f>SUM(D153:D166)</f>
        <v>297000</v>
      </c>
      <c r="E167" s="92">
        <f t="shared" ref="E167:F167" si="405">SUM(E153:E166)</f>
        <v>240</v>
      </c>
      <c r="F167" s="92">
        <f t="shared" si="405"/>
        <v>965227.89188802009</v>
      </c>
      <c r="H167" s="92">
        <f>SUM(H153:H166)</f>
        <v>1663212.6240140176</v>
      </c>
      <c r="I167" s="92">
        <f>SUM(I153:I166)</f>
        <v>21016.2</v>
      </c>
      <c r="J167" s="92">
        <f>SUM(J153:J166)</f>
        <v>418190</v>
      </c>
      <c r="K167" s="92">
        <f t="shared" ref="K167:L167" si="406">SUM(K153:K166)</f>
        <v>720</v>
      </c>
      <c r="L167" s="92">
        <f t="shared" si="406"/>
        <v>2103138.8240140174</v>
      </c>
      <c r="N167" s="92">
        <f>SUM(N153:N166)</f>
        <v>714661.17281861999</v>
      </c>
      <c r="O167" s="92">
        <f>SUM(O153:O166)</f>
        <v>13930.800000000001</v>
      </c>
      <c r="P167" s="92">
        <f>SUM(P153:P166)</f>
        <v>169639.2</v>
      </c>
      <c r="Q167" s="92">
        <f t="shared" ref="Q167:R167" si="407">SUM(Q153:Q166)</f>
        <v>240</v>
      </c>
      <c r="R167" s="92">
        <f t="shared" si="407"/>
        <v>898471.17281861999</v>
      </c>
      <c r="T167" s="92">
        <f>SUM(T153:T166)</f>
        <v>849675.11350848735</v>
      </c>
      <c r="U167" s="92">
        <f>SUM(U153:U166)</f>
        <v>13570.800000000001</v>
      </c>
      <c r="V167" s="92">
        <f>SUM(V153:V166)</f>
        <v>161151.6</v>
      </c>
      <c r="W167" s="92">
        <f t="shared" ref="W167:X167" si="408">SUM(W153:W166)</f>
        <v>240</v>
      </c>
      <c r="X167" s="92">
        <f t="shared" si="408"/>
        <v>1024637.5135084874</v>
      </c>
      <c r="Z167" s="92">
        <f>SUM(Z153:Z166)</f>
        <v>1635843.6120021876</v>
      </c>
      <c r="AA167" s="92">
        <f>SUM(AA153:AA166)</f>
        <v>20416.2</v>
      </c>
      <c r="AB167" s="92">
        <f>SUM(AB153:AB166)</f>
        <v>266729.2</v>
      </c>
      <c r="AC167" s="92">
        <f t="shared" ref="AC167:AD167" si="409">SUM(AC153:AC166)</f>
        <v>480</v>
      </c>
      <c r="AD167" s="92">
        <f t="shared" si="409"/>
        <v>1923469.0120021875</v>
      </c>
      <c r="AF167" s="92">
        <f>SUM(AF153:AF166)</f>
        <v>583440.10885548755</v>
      </c>
      <c r="AG167" s="92">
        <f>SUM(AG153:AG166)</f>
        <v>12360</v>
      </c>
      <c r="AH167" s="92">
        <f>SUM(AH153:AH166)</f>
        <v>165040</v>
      </c>
      <c r="AI167" s="92">
        <f t="shared" ref="AI167:AJ167" si="410">SUM(AI153:AI166)</f>
        <v>240</v>
      </c>
      <c r="AJ167" s="92">
        <f t="shared" si="410"/>
        <v>761080.10885548755</v>
      </c>
      <c r="AL167" s="92">
        <f>SUM(AL153:AL166)</f>
        <v>2720</v>
      </c>
      <c r="AM167" s="92">
        <f>SUM(AM153:AM166)</f>
        <v>120</v>
      </c>
      <c r="AN167" s="92">
        <f>SUM(AN153:AN166)</f>
        <v>0</v>
      </c>
      <c r="AO167" s="92">
        <f t="shared" ref="AO167:AP167" si="411">SUM(AO153:AO166)</f>
        <v>0</v>
      </c>
      <c r="AP167" s="92">
        <f t="shared" si="411"/>
        <v>2840</v>
      </c>
      <c r="AR167" s="92">
        <f>SUM(AR153:AR166)</f>
        <v>844103.125</v>
      </c>
      <c r="AS167" s="92">
        <f>SUM(AS153:AS166)</f>
        <v>7950</v>
      </c>
      <c r="AT167" s="92">
        <f>SUM(AT153:AT166)</f>
        <v>57980</v>
      </c>
      <c r="AU167" s="92">
        <f t="shared" ref="AU167:AV167" si="412">SUM(AU153:AU166)</f>
        <v>0</v>
      </c>
      <c r="AV167" s="92">
        <f t="shared" si="412"/>
        <v>910033.125</v>
      </c>
      <c r="AX167" s="92">
        <f>SUM(AX153:AX166)</f>
        <v>6951905.9980868204</v>
      </c>
      <c r="AY167" s="92">
        <f>SUM(AY153:AY166)</f>
        <v>99101.650000000009</v>
      </c>
      <c r="AZ167" s="92">
        <f>SUM(AZ153:AZ166)</f>
        <v>1535730</v>
      </c>
      <c r="BA167" s="92">
        <f t="shared" ref="BA167:BB167" si="413">SUM(BA153:BA166)</f>
        <v>2160</v>
      </c>
      <c r="BB167" s="92">
        <f t="shared" si="413"/>
        <v>8588897.6480868198</v>
      </c>
    </row>
    <row r="168" spans="1:54" x14ac:dyDescent="0.25">
      <c r="A168" s="101" t="s">
        <v>139</v>
      </c>
      <c r="B168" s="149" t="str">
        <f>B152</f>
        <v>Operating</v>
      </c>
      <c r="C168" s="149" t="str">
        <f>C152</f>
        <v>Weights</v>
      </c>
      <c r="D168" s="149" t="str">
        <f>D152</f>
        <v>SPED</v>
      </c>
      <c r="E168" s="149" t="str">
        <f t="shared" ref="E168:F168" si="414">E152</f>
        <v>NSLP</v>
      </c>
      <c r="F168" s="149" t="str">
        <f t="shared" si="414"/>
        <v>Horizon</v>
      </c>
      <c r="H168" s="149" t="str">
        <f>H152</f>
        <v>Operating</v>
      </c>
      <c r="I168" s="149" t="str">
        <f>I152</f>
        <v>Weights</v>
      </c>
      <c r="J168" s="149" t="str">
        <f>J152</f>
        <v>SPED</v>
      </c>
      <c r="K168" s="149" t="str">
        <f t="shared" ref="K168:L168" si="415">K152</f>
        <v>NSLP</v>
      </c>
      <c r="L168" s="149" t="str">
        <f t="shared" si="415"/>
        <v>Cadence</v>
      </c>
      <c r="N168" s="149" t="str">
        <f>N152</f>
        <v>Operating</v>
      </c>
      <c r="O168" s="149" t="str">
        <f>O152</f>
        <v>Weights</v>
      </c>
      <c r="P168" s="149" t="str">
        <f>P152</f>
        <v>SPED</v>
      </c>
      <c r="Q168" s="149" t="str">
        <f t="shared" ref="Q168:R168" si="416">Q152</f>
        <v>NSLP</v>
      </c>
      <c r="R168" s="149" t="str">
        <f t="shared" si="416"/>
        <v>St. Rose</v>
      </c>
      <c r="T168" s="149" t="str">
        <f>T152</f>
        <v>Operating</v>
      </c>
      <c r="U168" s="149" t="str">
        <f>U152</f>
        <v>Weights</v>
      </c>
      <c r="V168" s="149" t="str">
        <f>V152</f>
        <v>SPED</v>
      </c>
      <c r="W168" s="149" t="str">
        <f t="shared" ref="W168:X168" si="417">W152</f>
        <v>NSLP</v>
      </c>
      <c r="X168" s="149" t="str">
        <f t="shared" si="417"/>
        <v>Inspirada</v>
      </c>
      <c r="Z168" s="149" t="str">
        <f>Z152</f>
        <v>Operating</v>
      </c>
      <c r="AA168" s="149" t="str">
        <f>AA152</f>
        <v>Weights</v>
      </c>
      <c r="AB168" s="149" t="str">
        <f>AB152</f>
        <v>SPED</v>
      </c>
      <c r="AC168" s="149" t="str">
        <f t="shared" ref="AC168:AD168" si="418">AC152</f>
        <v>NSLP</v>
      </c>
      <c r="AD168" s="149" t="str">
        <f t="shared" si="418"/>
        <v>Sloan Canyon</v>
      </c>
      <c r="AF168" s="149" t="str">
        <f>AF152</f>
        <v>Operating</v>
      </c>
      <c r="AG168" s="149" t="str">
        <f>AG152</f>
        <v>Weights</v>
      </c>
      <c r="AH168" s="149" t="str">
        <f>AH152</f>
        <v>SPED</v>
      </c>
      <c r="AI168" s="149" t="str">
        <f t="shared" ref="AI168:AJ168" si="419">AI152</f>
        <v>NSLP</v>
      </c>
      <c r="AJ168" s="149" t="str">
        <f t="shared" si="419"/>
        <v>Springs</v>
      </c>
      <c r="AL168" s="149" t="str">
        <f>AL152</f>
        <v>Operating</v>
      </c>
      <c r="AM168" s="149" t="str">
        <f>AM152</f>
        <v>Weights</v>
      </c>
      <c r="AN168" s="149" t="str">
        <f>AN152</f>
        <v>SPED</v>
      </c>
      <c r="AO168" s="149" t="str">
        <f t="shared" ref="AO168:AP168" si="420">AO152</f>
        <v>NSLP</v>
      </c>
      <c r="AP168" s="149" t="str">
        <f t="shared" si="420"/>
        <v>System Wide</v>
      </c>
      <c r="AR168" s="149" t="str">
        <f>AR152</f>
        <v>Operating</v>
      </c>
      <c r="AS168" s="149" t="str">
        <f>AS152</f>
        <v>Weights</v>
      </c>
      <c r="AT168" s="149" t="str">
        <f>AT152</f>
        <v>SPED</v>
      </c>
      <c r="AU168" s="149" t="str">
        <f t="shared" ref="AU168:AV168" si="421">AU152</f>
        <v>NSLP</v>
      </c>
      <c r="AV168" s="149" t="str">
        <f t="shared" si="421"/>
        <v>Virtual</v>
      </c>
      <c r="AX168" s="149" t="str">
        <f>AX152</f>
        <v>Operating</v>
      </c>
      <c r="AY168" s="149" t="str">
        <f>AY152</f>
        <v>Weights</v>
      </c>
      <c r="AZ168" s="149" t="str">
        <f>AZ152</f>
        <v>SPED</v>
      </c>
      <c r="BA168" s="149" t="str">
        <f t="shared" ref="BA168:BB168" si="422">BA152</f>
        <v>NSLP</v>
      </c>
      <c r="BB168" s="149" t="str">
        <f t="shared" si="422"/>
        <v>Pinecrest System</v>
      </c>
    </row>
    <row r="169" spans="1:54" x14ac:dyDescent="0.25">
      <c r="A169" s="62" t="s">
        <v>140</v>
      </c>
      <c r="B169" s="80">
        <f>'FY24'!B169*1.03</f>
        <v>5715.5987500000001</v>
      </c>
      <c r="C169" s="7"/>
      <c r="D169" s="7"/>
      <c r="E169" s="7"/>
      <c r="F169" s="7">
        <f t="shared" ref="F169:F174" si="423">SUM(B169:E169)</f>
        <v>5715.5987500000001</v>
      </c>
      <c r="H169" s="80">
        <f>'FY24'!H169*1.03</f>
        <v>8752.4250000000011</v>
      </c>
      <c r="I169" s="7"/>
      <c r="J169" s="7"/>
      <c r="K169" s="7"/>
      <c r="L169" s="7">
        <f t="shared" ref="L169:L174" si="424">SUM(H169:K169)</f>
        <v>8752.4250000000011</v>
      </c>
      <c r="N169" s="80">
        <f>'FY24'!N169*1.03</f>
        <v>3978.375</v>
      </c>
      <c r="O169" s="7"/>
      <c r="P169" s="7"/>
      <c r="Q169" s="7"/>
      <c r="R169" s="7">
        <f t="shared" ref="R169:R174" si="425">SUM(N169:Q169)</f>
        <v>3978.375</v>
      </c>
      <c r="T169" s="80">
        <f>'FY24'!T169*1.03</f>
        <v>5665.2060000000001</v>
      </c>
      <c r="U169" s="7"/>
      <c r="V169" s="7"/>
      <c r="W169" s="7"/>
      <c r="X169" s="7">
        <f t="shared" ref="X169:X174" si="426">SUM(T169:W169)</f>
        <v>5665.2060000000001</v>
      </c>
      <c r="Z169" s="80">
        <f>'FY24'!Z169*1.03</f>
        <v>4774.05</v>
      </c>
      <c r="AA169" s="7"/>
      <c r="AB169" s="7"/>
      <c r="AC169" s="7"/>
      <c r="AD169" s="7">
        <f t="shared" ref="AD169:AD174" si="427">SUM(Z169:AC169)</f>
        <v>4774.05</v>
      </c>
      <c r="AF169" s="80">
        <f>'FY24'!AF169*1.03</f>
        <v>6180</v>
      </c>
      <c r="AG169" s="7"/>
      <c r="AH169" s="7"/>
      <c r="AI169" s="7"/>
      <c r="AJ169" s="7">
        <f t="shared" ref="AJ169:AJ175" si="428">SUM(AF169:AI169)</f>
        <v>6180</v>
      </c>
      <c r="AL169" s="7">
        <v>0</v>
      </c>
      <c r="AM169" s="7"/>
      <c r="AN169" s="7"/>
      <c r="AO169" s="7"/>
      <c r="AP169" s="7">
        <f t="shared" ref="AP169:AP175" si="429">SUM(AL169:AO169)</f>
        <v>0</v>
      </c>
      <c r="AR169" s="7">
        <v>0</v>
      </c>
      <c r="AS169" s="7"/>
      <c r="AT169" s="7"/>
      <c r="AU169" s="7"/>
      <c r="AV169" s="7">
        <f t="shared" ref="AV169:AV175" si="430">SUM(AR169:AU169)</f>
        <v>0</v>
      </c>
      <c r="AX169" s="7">
        <f>B169+H169+N169+T169+Z169+AF169+AL169+AR169</f>
        <v>35065.654750000002</v>
      </c>
      <c r="AY169" s="7">
        <f t="shared" ref="AY169:BA175" si="431">C169+I169+O169+U169+AA169+AG169+AM169+AS169</f>
        <v>0</v>
      </c>
      <c r="AZ169" s="7">
        <f t="shared" si="431"/>
        <v>0</v>
      </c>
      <c r="BA169" s="7">
        <f t="shared" si="431"/>
        <v>0</v>
      </c>
      <c r="BB169" s="7">
        <f t="shared" ref="BB169:BB175" si="432">SUM(AX169:BA169)</f>
        <v>35065.654750000002</v>
      </c>
    </row>
    <row r="170" spans="1:54" x14ac:dyDescent="0.25">
      <c r="A170" s="62" t="s">
        <v>141</v>
      </c>
      <c r="B170" s="80">
        <f>'FY24'!B170*1.03</f>
        <v>13367.34</v>
      </c>
      <c r="C170" s="7"/>
      <c r="D170" s="7"/>
      <c r="E170" s="7"/>
      <c r="F170" s="7">
        <f t="shared" si="423"/>
        <v>13367.34</v>
      </c>
      <c r="H170" s="80">
        <f>'FY24'!H170*1.03</f>
        <v>17606.696400000001</v>
      </c>
      <c r="I170" s="7"/>
      <c r="J170" s="7"/>
      <c r="K170" s="7"/>
      <c r="L170" s="7">
        <f t="shared" si="424"/>
        <v>17606.696400000001</v>
      </c>
      <c r="N170" s="80">
        <f>'FY24'!N170*1.03</f>
        <v>15484.896400000001</v>
      </c>
      <c r="O170" s="7"/>
      <c r="P170" s="7"/>
      <c r="Q170" s="7"/>
      <c r="R170" s="7">
        <f t="shared" si="425"/>
        <v>15484.896400000001</v>
      </c>
      <c r="T170" s="80">
        <f>'FY24'!T170*1.03</f>
        <v>15484.896400000001</v>
      </c>
      <c r="U170" s="7"/>
      <c r="V170" s="7"/>
      <c r="W170" s="7"/>
      <c r="X170" s="7">
        <f t="shared" si="426"/>
        <v>15484.896400000001</v>
      </c>
      <c r="Z170" s="80">
        <f>'FY24'!Z170*1.03</f>
        <v>17076.2464</v>
      </c>
      <c r="AA170" s="7"/>
      <c r="AB170" s="7"/>
      <c r="AC170" s="7"/>
      <c r="AD170" s="7">
        <f t="shared" si="427"/>
        <v>17076.2464</v>
      </c>
      <c r="AF170" s="80">
        <f>'FY24'!AF170*1.03</f>
        <v>9270</v>
      </c>
      <c r="AG170" s="7"/>
      <c r="AH170" s="7"/>
      <c r="AI170" s="7"/>
      <c r="AJ170" s="7">
        <f t="shared" si="428"/>
        <v>9270</v>
      </c>
      <c r="AL170" s="7">
        <v>0</v>
      </c>
      <c r="AM170" s="7"/>
      <c r="AN170" s="7"/>
      <c r="AO170" s="7"/>
      <c r="AP170" s="7">
        <f t="shared" si="429"/>
        <v>0</v>
      </c>
      <c r="AR170" s="7">
        <v>0</v>
      </c>
      <c r="AS170" s="7"/>
      <c r="AT170" s="7"/>
      <c r="AU170" s="7"/>
      <c r="AV170" s="7">
        <f t="shared" si="430"/>
        <v>0</v>
      </c>
      <c r="AX170" s="7">
        <f t="shared" ref="AX170:AX175" si="433">B170+H170+N170+T170+Z170+AF170+AL170+AR170</f>
        <v>88290.075600000011</v>
      </c>
      <c r="AY170" s="7">
        <f t="shared" si="431"/>
        <v>0</v>
      </c>
      <c r="AZ170" s="7">
        <f t="shared" si="431"/>
        <v>0</v>
      </c>
      <c r="BA170" s="7">
        <f t="shared" si="431"/>
        <v>0</v>
      </c>
      <c r="BB170" s="7">
        <f t="shared" si="432"/>
        <v>88290.075600000011</v>
      </c>
    </row>
    <row r="171" spans="1:54" x14ac:dyDescent="0.25">
      <c r="A171" s="62" t="s">
        <v>142</v>
      </c>
      <c r="B171" s="7">
        <v>0</v>
      </c>
      <c r="C171" s="7"/>
      <c r="D171" s="7"/>
      <c r="E171" s="7"/>
      <c r="F171" s="7">
        <f t="shared" si="423"/>
        <v>0</v>
      </c>
      <c r="H171" s="7">
        <v>0</v>
      </c>
      <c r="I171" s="7"/>
      <c r="J171" s="7"/>
      <c r="K171" s="7"/>
      <c r="L171" s="7">
        <f t="shared" si="424"/>
        <v>0</v>
      </c>
      <c r="N171" s="7">
        <v>0</v>
      </c>
      <c r="O171" s="7"/>
      <c r="P171" s="7"/>
      <c r="Q171" s="7"/>
      <c r="R171" s="7">
        <f t="shared" si="425"/>
        <v>0</v>
      </c>
      <c r="T171" s="7">
        <v>0</v>
      </c>
      <c r="U171" s="7"/>
      <c r="V171" s="7"/>
      <c r="W171" s="7"/>
      <c r="X171" s="7">
        <f t="shared" si="426"/>
        <v>0</v>
      </c>
      <c r="Z171" s="7">
        <v>0</v>
      </c>
      <c r="AA171" s="7"/>
      <c r="AB171" s="7"/>
      <c r="AC171" s="7"/>
      <c r="AD171" s="7">
        <f t="shared" si="427"/>
        <v>0</v>
      </c>
      <c r="AF171" s="7">
        <v>0</v>
      </c>
      <c r="AG171" s="7"/>
      <c r="AH171" s="7"/>
      <c r="AI171" s="7"/>
      <c r="AJ171" s="7">
        <f t="shared" si="428"/>
        <v>0</v>
      </c>
      <c r="AL171" s="7">
        <v>0</v>
      </c>
      <c r="AM171" s="7"/>
      <c r="AN171" s="7"/>
      <c r="AO171" s="7"/>
      <c r="AP171" s="7">
        <f t="shared" si="429"/>
        <v>0</v>
      </c>
      <c r="AR171" s="7">
        <v>0</v>
      </c>
      <c r="AS171" s="7"/>
      <c r="AT171" s="7"/>
      <c r="AU171" s="7"/>
      <c r="AV171" s="7">
        <f t="shared" si="430"/>
        <v>0</v>
      </c>
      <c r="AX171" s="7">
        <f t="shared" si="433"/>
        <v>0</v>
      </c>
      <c r="AY171" s="7">
        <f t="shared" si="431"/>
        <v>0</v>
      </c>
      <c r="AZ171" s="7">
        <f t="shared" si="431"/>
        <v>0</v>
      </c>
      <c r="BA171" s="7">
        <f t="shared" si="431"/>
        <v>0</v>
      </c>
      <c r="BB171" s="7">
        <f t="shared" si="432"/>
        <v>0</v>
      </c>
    </row>
    <row r="172" spans="1:54" x14ac:dyDescent="0.25">
      <c r="A172" s="62" t="s">
        <v>143</v>
      </c>
      <c r="B172" s="7">
        <v>1000</v>
      </c>
      <c r="C172" s="7"/>
      <c r="D172" s="7"/>
      <c r="E172" s="7"/>
      <c r="F172" s="7">
        <f t="shared" si="423"/>
        <v>1000</v>
      </c>
      <c r="H172" s="7">
        <v>1300</v>
      </c>
      <c r="I172" s="7"/>
      <c r="J172" s="7"/>
      <c r="K172" s="7"/>
      <c r="L172" s="7">
        <f t="shared" si="424"/>
        <v>1300</v>
      </c>
      <c r="N172" s="7">
        <v>1000</v>
      </c>
      <c r="O172" s="7"/>
      <c r="P172" s="7"/>
      <c r="Q172" s="7"/>
      <c r="R172" s="7">
        <f t="shared" si="425"/>
        <v>1000</v>
      </c>
      <c r="T172" s="7">
        <v>1100</v>
      </c>
      <c r="U172" s="7"/>
      <c r="V172" s="7"/>
      <c r="W172" s="7"/>
      <c r="X172" s="7">
        <f t="shared" si="426"/>
        <v>1100</v>
      </c>
      <c r="Z172" s="7">
        <v>1000</v>
      </c>
      <c r="AA172" s="7"/>
      <c r="AB172" s="7"/>
      <c r="AC172" s="7"/>
      <c r="AD172" s="7">
        <f t="shared" si="427"/>
        <v>1000</v>
      </c>
      <c r="AF172" s="7">
        <v>1300</v>
      </c>
      <c r="AG172" s="7"/>
      <c r="AH172" s="7"/>
      <c r="AI172" s="7"/>
      <c r="AJ172" s="7">
        <f t="shared" si="428"/>
        <v>1300</v>
      </c>
      <c r="AL172" s="7">
        <v>0</v>
      </c>
      <c r="AM172" s="7"/>
      <c r="AN172" s="7"/>
      <c r="AO172" s="7"/>
      <c r="AP172" s="7">
        <f t="shared" si="429"/>
        <v>0</v>
      </c>
      <c r="AR172" s="7">
        <v>3000</v>
      </c>
      <c r="AS172" s="7"/>
      <c r="AT172" s="7"/>
      <c r="AU172" s="7"/>
      <c r="AV172" s="7">
        <f t="shared" si="430"/>
        <v>3000</v>
      </c>
      <c r="AX172" s="7">
        <f t="shared" si="433"/>
        <v>9700</v>
      </c>
      <c r="AY172" s="7">
        <f t="shared" si="431"/>
        <v>0</v>
      </c>
      <c r="AZ172" s="7">
        <f t="shared" si="431"/>
        <v>0</v>
      </c>
      <c r="BA172" s="7">
        <f t="shared" si="431"/>
        <v>0</v>
      </c>
      <c r="BB172" s="7">
        <f t="shared" si="432"/>
        <v>9700</v>
      </c>
    </row>
    <row r="173" spans="1:54" x14ac:dyDescent="0.25">
      <c r="A173" s="62" t="s">
        <v>144</v>
      </c>
      <c r="B173" s="80">
        <f>'FY24'!B173*1.03</f>
        <v>5304.5</v>
      </c>
      <c r="C173" s="7"/>
      <c r="D173" s="7"/>
      <c r="E173" s="7"/>
      <c r="F173" s="7">
        <f t="shared" si="423"/>
        <v>5304.5</v>
      </c>
      <c r="H173" s="80">
        <f>'FY24'!H173*1.03</f>
        <v>5304.5</v>
      </c>
      <c r="I173" s="7"/>
      <c r="J173" s="7"/>
      <c r="K173" s="7"/>
      <c r="L173" s="7">
        <f t="shared" si="424"/>
        <v>5304.5</v>
      </c>
      <c r="N173" s="80">
        <f>'FY24'!N173*1.03</f>
        <v>5304.5</v>
      </c>
      <c r="O173" s="7"/>
      <c r="P173" s="7"/>
      <c r="Q173" s="7"/>
      <c r="R173" s="7">
        <f t="shared" si="425"/>
        <v>5304.5</v>
      </c>
      <c r="T173" s="80">
        <f>'FY24'!T173*1.03</f>
        <v>5304.5</v>
      </c>
      <c r="U173" s="7"/>
      <c r="V173" s="7"/>
      <c r="W173" s="7"/>
      <c r="X173" s="7">
        <f t="shared" si="426"/>
        <v>5304.5</v>
      </c>
      <c r="Z173" s="80">
        <f>'FY24'!Z173*1.03</f>
        <v>5304.5</v>
      </c>
      <c r="AA173" s="7"/>
      <c r="AB173" s="7"/>
      <c r="AC173" s="7"/>
      <c r="AD173" s="7">
        <f t="shared" si="427"/>
        <v>5304.5</v>
      </c>
      <c r="AF173" s="80">
        <f>'FY24'!AF173*1.03</f>
        <v>4120</v>
      </c>
      <c r="AG173" s="7"/>
      <c r="AH173" s="7"/>
      <c r="AI173" s="7"/>
      <c r="AJ173" s="7">
        <f t="shared" si="428"/>
        <v>4120</v>
      </c>
      <c r="AL173" s="7">
        <v>0</v>
      </c>
      <c r="AM173" s="7"/>
      <c r="AN173" s="7"/>
      <c r="AO173" s="7"/>
      <c r="AP173" s="7">
        <f t="shared" si="429"/>
        <v>0</v>
      </c>
      <c r="AR173" s="7">
        <v>4500</v>
      </c>
      <c r="AS173" s="7"/>
      <c r="AT173" s="7"/>
      <c r="AU173" s="7"/>
      <c r="AV173" s="7">
        <f t="shared" si="430"/>
        <v>4500</v>
      </c>
      <c r="AX173" s="7">
        <f t="shared" si="433"/>
        <v>35142.5</v>
      </c>
      <c r="AY173" s="7">
        <f t="shared" si="431"/>
        <v>0</v>
      </c>
      <c r="AZ173" s="7">
        <f t="shared" si="431"/>
        <v>0</v>
      </c>
      <c r="BA173" s="7">
        <f t="shared" si="431"/>
        <v>0</v>
      </c>
      <c r="BB173" s="7">
        <f t="shared" si="432"/>
        <v>35142.5</v>
      </c>
    </row>
    <row r="174" spans="1:54" x14ac:dyDescent="0.25">
      <c r="A174" s="62" t="s">
        <v>145</v>
      </c>
      <c r="B174" s="80">
        <f>'FY24'!B174*1.04</f>
        <v>30284.799999999999</v>
      </c>
      <c r="C174" s="7"/>
      <c r="D174" s="7"/>
      <c r="E174" s="7"/>
      <c r="F174" s="7">
        <f t="shared" si="423"/>
        <v>30284.799999999999</v>
      </c>
      <c r="H174" s="80">
        <f>'FY24'!H174*1.04</f>
        <v>66193.919999999998</v>
      </c>
      <c r="I174" s="7"/>
      <c r="J174" s="7"/>
      <c r="K174" s="7"/>
      <c r="L174" s="7">
        <f t="shared" si="424"/>
        <v>66193.919999999998</v>
      </c>
      <c r="N174" s="80">
        <f>'FY24'!N174*1.04</f>
        <v>34611.200000000004</v>
      </c>
      <c r="O174" s="7"/>
      <c r="P174" s="7"/>
      <c r="Q174" s="7"/>
      <c r="R174" s="7">
        <f t="shared" si="425"/>
        <v>34611.200000000004</v>
      </c>
      <c r="T174" s="80">
        <f>'FY24'!T174*1.04</f>
        <v>34611.200000000004</v>
      </c>
      <c r="U174" s="7"/>
      <c r="V174" s="7"/>
      <c r="W174" s="7"/>
      <c r="X174" s="7">
        <f t="shared" si="426"/>
        <v>34611.200000000004</v>
      </c>
      <c r="Z174" s="80">
        <f>'FY24'!Z174*1.04</f>
        <v>62192</v>
      </c>
      <c r="AA174" s="7"/>
      <c r="AB174" s="7"/>
      <c r="AC174" s="7"/>
      <c r="AD174" s="7">
        <f t="shared" si="427"/>
        <v>62192</v>
      </c>
      <c r="AF174" s="80">
        <f>'FY24'!AF174*1.03</f>
        <v>30900</v>
      </c>
      <c r="AG174" s="7"/>
      <c r="AH174" s="7"/>
      <c r="AI174" s="7"/>
      <c r="AJ174" s="7">
        <f t="shared" si="428"/>
        <v>30900</v>
      </c>
      <c r="AL174" s="7">
        <v>0</v>
      </c>
      <c r="AM174" s="7"/>
      <c r="AN174" s="7"/>
      <c r="AO174" s="7"/>
      <c r="AP174" s="7">
        <f t="shared" si="429"/>
        <v>0</v>
      </c>
      <c r="AR174" s="15">
        <v>0</v>
      </c>
      <c r="AS174" s="7"/>
      <c r="AT174" s="7"/>
      <c r="AU174" s="7"/>
      <c r="AV174" s="7">
        <f t="shared" si="430"/>
        <v>0</v>
      </c>
      <c r="AX174" s="7">
        <f t="shared" si="433"/>
        <v>258793.12000000002</v>
      </c>
      <c r="AY174" s="7">
        <f t="shared" si="431"/>
        <v>0</v>
      </c>
      <c r="AZ174" s="7">
        <f t="shared" si="431"/>
        <v>0</v>
      </c>
      <c r="BA174" s="7">
        <f t="shared" si="431"/>
        <v>0</v>
      </c>
      <c r="BB174" s="7">
        <f t="shared" si="432"/>
        <v>258793.12000000002</v>
      </c>
    </row>
    <row r="175" spans="1:54" ht="15.75" thickBot="1" x14ac:dyDescent="0.3">
      <c r="A175" s="62" t="s">
        <v>146</v>
      </c>
      <c r="B175" s="7">
        <f>2500+(2*B19)</f>
        <v>4372</v>
      </c>
      <c r="C175" s="7"/>
      <c r="D175" s="7"/>
      <c r="E175" s="7"/>
      <c r="F175" s="7">
        <f t="shared" ref="F175" si="434">SUM(B175:E175)</f>
        <v>4372</v>
      </c>
      <c r="H175" s="7">
        <f>2500+(2*H19)</f>
        <v>7338</v>
      </c>
      <c r="I175" s="7"/>
      <c r="J175" s="7"/>
      <c r="K175" s="7"/>
      <c r="L175" s="7">
        <f t="shared" ref="L175" si="435">SUM(H175:K175)</f>
        <v>7338</v>
      </c>
      <c r="N175" s="7">
        <f>2500+(2*N19)</f>
        <v>4532</v>
      </c>
      <c r="O175" s="7"/>
      <c r="P175" s="7"/>
      <c r="Q175" s="7"/>
      <c r="R175" s="7">
        <f t="shared" ref="R175" si="436">SUM(N175:Q175)</f>
        <v>4532</v>
      </c>
      <c r="T175" s="7">
        <f>2500+(2*T19)</f>
        <v>4930</v>
      </c>
      <c r="U175" s="7"/>
      <c r="V175" s="7"/>
      <c r="W175" s="7"/>
      <c r="X175" s="7">
        <f t="shared" ref="X175" si="437">SUM(T175:W175)</f>
        <v>4930</v>
      </c>
      <c r="Z175" s="7">
        <f>2500+(2*Z19)</f>
        <v>7250</v>
      </c>
      <c r="AA175" s="7"/>
      <c r="AB175" s="7"/>
      <c r="AC175" s="7"/>
      <c r="AD175" s="7">
        <f t="shared" ref="AD175" si="438">SUM(Z175:AC175)</f>
        <v>7250</v>
      </c>
      <c r="AF175" s="7">
        <f>2500+(2*AF19)</f>
        <v>4130</v>
      </c>
      <c r="AG175" s="7"/>
      <c r="AH175" s="7"/>
      <c r="AI175" s="7"/>
      <c r="AJ175" s="7">
        <f t="shared" si="428"/>
        <v>4130</v>
      </c>
      <c r="AL175" s="7">
        <v>0</v>
      </c>
      <c r="AM175" s="7"/>
      <c r="AN175" s="7"/>
      <c r="AO175" s="7"/>
      <c r="AP175" s="7">
        <f t="shared" si="429"/>
        <v>0</v>
      </c>
      <c r="AR175" s="7">
        <v>2750</v>
      </c>
      <c r="AS175" s="7"/>
      <c r="AT175" s="7"/>
      <c r="AU175" s="7"/>
      <c r="AV175" s="7">
        <f t="shared" si="430"/>
        <v>2750</v>
      </c>
      <c r="AX175" s="7">
        <f t="shared" si="433"/>
        <v>35302</v>
      </c>
      <c r="AY175" s="7">
        <f t="shared" si="431"/>
        <v>0</v>
      </c>
      <c r="AZ175" s="7">
        <f t="shared" si="431"/>
        <v>0</v>
      </c>
      <c r="BA175" s="7">
        <f t="shared" si="431"/>
        <v>0</v>
      </c>
      <c r="BB175" s="7">
        <f t="shared" si="432"/>
        <v>35302</v>
      </c>
    </row>
    <row r="176" spans="1:54" ht="15.75" thickBot="1" x14ac:dyDescent="0.3">
      <c r="A176" s="95" t="s">
        <v>147</v>
      </c>
      <c r="B176" s="92">
        <f>SUM(B169:B175)</f>
        <v>60044.238750000004</v>
      </c>
      <c r="C176" s="92">
        <f>SUM(C169:C175)</f>
        <v>0</v>
      </c>
      <c r="D176" s="92">
        <f t="shared" ref="D176:F176" si="439">SUM(D169:D175)</f>
        <v>0</v>
      </c>
      <c r="E176" s="92">
        <f t="shared" si="439"/>
        <v>0</v>
      </c>
      <c r="F176" s="92">
        <f t="shared" si="439"/>
        <v>60044.238750000004</v>
      </c>
      <c r="H176" s="92">
        <f>SUM(H169:H175)</f>
        <v>106495.5414</v>
      </c>
      <c r="I176" s="92">
        <f>SUM(I169:I175)</f>
        <v>0</v>
      </c>
      <c r="J176" s="92">
        <f t="shared" ref="J176:L176" si="440">SUM(J169:J175)</f>
        <v>0</v>
      </c>
      <c r="K176" s="92">
        <f t="shared" si="440"/>
        <v>0</v>
      </c>
      <c r="L176" s="92">
        <f t="shared" si="440"/>
        <v>106495.5414</v>
      </c>
      <c r="N176" s="92">
        <f>SUM(N169:N175)</f>
        <v>64910.971400000009</v>
      </c>
      <c r="O176" s="92">
        <f>SUM(O169:O175)</f>
        <v>0</v>
      </c>
      <c r="P176" s="92">
        <f t="shared" ref="P176:R176" si="441">SUM(P169:P175)</f>
        <v>0</v>
      </c>
      <c r="Q176" s="92">
        <f t="shared" si="441"/>
        <v>0</v>
      </c>
      <c r="R176" s="92">
        <f t="shared" si="441"/>
        <v>64910.971400000009</v>
      </c>
      <c r="T176" s="92">
        <f>SUM(T169:T175)</f>
        <v>67095.802400000015</v>
      </c>
      <c r="U176" s="92">
        <f>SUM(U169:U175)</f>
        <v>0</v>
      </c>
      <c r="V176" s="92">
        <f t="shared" ref="V176:X176" si="442">SUM(V169:V175)</f>
        <v>0</v>
      </c>
      <c r="W176" s="92">
        <f t="shared" si="442"/>
        <v>0</v>
      </c>
      <c r="X176" s="92">
        <f t="shared" si="442"/>
        <v>67095.802400000015</v>
      </c>
      <c r="Z176" s="92">
        <f>SUM(Z169:Z175)</f>
        <v>97596.796399999992</v>
      </c>
      <c r="AA176" s="92">
        <f>SUM(AA169:AA175)</f>
        <v>0</v>
      </c>
      <c r="AB176" s="92">
        <f t="shared" ref="AB176:AD176" si="443">SUM(AB169:AB175)</f>
        <v>0</v>
      </c>
      <c r="AC176" s="92">
        <f t="shared" si="443"/>
        <v>0</v>
      </c>
      <c r="AD176" s="92">
        <f t="shared" si="443"/>
        <v>97596.796399999992</v>
      </c>
      <c r="AF176" s="92">
        <f>SUM(AF169:AF175)</f>
        <v>55900</v>
      </c>
      <c r="AG176" s="92">
        <f>SUM(AG169:AG175)</f>
        <v>0</v>
      </c>
      <c r="AH176" s="92">
        <f t="shared" ref="AH176:AJ176" si="444">SUM(AH169:AH175)</f>
        <v>0</v>
      </c>
      <c r="AI176" s="92">
        <f t="shared" si="444"/>
        <v>0</v>
      </c>
      <c r="AJ176" s="92">
        <f t="shared" si="444"/>
        <v>55900</v>
      </c>
      <c r="AL176" s="92">
        <f>SUM(AL169:AL175)</f>
        <v>0</v>
      </c>
      <c r="AM176" s="92">
        <f>SUM(AM169:AM175)</f>
        <v>0</v>
      </c>
      <c r="AN176" s="92">
        <f t="shared" ref="AN176:AP176" si="445">SUM(AN169:AN175)</f>
        <v>0</v>
      </c>
      <c r="AO176" s="92">
        <f t="shared" si="445"/>
        <v>0</v>
      </c>
      <c r="AP176" s="92">
        <f t="shared" si="445"/>
        <v>0</v>
      </c>
      <c r="AR176" s="92">
        <f>SUM(AR169:AR175)</f>
        <v>10250</v>
      </c>
      <c r="AS176" s="92">
        <f>SUM(AS169:AS175)</f>
        <v>0</v>
      </c>
      <c r="AT176" s="92">
        <f t="shared" ref="AT176:AV176" si="446">SUM(AT169:AT175)</f>
        <v>0</v>
      </c>
      <c r="AU176" s="92">
        <f t="shared" si="446"/>
        <v>0</v>
      </c>
      <c r="AV176" s="92">
        <f t="shared" si="446"/>
        <v>10250</v>
      </c>
      <c r="AX176" s="92">
        <f>SUM(AX169:AX175)</f>
        <v>462293.35035000008</v>
      </c>
      <c r="AY176" s="92">
        <f>SUM(AY169:AY175)</f>
        <v>0</v>
      </c>
      <c r="AZ176" s="92">
        <f t="shared" ref="AZ176:BB176" si="447">SUM(AZ169:AZ175)</f>
        <v>0</v>
      </c>
      <c r="BA176" s="92">
        <f t="shared" si="447"/>
        <v>0</v>
      </c>
      <c r="BB176" s="92">
        <f t="shared" si="447"/>
        <v>462293.35035000008</v>
      </c>
    </row>
    <row r="177" spans="1:54" x14ac:dyDescent="0.25">
      <c r="A177" s="101" t="s">
        <v>148</v>
      </c>
      <c r="B177" s="96"/>
      <c r="C177" s="96"/>
      <c r="D177" s="96"/>
      <c r="E177" s="96"/>
      <c r="F177" s="96"/>
      <c r="H177" s="96"/>
      <c r="I177" s="96"/>
      <c r="J177" s="96"/>
      <c r="K177" s="96"/>
      <c r="L177" s="96"/>
      <c r="N177" s="96"/>
      <c r="O177" s="96"/>
      <c r="P177" s="96"/>
      <c r="Q177" s="96"/>
      <c r="R177" s="96"/>
      <c r="T177" s="96"/>
      <c r="U177" s="96"/>
      <c r="V177" s="96"/>
      <c r="W177" s="96"/>
      <c r="X177" s="96"/>
      <c r="Z177" s="96"/>
      <c r="AA177" s="96"/>
      <c r="AB177" s="96"/>
      <c r="AC177" s="96"/>
      <c r="AD177" s="96"/>
      <c r="AF177" s="96"/>
      <c r="AG177" s="96"/>
      <c r="AH177" s="96"/>
      <c r="AI177" s="96"/>
      <c r="AJ177" s="96"/>
      <c r="AL177" s="96"/>
      <c r="AM177" s="96"/>
      <c r="AN177" s="96"/>
      <c r="AO177" s="96"/>
      <c r="AP177" s="96"/>
      <c r="AR177" s="96"/>
      <c r="AS177" s="96"/>
      <c r="AT177" s="96"/>
      <c r="AU177" s="96"/>
      <c r="AV177" s="96"/>
      <c r="AX177" s="96"/>
      <c r="AY177" s="96"/>
      <c r="AZ177" s="96"/>
      <c r="BA177" s="96"/>
      <c r="BB177" s="96"/>
    </row>
    <row r="178" spans="1:54" x14ac:dyDescent="0.25">
      <c r="A178" s="62" t="s">
        <v>149</v>
      </c>
      <c r="B178" s="15">
        <f>'FY24'!B178*1.06</f>
        <v>12977.580000000002</v>
      </c>
      <c r="C178" s="15"/>
      <c r="D178" s="15"/>
      <c r="E178" s="15"/>
      <c r="F178" s="15">
        <f>SUM(B178:E178)</f>
        <v>12977.580000000002</v>
      </c>
      <c r="H178" s="15">
        <f>'FY24'!H178*1.06</f>
        <v>31516.980000000007</v>
      </c>
      <c r="I178" s="15"/>
      <c r="J178" s="15"/>
      <c r="K178" s="15"/>
      <c r="L178" s="15">
        <f>SUM(H178:K178)</f>
        <v>31516.980000000007</v>
      </c>
      <c r="N178" s="15">
        <f>'FY24'!N178*1.06</f>
        <v>12977.580000000002</v>
      </c>
      <c r="O178" s="15"/>
      <c r="P178" s="15"/>
      <c r="Q178" s="15"/>
      <c r="R178" s="15">
        <f>SUM(N178:Q178)</f>
        <v>12977.580000000002</v>
      </c>
      <c r="T178" s="15">
        <f>'FY24'!T178*1.06</f>
        <v>14213.540000000003</v>
      </c>
      <c r="U178" s="15"/>
      <c r="V178" s="15"/>
      <c r="W178" s="15"/>
      <c r="X178" s="15">
        <f>SUM(T178:W178)</f>
        <v>14213.540000000003</v>
      </c>
      <c r="Z178" s="15">
        <f>'FY24'!Z178*1.06</f>
        <v>20393.34</v>
      </c>
      <c r="AA178" s="15"/>
      <c r="AB178" s="15"/>
      <c r="AC178" s="15"/>
      <c r="AD178" s="15">
        <f>SUM(Z178:AC178)</f>
        <v>20393.34</v>
      </c>
      <c r="AF178" s="15">
        <f>'FY24'!AF178*1.06</f>
        <v>10600</v>
      </c>
      <c r="AG178" s="15"/>
      <c r="AH178" s="15"/>
      <c r="AI178" s="15"/>
      <c r="AJ178" s="15">
        <f>SUM(AF178:AI178)</f>
        <v>10600</v>
      </c>
      <c r="AL178" s="15">
        <v>0</v>
      </c>
      <c r="AM178" s="15"/>
      <c r="AN178" s="15"/>
      <c r="AO178" s="15"/>
      <c r="AP178" s="15">
        <f>SUM(AL178:AO178)</f>
        <v>0</v>
      </c>
      <c r="AR178" s="15"/>
      <c r="AS178" s="15"/>
      <c r="AT178" s="15"/>
      <c r="AU178" s="15"/>
      <c r="AV178" s="15">
        <f>SUM(AR178:AU178)</f>
        <v>0</v>
      </c>
      <c r="AX178" s="7">
        <f>B178+H178+N178+T178+Z178+AF178+AL178+AR178</f>
        <v>102679.02000000002</v>
      </c>
      <c r="AY178" s="7">
        <f t="shared" ref="AY178:BA180" si="448">C178+I178+O178+U178+AA178+AG178+AM178+AS178</f>
        <v>0</v>
      </c>
      <c r="AZ178" s="7">
        <f t="shared" si="448"/>
        <v>0</v>
      </c>
      <c r="BA178" s="7">
        <f t="shared" si="448"/>
        <v>0</v>
      </c>
      <c r="BB178" s="15">
        <f>SUM(AX178:BA178)</f>
        <v>102679.02000000002</v>
      </c>
    </row>
    <row r="179" spans="1:54" x14ac:dyDescent="0.25">
      <c r="A179" s="62" t="s">
        <v>150</v>
      </c>
      <c r="B179" s="15">
        <f>'FY24'!B179*1.06</f>
        <v>7415.7600000000011</v>
      </c>
      <c r="C179" s="7"/>
      <c r="D179" s="7"/>
      <c r="E179" s="7"/>
      <c r="F179" s="15">
        <f>SUM(B179:E179)</f>
        <v>7415.7600000000011</v>
      </c>
      <c r="H179" s="15">
        <f>'FY24'!H179*1.06</f>
        <v>13595.560000000003</v>
      </c>
      <c r="I179" s="7"/>
      <c r="J179" s="7"/>
      <c r="K179" s="7"/>
      <c r="L179" s="15">
        <f>SUM(H179:K179)</f>
        <v>13595.560000000003</v>
      </c>
      <c r="N179" s="15">
        <f>'FY24'!N179*1.06</f>
        <v>8651.720000000003</v>
      </c>
      <c r="O179" s="7"/>
      <c r="P179" s="7"/>
      <c r="Q179" s="7"/>
      <c r="R179" s="15">
        <f>SUM(N179:Q179)</f>
        <v>8651.720000000003</v>
      </c>
      <c r="T179" s="15">
        <f>'FY24'!T179*1.06</f>
        <v>8651.720000000003</v>
      </c>
      <c r="U179" s="7"/>
      <c r="V179" s="7"/>
      <c r="W179" s="7"/>
      <c r="X179" s="15">
        <f>SUM(T179:W179)</f>
        <v>8651.720000000003</v>
      </c>
      <c r="Z179" s="15">
        <f>'FY24'!Z179*1.06</f>
        <v>14831.520000000002</v>
      </c>
      <c r="AA179" s="7"/>
      <c r="AB179" s="7"/>
      <c r="AC179" s="7"/>
      <c r="AD179" s="15">
        <f>SUM(Z179:AC179)</f>
        <v>14831.520000000002</v>
      </c>
      <c r="AF179" s="15">
        <f>'FY24'!AF179*1.06</f>
        <v>7420</v>
      </c>
      <c r="AG179" s="7"/>
      <c r="AH179" s="7"/>
      <c r="AI179" s="7"/>
      <c r="AJ179" s="15">
        <f>SUM(AF179:AI179)</f>
        <v>7420</v>
      </c>
      <c r="AL179" s="15">
        <v>0</v>
      </c>
      <c r="AM179" s="7"/>
      <c r="AN179" s="7"/>
      <c r="AO179" s="7"/>
      <c r="AP179" s="15">
        <f>SUM(AL179:AO179)</f>
        <v>0</v>
      </c>
      <c r="AR179" s="7">
        <f>7500*1.05*1.1</f>
        <v>8662.5</v>
      </c>
      <c r="AS179" s="7"/>
      <c r="AT179" s="7"/>
      <c r="AU179" s="7"/>
      <c r="AV179" s="15">
        <f>SUM(AR179:AU179)</f>
        <v>8662.5</v>
      </c>
      <c r="AX179" s="7">
        <f t="shared" ref="AX179:AX180" si="449">B179+H179+N179+T179+Z179+AF179+AL179+AR179</f>
        <v>69228.780000000013</v>
      </c>
      <c r="AY179" s="7">
        <f t="shared" si="448"/>
        <v>0</v>
      </c>
      <c r="AZ179" s="7">
        <f t="shared" si="448"/>
        <v>0</v>
      </c>
      <c r="BA179" s="7">
        <f t="shared" si="448"/>
        <v>0</v>
      </c>
      <c r="BB179" s="15">
        <f>SUM(AX179:BA179)</f>
        <v>69228.780000000013</v>
      </c>
    </row>
    <row r="180" spans="1:54" ht="15.75" thickBot="1" x14ac:dyDescent="0.3">
      <c r="A180" s="62" t="s">
        <v>151</v>
      </c>
      <c r="B180" s="15">
        <f>'FY24'!B180*1.06</f>
        <v>15449.500000000002</v>
      </c>
      <c r="C180" s="7"/>
      <c r="D180" s="7"/>
      <c r="E180" s="7"/>
      <c r="F180" s="15">
        <f>SUM(B180:E180)</f>
        <v>15449.500000000002</v>
      </c>
      <c r="H180" s="15">
        <f>'FY24'!H180*1.06</f>
        <v>40168.700000000004</v>
      </c>
      <c r="I180" s="7"/>
      <c r="J180" s="7"/>
      <c r="K180" s="7"/>
      <c r="L180" s="15">
        <f>SUM(H180:K180)</f>
        <v>40168.700000000004</v>
      </c>
      <c r="N180" s="15">
        <f>'FY24'!N180*1.06</f>
        <v>19775.36</v>
      </c>
      <c r="O180" s="7"/>
      <c r="P180" s="7"/>
      <c r="Q180" s="7"/>
      <c r="R180" s="15">
        <f>SUM(N180:Q180)</f>
        <v>19775.36</v>
      </c>
      <c r="T180" s="15">
        <f>'FY24'!T180*1.06</f>
        <v>25955.160000000003</v>
      </c>
      <c r="U180" s="7"/>
      <c r="V180" s="7"/>
      <c r="W180" s="7"/>
      <c r="X180" s="15">
        <f>SUM(T180:W180)</f>
        <v>25955.160000000003</v>
      </c>
      <c r="Z180" s="15">
        <f>'FY24'!Z180*1.06</f>
        <v>35224.860000000008</v>
      </c>
      <c r="AA180" s="7"/>
      <c r="AB180" s="7"/>
      <c r="AC180" s="7"/>
      <c r="AD180" s="15">
        <f>SUM(Z180:AC180)</f>
        <v>35224.860000000008</v>
      </c>
      <c r="AF180" s="15">
        <f>'FY24'!AF180*1.06</f>
        <v>13780</v>
      </c>
      <c r="AG180" s="7"/>
      <c r="AH180" s="7"/>
      <c r="AI180" s="7"/>
      <c r="AJ180" s="15">
        <f>SUM(AF180:AI180)</f>
        <v>13780</v>
      </c>
      <c r="AL180" s="15">
        <v>0</v>
      </c>
      <c r="AM180" s="7"/>
      <c r="AN180" s="7"/>
      <c r="AO180" s="7"/>
      <c r="AP180" s="15">
        <f>SUM(AL180:AO180)</f>
        <v>0</v>
      </c>
      <c r="AR180" s="7">
        <f>5500*1.05*1.1</f>
        <v>6352.5000000000009</v>
      </c>
      <c r="AS180" s="7"/>
      <c r="AT180" s="7"/>
      <c r="AU180" s="7"/>
      <c r="AV180" s="15">
        <f>SUM(AR180:AU180)</f>
        <v>6352.5000000000009</v>
      </c>
      <c r="AX180" s="7">
        <f t="shared" si="449"/>
        <v>156706.08000000002</v>
      </c>
      <c r="AY180" s="7">
        <f t="shared" si="448"/>
        <v>0</v>
      </c>
      <c r="AZ180" s="7">
        <f t="shared" si="448"/>
        <v>0</v>
      </c>
      <c r="BA180" s="7">
        <f t="shared" si="448"/>
        <v>0</v>
      </c>
      <c r="BB180" s="15">
        <f>SUM(AX180:BA180)</f>
        <v>156706.08000000002</v>
      </c>
    </row>
    <row r="181" spans="1:54" ht="15.75" thickBot="1" x14ac:dyDescent="0.3">
      <c r="A181" s="95" t="s">
        <v>152</v>
      </c>
      <c r="B181" s="92">
        <f>SUM(B178:B180)</f>
        <v>35842.840000000004</v>
      </c>
      <c r="C181" s="92">
        <f>SUM(C178:C180)</f>
        <v>0</v>
      </c>
      <c r="D181" s="92">
        <f t="shared" ref="D181:F181" si="450">SUM(D178:D180)</f>
        <v>0</v>
      </c>
      <c r="E181" s="92">
        <f t="shared" si="450"/>
        <v>0</v>
      </c>
      <c r="F181" s="92">
        <f t="shared" si="450"/>
        <v>35842.840000000004</v>
      </c>
      <c r="H181" s="92">
        <f>SUM(H178:H180)</f>
        <v>85281.24000000002</v>
      </c>
      <c r="I181" s="92">
        <f>SUM(I178:I180)</f>
        <v>0</v>
      </c>
      <c r="J181" s="92">
        <f t="shared" ref="J181:L181" si="451">SUM(J178:J180)</f>
        <v>0</v>
      </c>
      <c r="K181" s="92">
        <f t="shared" si="451"/>
        <v>0</v>
      </c>
      <c r="L181" s="92">
        <f t="shared" si="451"/>
        <v>85281.24000000002</v>
      </c>
      <c r="N181" s="92">
        <f>SUM(N178:N180)</f>
        <v>41404.660000000003</v>
      </c>
      <c r="O181" s="92">
        <f>SUM(O178:O180)</f>
        <v>0</v>
      </c>
      <c r="P181" s="92">
        <f t="shared" ref="P181:R181" si="452">SUM(P178:P180)</f>
        <v>0</v>
      </c>
      <c r="Q181" s="92">
        <f t="shared" si="452"/>
        <v>0</v>
      </c>
      <c r="R181" s="92">
        <f t="shared" si="452"/>
        <v>41404.660000000003</v>
      </c>
      <c r="T181" s="92">
        <f>SUM(T178:T180)</f>
        <v>48820.420000000013</v>
      </c>
      <c r="U181" s="92">
        <f>SUM(U178:U180)</f>
        <v>0</v>
      </c>
      <c r="V181" s="92">
        <f t="shared" ref="V181:X181" si="453">SUM(V178:V180)</f>
        <v>0</v>
      </c>
      <c r="W181" s="92">
        <f t="shared" si="453"/>
        <v>0</v>
      </c>
      <c r="X181" s="92">
        <f t="shared" si="453"/>
        <v>48820.420000000013</v>
      </c>
      <c r="Z181" s="92">
        <f>SUM(Z178:Z180)</f>
        <v>70449.72</v>
      </c>
      <c r="AA181" s="92">
        <f>SUM(AA178:AA180)</f>
        <v>0</v>
      </c>
      <c r="AB181" s="92">
        <f t="shared" ref="AB181:AD181" si="454">SUM(AB178:AB180)</f>
        <v>0</v>
      </c>
      <c r="AC181" s="92">
        <f t="shared" si="454"/>
        <v>0</v>
      </c>
      <c r="AD181" s="92">
        <f t="shared" si="454"/>
        <v>70449.72</v>
      </c>
      <c r="AF181" s="92">
        <f>SUM(AF178:AF180)</f>
        <v>31800</v>
      </c>
      <c r="AG181" s="92">
        <f>SUM(AG178:AG180)</f>
        <v>0</v>
      </c>
      <c r="AH181" s="92">
        <f t="shared" ref="AH181:AJ181" si="455">SUM(AH178:AH180)</f>
        <v>0</v>
      </c>
      <c r="AI181" s="92">
        <f t="shared" si="455"/>
        <v>0</v>
      </c>
      <c r="AJ181" s="92">
        <f t="shared" si="455"/>
        <v>31800</v>
      </c>
      <c r="AL181" s="92">
        <f>SUM(AL178:AL180)</f>
        <v>0</v>
      </c>
      <c r="AM181" s="92">
        <f>SUM(AM178:AM180)</f>
        <v>0</v>
      </c>
      <c r="AN181" s="92">
        <f t="shared" ref="AN181:AP181" si="456">SUM(AN178:AN180)</f>
        <v>0</v>
      </c>
      <c r="AO181" s="92">
        <f t="shared" si="456"/>
        <v>0</v>
      </c>
      <c r="AP181" s="92">
        <f t="shared" si="456"/>
        <v>0</v>
      </c>
      <c r="AR181" s="92">
        <f>SUM(AR178:AR180)</f>
        <v>15015</v>
      </c>
      <c r="AS181" s="92">
        <f>SUM(AS178:AS180)</f>
        <v>0</v>
      </c>
      <c r="AT181" s="92">
        <f t="shared" ref="AT181:AV181" si="457">SUM(AT178:AT180)</f>
        <v>0</v>
      </c>
      <c r="AU181" s="92">
        <f t="shared" si="457"/>
        <v>0</v>
      </c>
      <c r="AV181" s="92">
        <f t="shared" si="457"/>
        <v>15015</v>
      </c>
      <c r="AX181" s="92">
        <f>SUM(AX178:AX180)</f>
        <v>328613.88000000006</v>
      </c>
      <c r="AY181" s="92">
        <f>SUM(AY178:AY180)</f>
        <v>0</v>
      </c>
      <c r="AZ181" s="92">
        <f t="shared" ref="AZ181:BB181" si="458">SUM(AZ178:AZ180)</f>
        <v>0</v>
      </c>
      <c r="BA181" s="92">
        <f t="shared" si="458"/>
        <v>0</v>
      </c>
      <c r="BB181" s="92">
        <f t="shared" si="458"/>
        <v>328613.88000000006</v>
      </c>
    </row>
    <row r="182" spans="1:54" x14ac:dyDescent="0.25">
      <c r="A182" s="101" t="s">
        <v>153</v>
      </c>
      <c r="B182" s="96" t="str">
        <f>B1</f>
        <v>Operating</v>
      </c>
      <c r="C182" s="96" t="str">
        <f>C1</f>
        <v>Weights</v>
      </c>
      <c r="D182" s="96" t="str">
        <f>D1</f>
        <v>SPED</v>
      </c>
      <c r="E182" s="96" t="str">
        <f>E1</f>
        <v>NSLP</v>
      </c>
      <c r="F182" s="96" t="str">
        <f>F1</f>
        <v>Horizon</v>
      </c>
      <c r="H182" s="96" t="str">
        <f>H1</f>
        <v>Operating</v>
      </c>
      <c r="I182" s="96" t="str">
        <f>I1</f>
        <v>Weights</v>
      </c>
      <c r="J182" s="96" t="str">
        <f>J1</f>
        <v>SPED</v>
      </c>
      <c r="K182" s="96" t="str">
        <f>K1</f>
        <v>NSLP</v>
      </c>
      <c r="L182" s="96" t="str">
        <f>L1</f>
        <v>Cadence</v>
      </c>
      <c r="N182" s="96" t="str">
        <f>N1</f>
        <v>Operating</v>
      </c>
      <c r="O182" s="96" t="str">
        <f>O1</f>
        <v>Weights</v>
      </c>
      <c r="P182" s="96" t="str">
        <f>P1</f>
        <v>SPED</v>
      </c>
      <c r="Q182" s="96" t="str">
        <f>Q1</f>
        <v>NSLP</v>
      </c>
      <c r="R182" s="96" t="str">
        <f>R1</f>
        <v>St. Rose</v>
      </c>
      <c r="T182" s="96" t="str">
        <f>T1</f>
        <v>Operating</v>
      </c>
      <c r="U182" s="96" t="str">
        <f>U1</f>
        <v>Weights</v>
      </c>
      <c r="V182" s="96" t="str">
        <f>V1</f>
        <v>SPED</v>
      </c>
      <c r="W182" s="96" t="str">
        <f>W1</f>
        <v>NSLP</v>
      </c>
      <c r="X182" s="96" t="str">
        <f>X1</f>
        <v>Inspirada</v>
      </c>
      <c r="Z182" s="96" t="str">
        <f>Z1</f>
        <v>Operating</v>
      </c>
      <c r="AA182" s="96" t="str">
        <f>AA1</f>
        <v>Weights</v>
      </c>
      <c r="AB182" s="96" t="str">
        <f>AB1</f>
        <v>SPED</v>
      </c>
      <c r="AC182" s="96" t="str">
        <f>AC1</f>
        <v>NSLP</v>
      </c>
      <c r="AD182" s="96" t="str">
        <f>AD1</f>
        <v>Sloan Canyon</v>
      </c>
      <c r="AF182" s="96" t="str">
        <f>AF1</f>
        <v>Operating</v>
      </c>
      <c r="AG182" s="96" t="str">
        <f>AG1</f>
        <v>Weights</v>
      </c>
      <c r="AH182" s="96" t="str">
        <f>AH1</f>
        <v>SPED</v>
      </c>
      <c r="AI182" s="96" t="str">
        <f>AI1</f>
        <v>NSLP</v>
      </c>
      <c r="AJ182" s="96" t="str">
        <f>AJ1</f>
        <v>Springs</v>
      </c>
      <c r="AL182" s="96" t="str">
        <f>AL1</f>
        <v>Operating</v>
      </c>
      <c r="AM182" s="96" t="str">
        <f>AM1</f>
        <v>Weights</v>
      </c>
      <c r="AN182" s="96" t="str">
        <f>AN1</f>
        <v>SPED</v>
      </c>
      <c r="AO182" s="96" t="str">
        <f>AO1</f>
        <v>NSLP</v>
      </c>
      <c r="AP182" s="96" t="str">
        <f>AP1</f>
        <v>System Wide</v>
      </c>
      <c r="AR182" s="96" t="str">
        <f>AR1</f>
        <v>Operating</v>
      </c>
      <c r="AS182" s="96" t="str">
        <f>AS1</f>
        <v>Weights</v>
      </c>
      <c r="AT182" s="96" t="str">
        <f>AT1</f>
        <v>SPED</v>
      </c>
      <c r="AU182" s="96" t="str">
        <f>AU1</f>
        <v>NSLP</v>
      </c>
      <c r="AV182" s="96" t="str">
        <f>AV1</f>
        <v>Virtual</v>
      </c>
      <c r="AX182" s="96" t="str">
        <f>AX1</f>
        <v>Operating</v>
      </c>
      <c r="AY182" s="96" t="str">
        <f>AY1</f>
        <v>Weights</v>
      </c>
      <c r="AZ182" s="96" t="str">
        <f>AZ1</f>
        <v>SPED</v>
      </c>
      <c r="BA182" s="96" t="str">
        <f>BA1</f>
        <v>NSLP</v>
      </c>
      <c r="BB182" s="96" t="str">
        <f>BB1</f>
        <v>Pinecrest System</v>
      </c>
    </row>
    <row r="183" spans="1:54" x14ac:dyDescent="0.25">
      <c r="A183" s="62" t="s">
        <v>154</v>
      </c>
      <c r="B183" s="14">
        <f>(($C$19*B25)*3.56*180)</f>
        <v>0</v>
      </c>
      <c r="C183" s="142"/>
      <c r="D183" s="142"/>
      <c r="E183" s="14">
        <f>((B19*E25)*3.15*180)+1200</f>
        <v>202870.56</v>
      </c>
      <c r="F183" s="14">
        <f t="shared" ref="F183:F191" si="459">SUM(B183:E183)</f>
        <v>202870.56</v>
      </c>
      <c r="H183" s="14">
        <f>(($C$19*H25)*3.56*180)</f>
        <v>0</v>
      </c>
      <c r="I183" s="142"/>
      <c r="J183" s="142"/>
      <c r="K183" s="14">
        <f>((H19*K25)*3.1*180)+1200</f>
        <v>541120.80000000005</v>
      </c>
      <c r="L183" s="14">
        <f t="shared" ref="L183:L191" si="460">SUM(H183:K183)</f>
        <v>541120.80000000005</v>
      </c>
      <c r="N183" s="14">
        <f>(($C$19*N25)*3.56*180)</f>
        <v>0</v>
      </c>
      <c r="O183" s="142"/>
      <c r="P183" s="142"/>
      <c r="Q183" s="14">
        <f>((N19*Q25)*3.1*180)+1200</f>
        <v>171278.40000000002</v>
      </c>
      <c r="R183" s="14">
        <f t="shared" ref="R183:R191" si="461">SUM(N183:Q183)</f>
        <v>171278.40000000002</v>
      </c>
      <c r="T183" s="14">
        <f>(($C$19*T25)*3.56*180)</f>
        <v>0</v>
      </c>
      <c r="U183" s="142"/>
      <c r="V183" s="142"/>
      <c r="W183" s="14">
        <f>((T19*W25)*3.1*180)+1200</f>
        <v>102895.5</v>
      </c>
      <c r="X183" s="14">
        <f t="shared" ref="X183:X191" si="462">SUM(T183:W183)</f>
        <v>102895.5</v>
      </c>
      <c r="Z183" s="14">
        <f>(($C$19*Z25)*3.56*180)</f>
        <v>0</v>
      </c>
      <c r="AA183" s="142"/>
      <c r="AB183" s="142"/>
      <c r="AC183" s="14">
        <f>((Z19*AC25)*3.1*180)+1200</f>
        <v>319260</v>
      </c>
      <c r="AD183" s="14">
        <f t="shared" ref="AD183:AD191" si="463">SUM(Z183:AC183)</f>
        <v>319260</v>
      </c>
      <c r="AF183" s="14">
        <f>(($C$19*AF25)*3.56*180)</f>
        <v>0</v>
      </c>
      <c r="AG183" s="142"/>
      <c r="AH183" s="142"/>
      <c r="AI183" s="360">
        <f>((AF19*AI25)*3.15*180)+1200</f>
        <v>296947.20000000001</v>
      </c>
      <c r="AJ183" s="14">
        <f t="shared" ref="AJ183:AJ191" si="464">SUM(AF183:AI183)</f>
        <v>296947.20000000001</v>
      </c>
      <c r="AL183" s="14">
        <v>0</v>
      </c>
      <c r="AM183" s="142"/>
      <c r="AN183" s="142"/>
      <c r="AO183" s="14">
        <v>0</v>
      </c>
      <c r="AP183" s="14">
        <f t="shared" ref="AP183:AP191" si="465">SUM(AL183:AO183)</f>
        <v>0</v>
      </c>
      <c r="AR183" s="14">
        <f>(($C$19*AR25)*3.56*180)</f>
        <v>0</v>
      </c>
      <c r="AS183" s="142"/>
      <c r="AT183" s="142"/>
      <c r="AU183" s="14">
        <f>(AR19*AU25)*3.15*180+2500</f>
        <v>59200</v>
      </c>
      <c r="AV183" s="14">
        <f t="shared" ref="AV183:AV191" si="466">SUM(AR183:AU183)</f>
        <v>59200</v>
      </c>
      <c r="AX183" s="7">
        <f>B183+H183+N183+T183+Z183+AF183+AL183+AR183</f>
        <v>0</v>
      </c>
      <c r="AY183" s="7">
        <f t="shared" ref="AY183:BA191" si="467">C183+I183+O183+U183+AA183+AG183+AM183+AS183</f>
        <v>0</v>
      </c>
      <c r="AZ183" s="7">
        <f t="shared" si="467"/>
        <v>0</v>
      </c>
      <c r="BA183" s="7">
        <f t="shared" si="467"/>
        <v>1693572.4600000002</v>
      </c>
      <c r="BB183" s="14">
        <f t="shared" ref="BB183:BB191" si="468">SUM(AX183:BA183)</f>
        <v>1693572.4600000002</v>
      </c>
    </row>
    <row r="184" spans="1:54" x14ac:dyDescent="0.25">
      <c r="A184" s="62" t="s">
        <v>155</v>
      </c>
      <c r="B184" s="7">
        <v>5000</v>
      </c>
      <c r="C184" s="7"/>
      <c r="D184" s="7"/>
      <c r="E184" s="7"/>
      <c r="F184" s="14">
        <f t="shared" si="459"/>
        <v>5000</v>
      </c>
      <c r="H184" s="7">
        <v>5000</v>
      </c>
      <c r="I184" s="7"/>
      <c r="J184" s="7"/>
      <c r="K184" s="7"/>
      <c r="L184" s="14">
        <f t="shared" si="460"/>
        <v>5000</v>
      </c>
      <c r="N184" s="7">
        <v>5000</v>
      </c>
      <c r="O184" s="7"/>
      <c r="P184" s="7"/>
      <c r="Q184" s="7"/>
      <c r="R184" s="14">
        <f t="shared" si="461"/>
        <v>5000</v>
      </c>
      <c r="T184" s="7">
        <v>5000</v>
      </c>
      <c r="U184" s="7"/>
      <c r="V184" s="7"/>
      <c r="W184" s="7"/>
      <c r="X184" s="14">
        <f t="shared" si="462"/>
        <v>5000</v>
      </c>
      <c r="Z184" s="7">
        <v>5000</v>
      </c>
      <c r="AA184" s="7"/>
      <c r="AB184" s="7"/>
      <c r="AC184" s="7"/>
      <c r="AD184" s="14">
        <f t="shared" si="463"/>
        <v>5000</v>
      </c>
      <c r="AF184" s="7">
        <v>5000</v>
      </c>
      <c r="AG184" s="7"/>
      <c r="AH184" s="7"/>
      <c r="AI184" s="7"/>
      <c r="AJ184" s="14">
        <f t="shared" si="464"/>
        <v>5000</v>
      </c>
      <c r="AL184" s="14">
        <v>0</v>
      </c>
      <c r="AM184" s="7"/>
      <c r="AN184" s="7"/>
      <c r="AO184" s="7"/>
      <c r="AP184" s="14">
        <f t="shared" si="465"/>
        <v>0</v>
      </c>
      <c r="AR184" s="7">
        <v>7500</v>
      </c>
      <c r="AS184" s="7"/>
      <c r="AT184" s="7"/>
      <c r="AU184" s="7"/>
      <c r="AV184" s="14">
        <f t="shared" si="466"/>
        <v>7500</v>
      </c>
      <c r="AX184" s="7">
        <f t="shared" ref="AX184:AX191" si="469">B184+H184+N184+T184+Z184+AF184+AL184+AR184</f>
        <v>37500</v>
      </c>
      <c r="AY184" s="7">
        <f t="shared" si="467"/>
        <v>0</v>
      </c>
      <c r="AZ184" s="7">
        <f t="shared" si="467"/>
        <v>0</v>
      </c>
      <c r="BA184" s="7">
        <f t="shared" si="467"/>
        <v>0</v>
      </c>
      <c r="BB184" s="14">
        <f t="shared" si="468"/>
        <v>37500</v>
      </c>
    </row>
    <row r="185" spans="1:54" x14ac:dyDescent="0.25">
      <c r="A185" s="62" t="s">
        <v>156</v>
      </c>
      <c r="B185" s="7">
        <v>2000</v>
      </c>
      <c r="C185" s="7"/>
      <c r="D185" s="7"/>
      <c r="E185" s="7"/>
      <c r="F185" s="14">
        <f t="shared" si="459"/>
        <v>2000</v>
      </c>
      <c r="H185" s="7">
        <v>3000</v>
      </c>
      <c r="I185" s="7"/>
      <c r="J185" s="7"/>
      <c r="K185" s="7"/>
      <c r="L185" s="14">
        <f t="shared" si="460"/>
        <v>3000</v>
      </c>
      <c r="N185" s="7">
        <v>2100</v>
      </c>
      <c r="O185" s="7"/>
      <c r="P185" s="7"/>
      <c r="Q185" s="7"/>
      <c r="R185" s="14">
        <f t="shared" si="461"/>
        <v>2100</v>
      </c>
      <c r="T185" s="7">
        <v>2100</v>
      </c>
      <c r="U185" s="7"/>
      <c r="V185" s="7"/>
      <c r="W185" s="7"/>
      <c r="X185" s="14">
        <f t="shared" si="462"/>
        <v>2100</v>
      </c>
      <c r="Z185" s="7">
        <v>3000</v>
      </c>
      <c r="AA185" s="7"/>
      <c r="AB185" s="7"/>
      <c r="AC185" s="7"/>
      <c r="AD185" s="14">
        <f t="shared" si="463"/>
        <v>3000</v>
      </c>
      <c r="AF185" s="7">
        <v>1500</v>
      </c>
      <c r="AG185" s="7"/>
      <c r="AH185" s="7"/>
      <c r="AI185" s="7"/>
      <c r="AJ185" s="14">
        <f t="shared" si="464"/>
        <v>1500</v>
      </c>
      <c r="AL185" s="14">
        <v>0</v>
      </c>
      <c r="AM185" s="7"/>
      <c r="AN185" s="7"/>
      <c r="AO185" s="7"/>
      <c r="AP185" s="14">
        <f t="shared" si="465"/>
        <v>0</v>
      </c>
      <c r="AR185" s="7">
        <v>0</v>
      </c>
      <c r="AS185" s="7"/>
      <c r="AT185" s="7"/>
      <c r="AU185" s="7"/>
      <c r="AV185" s="14">
        <f t="shared" si="466"/>
        <v>0</v>
      </c>
      <c r="AX185" s="7">
        <f t="shared" si="469"/>
        <v>13700</v>
      </c>
      <c r="AY185" s="7">
        <f t="shared" si="467"/>
        <v>0</v>
      </c>
      <c r="AZ185" s="7">
        <f t="shared" si="467"/>
        <v>0</v>
      </c>
      <c r="BA185" s="7">
        <f t="shared" si="467"/>
        <v>0</v>
      </c>
      <c r="BB185" s="14">
        <f t="shared" si="468"/>
        <v>13700</v>
      </c>
    </row>
    <row r="186" spans="1:54" x14ac:dyDescent="0.25">
      <c r="A186" s="62" t="s">
        <v>157</v>
      </c>
      <c r="B186" s="7">
        <v>540</v>
      </c>
      <c r="C186" s="7"/>
      <c r="D186" s="7"/>
      <c r="E186" s="7"/>
      <c r="F186" s="14">
        <f t="shared" si="459"/>
        <v>540</v>
      </c>
      <c r="H186" s="7">
        <v>1350</v>
      </c>
      <c r="I186" s="7"/>
      <c r="J186" s="7"/>
      <c r="K186" s="7"/>
      <c r="L186" s="14">
        <f t="shared" si="460"/>
        <v>1350</v>
      </c>
      <c r="N186" s="7">
        <v>900</v>
      </c>
      <c r="O186" s="7"/>
      <c r="P186" s="7"/>
      <c r="Q186" s="7"/>
      <c r="R186" s="14">
        <f t="shared" si="461"/>
        <v>900</v>
      </c>
      <c r="T186" s="7">
        <v>900</v>
      </c>
      <c r="U186" s="7"/>
      <c r="V186" s="7"/>
      <c r="W186" s="7"/>
      <c r="X186" s="14">
        <f t="shared" si="462"/>
        <v>900</v>
      </c>
      <c r="Z186" s="7">
        <v>1350</v>
      </c>
      <c r="AA186" s="7"/>
      <c r="AB186" s="7"/>
      <c r="AC186" s="7"/>
      <c r="AD186" s="14">
        <f t="shared" si="463"/>
        <v>1350</v>
      </c>
      <c r="AF186" s="7">
        <f>75*(AJ66-'FY24'!AJ66)</f>
        <v>1050</v>
      </c>
      <c r="AG186" s="7"/>
      <c r="AH186" s="7"/>
      <c r="AI186" s="7"/>
      <c r="AJ186" s="14">
        <f t="shared" si="464"/>
        <v>1050</v>
      </c>
      <c r="AL186" s="14">
        <v>0</v>
      </c>
      <c r="AM186" s="7"/>
      <c r="AN186" s="7"/>
      <c r="AO186" s="7"/>
      <c r="AP186" s="14">
        <f t="shared" si="465"/>
        <v>0</v>
      </c>
      <c r="AR186" s="7">
        <f>60*8</f>
        <v>480</v>
      </c>
      <c r="AS186" s="7"/>
      <c r="AT186" s="7"/>
      <c r="AU186" s="7"/>
      <c r="AV186" s="14">
        <f t="shared" si="466"/>
        <v>480</v>
      </c>
      <c r="AX186" s="7">
        <f t="shared" si="469"/>
        <v>6570</v>
      </c>
      <c r="AY186" s="7">
        <f t="shared" si="467"/>
        <v>0</v>
      </c>
      <c r="AZ186" s="7">
        <f t="shared" si="467"/>
        <v>0</v>
      </c>
      <c r="BA186" s="7">
        <f t="shared" si="467"/>
        <v>0</v>
      </c>
      <c r="BB186" s="14">
        <f t="shared" si="468"/>
        <v>6570</v>
      </c>
    </row>
    <row r="187" spans="1:54" x14ac:dyDescent="0.25">
      <c r="A187" s="62" t="s">
        <v>158</v>
      </c>
      <c r="B187" s="15">
        <v>12700</v>
      </c>
      <c r="C187" s="15"/>
      <c r="D187" s="15"/>
      <c r="E187" s="15"/>
      <c r="F187" s="14">
        <f t="shared" si="459"/>
        <v>12700</v>
      </c>
      <c r="H187" s="15">
        <v>12000</v>
      </c>
      <c r="I187" s="15"/>
      <c r="J187" s="15"/>
      <c r="K187" s="15"/>
      <c r="L187" s="14">
        <f t="shared" si="460"/>
        <v>12000</v>
      </c>
      <c r="N187" s="15">
        <v>12000</v>
      </c>
      <c r="O187" s="15"/>
      <c r="P187" s="15"/>
      <c r="Q187" s="15"/>
      <c r="R187" s="14">
        <f t="shared" si="461"/>
        <v>12000</v>
      </c>
      <c r="T187" s="15">
        <v>12000</v>
      </c>
      <c r="U187" s="15"/>
      <c r="V187" s="15"/>
      <c r="W187" s="15"/>
      <c r="X187" s="14">
        <f t="shared" si="462"/>
        <v>12000</v>
      </c>
      <c r="Z187" s="15">
        <v>12000</v>
      </c>
      <c r="AA187" s="15"/>
      <c r="AB187" s="15"/>
      <c r="AC187" s="15"/>
      <c r="AD187" s="14">
        <f t="shared" si="463"/>
        <v>12000</v>
      </c>
      <c r="AF187" s="15">
        <v>12000</v>
      </c>
      <c r="AG187" s="15"/>
      <c r="AH187" s="15"/>
      <c r="AI187" s="15"/>
      <c r="AJ187" s="14">
        <f t="shared" si="464"/>
        <v>12000</v>
      </c>
      <c r="AL187" s="14">
        <v>0</v>
      </c>
      <c r="AM187" s="15"/>
      <c r="AN187" s="15"/>
      <c r="AO187" s="15"/>
      <c r="AP187" s="14">
        <f t="shared" si="465"/>
        <v>0</v>
      </c>
      <c r="AR187" s="15">
        <v>8500</v>
      </c>
      <c r="AS187" s="15"/>
      <c r="AT187" s="15"/>
      <c r="AU187" s="15"/>
      <c r="AV187" s="14">
        <f t="shared" si="466"/>
        <v>8500</v>
      </c>
      <c r="AX187" s="7">
        <f t="shared" si="469"/>
        <v>81200</v>
      </c>
      <c r="AY187" s="7">
        <f t="shared" si="467"/>
        <v>0</v>
      </c>
      <c r="AZ187" s="7">
        <f t="shared" si="467"/>
        <v>0</v>
      </c>
      <c r="BA187" s="7">
        <f t="shared" si="467"/>
        <v>0</v>
      </c>
      <c r="BB187" s="14">
        <f t="shared" si="468"/>
        <v>81200</v>
      </c>
    </row>
    <row r="188" spans="1:54" x14ac:dyDescent="0.25">
      <c r="A188" s="62" t="s">
        <v>159</v>
      </c>
      <c r="B188" s="15">
        <v>0</v>
      </c>
      <c r="C188" s="148"/>
      <c r="D188" s="148"/>
      <c r="E188" s="148"/>
      <c r="F188" s="14">
        <f t="shared" si="459"/>
        <v>0</v>
      </c>
      <c r="H188" s="15">
        <v>0</v>
      </c>
      <c r="I188" s="148"/>
      <c r="J188" s="148"/>
      <c r="K188" s="148"/>
      <c r="L188" s="14">
        <f t="shared" si="460"/>
        <v>0</v>
      </c>
      <c r="N188" s="15">
        <v>0</v>
      </c>
      <c r="O188" s="148"/>
      <c r="P188" s="148"/>
      <c r="Q188" s="148"/>
      <c r="R188" s="14">
        <f t="shared" si="461"/>
        <v>0</v>
      </c>
      <c r="T188" s="15">
        <v>0</v>
      </c>
      <c r="U188" s="148"/>
      <c r="V188" s="148"/>
      <c r="W188" s="148"/>
      <c r="X188" s="14">
        <f t="shared" si="462"/>
        <v>0</v>
      </c>
      <c r="Z188" s="15">
        <v>0</v>
      </c>
      <c r="AA188" s="148"/>
      <c r="AB188" s="148"/>
      <c r="AC188" s="148"/>
      <c r="AD188" s="14">
        <f t="shared" si="463"/>
        <v>0</v>
      </c>
      <c r="AF188" s="15">
        <v>0</v>
      </c>
      <c r="AG188" s="148"/>
      <c r="AH188" s="148"/>
      <c r="AI188" s="148"/>
      <c r="AJ188" s="14">
        <f t="shared" si="464"/>
        <v>0</v>
      </c>
      <c r="AL188" s="14">
        <v>0</v>
      </c>
      <c r="AM188" s="148"/>
      <c r="AN188" s="148"/>
      <c r="AO188" s="148"/>
      <c r="AP188" s="14">
        <f t="shared" si="465"/>
        <v>0</v>
      </c>
      <c r="AR188" s="15">
        <v>0</v>
      </c>
      <c r="AS188" s="148"/>
      <c r="AT188" s="148"/>
      <c r="AU188" s="148"/>
      <c r="AV188" s="14">
        <f t="shared" si="466"/>
        <v>0</v>
      </c>
      <c r="AX188" s="7">
        <f t="shared" si="469"/>
        <v>0</v>
      </c>
      <c r="AY188" s="7">
        <f t="shared" si="467"/>
        <v>0</v>
      </c>
      <c r="AZ188" s="7">
        <f t="shared" si="467"/>
        <v>0</v>
      </c>
      <c r="BA188" s="7">
        <f t="shared" si="467"/>
        <v>0</v>
      </c>
      <c r="BB188" s="14">
        <f t="shared" si="468"/>
        <v>0</v>
      </c>
    </row>
    <row r="189" spans="1:54" x14ac:dyDescent="0.25">
      <c r="A189" s="62" t="s">
        <v>160</v>
      </c>
      <c r="B189" s="15">
        <v>0</v>
      </c>
      <c r="C189" s="15"/>
      <c r="D189" s="15"/>
      <c r="E189" s="15"/>
      <c r="F189" s="14">
        <f t="shared" si="459"/>
        <v>0</v>
      </c>
      <c r="H189" s="15">
        <v>0</v>
      </c>
      <c r="I189" s="15"/>
      <c r="J189" s="15"/>
      <c r="K189" s="15"/>
      <c r="L189" s="14">
        <f t="shared" si="460"/>
        <v>0</v>
      </c>
      <c r="N189" s="15">
        <v>0</v>
      </c>
      <c r="O189" s="15"/>
      <c r="P189" s="15"/>
      <c r="Q189" s="15"/>
      <c r="R189" s="14">
        <f t="shared" si="461"/>
        <v>0</v>
      </c>
      <c r="T189" s="15">
        <v>0</v>
      </c>
      <c r="U189" s="15"/>
      <c r="V189" s="15"/>
      <c r="W189" s="15"/>
      <c r="X189" s="14">
        <f t="shared" si="462"/>
        <v>0</v>
      </c>
      <c r="Z189" s="15">
        <v>0</v>
      </c>
      <c r="AA189" s="15"/>
      <c r="AB189" s="15"/>
      <c r="AC189" s="15"/>
      <c r="AD189" s="14">
        <f t="shared" si="463"/>
        <v>0</v>
      </c>
      <c r="AF189" s="15">
        <v>0</v>
      </c>
      <c r="AG189" s="15"/>
      <c r="AH189" s="15"/>
      <c r="AI189" s="15"/>
      <c r="AJ189" s="14">
        <f t="shared" si="464"/>
        <v>0</v>
      </c>
      <c r="AL189" s="14">
        <v>0</v>
      </c>
      <c r="AM189" s="15"/>
      <c r="AN189" s="15"/>
      <c r="AO189" s="15"/>
      <c r="AP189" s="14">
        <f t="shared" si="465"/>
        <v>0</v>
      </c>
      <c r="AR189" s="15">
        <v>0</v>
      </c>
      <c r="AS189" s="15"/>
      <c r="AT189" s="15"/>
      <c r="AU189" s="15"/>
      <c r="AV189" s="14">
        <f t="shared" si="466"/>
        <v>0</v>
      </c>
      <c r="AX189" s="7">
        <f t="shared" si="469"/>
        <v>0</v>
      </c>
      <c r="AY189" s="7">
        <f t="shared" si="467"/>
        <v>0</v>
      </c>
      <c r="AZ189" s="7">
        <f t="shared" si="467"/>
        <v>0</v>
      </c>
      <c r="BA189" s="7">
        <f t="shared" si="467"/>
        <v>0</v>
      </c>
      <c r="BB189" s="14">
        <f t="shared" si="468"/>
        <v>0</v>
      </c>
    </row>
    <row r="190" spans="1:54" x14ac:dyDescent="0.25">
      <c r="A190" s="62" t="s">
        <v>161</v>
      </c>
      <c r="B190" s="15">
        <v>0</v>
      </c>
      <c r="C190" s="15"/>
      <c r="D190" s="15"/>
      <c r="E190" s="15"/>
      <c r="F190" s="14">
        <f t="shared" si="459"/>
        <v>0</v>
      </c>
      <c r="H190" s="15">
        <f>'FY24'!H190+1000</f>
        <v>17000</v>
      </c>
      <c r="I190" s="15"/>
      <c r="J190" s="15"/>
      <c r="K190" s="15"/>
      <c r="L190" s="14">
        <f t="shared" si="460"/>
        <v>17000</v>
      </c>
      <c r="N190" s="15">
        <v>0</v>
      </c>
      <c r="O190" s="15"/>
      <c r="P190" s="15"/>
      <c r="Q190" s="15"/>
      <c r="R190" s="14">
        <f t="shared" si="461"/>
        <v>0</v>
      </c>
      <c r="T190" s="15">
        <v>0</v>
      </c>
      <c r="U190" s="15"/>
      <c r="V190" s="15"/>
      <c r="W190" s="15"/>
      <c r="X190" s="14">
        <f t="shared" si="462"/>
        <v>0</v>
      </c>
      <c r="Z190" s="15">
        <f>'FY24'!Z190+1000</f>
        <v>17000</v>
      </c>
      <c r="AA190" s="15"/>
      <c r="AB190" s="15"/>
      <c r="AC190" s="15"/>
      <c r="AD190" s="14">
        <f t="shared" si="463"/>
        <v>17000</v>
      </c>
      <c r="AF190" s="7">
        <v>0</v>
      </c>
      <c r="AG190" s="15"/>
      <c r="AH190" s="15"/>
      <c r="AI190" s="15"/>
      <c r="AJ190" s="14">
        <f t="shared" si="464"/>
        <v>0</v>
      </c>
      <c r="AL190" s="14">
        <v>0</v>
      </c>
      <c r="AM190" s="15"/>
      <c r="AN190" s="15"/>
      <c r="AO190" s="15"/>
      <c r="AP190" s="14">
        <f t="shared" si="465"/>
        <v>0</v>
      </c>
      <c r="AR190" s="15">
        <v>0</v>
      </c>
      <c r="AS190" s="15"/>
      <c r="AT190" s="15"/>
      <c r="AU190" s="15"/>
      <c r="AV190" s="14">
        <f t="shared" si="466"/>
        <v>0</v>
      </c>
      <c r="AX190" s="7">
        <f t="shared" si="469"/>
        <v>34000</v>
      </c>
      <c r="AY190" s="7">
        <f t="shared" si="467"/>
        <v>0</v>
      </c>
      <c r="AZ190" s="7">
        <f t="shared" si="467"/>
        <v>0</v>
      </c>
      <c r="BA190" s="7">
        <f t="shared" si="467"/>
        <v>0</v>
      </c>
      <c r="BB190" s="14">
        <f t="shared" si="468"/>
        <v>34000</v>
      </c>
    </row>
    <row r="191" spans="1:54" ht="15.75" thickBot="1" x14ac:dyDescent="0.3">
      <c r="A191" s="62" t="s">
        <v>162</v>
      </c>
      <c r="B191" s="7">
        <v>1000</v>
      </c>
      <c r="C191" s="7"/>
      <c r="D191" s="7"/>
      <c r="E191" s="7"/>
      <c r="F191" s="14">
        <f t="shared" si="459"/>
        <v>1000</v>
      </c>
      <c r="H191" s="7">
        <v>3000</v>
      </c>
      <c r="I191" s="7"/>
      <c r="J191" s="7"/>
      <c r="K191" s="7"/>
      <c r="L191" s="14">
        <f t="shared" si="460"/>
        <v>3000</v>
      </c>
      <c r="N191" s="7">
        <v>2000</v>
      </c>
      <c r="O191" s="7"/>
      <c r="P191" s="7"/>
      <c r="Q191" s="7"/>
      <c r="R191" s="14">
        <f t="shared" si="461"/>
        <v>2000</v>
      </c>
      <c r="T191" s="7">
        <v>2000</v>
      </c>
      <c r="U191" s="7"/>
      <c r="V191" s="7"/>
      <c r="W191" s="7"/>
      <c r="X191" s="14">
        <f t="shared" si="462"/>
        <v>2000</v>
      </c>
      <c r="Z191" s="7">
        <v>2000</v>
      </c>
      <c r="AA191" s="7"/>
      <c r="AB191" s="7"/>
      <c r="AC191" s="7"/>
      <c r="AD191" s="14">
        <f t="shared" si="463"/>
        <v>2000</v>
      </c>
      <c r="AF191" s="7">
        <v>2000</v>
      </c>
      <c r="AG191" s="7"/>
      <c r="AH191" s="7"/>
      <c r="AI191" s="7"/>
      <c r="AJ191" s="14">
        <f t="shared" si="464"/>
        <v>2000</v>
      </c>
      <c r="AL191" s="14">
        <v>0</v>
      </c>
      <c r="AM191" s="7"/>
      <c r="AN191" s="7"/>
      <c r="AO191" s="7"/>
      <c r="AP191" s="14">
        <f t="shared" si="465"/>
        <v>0</v>
      </c>
      <c r="AR191" s="7">
        <v>2500</v>
      </c>
      <c r="AS191" s="7"/>
      <c r="AT191" s="7"/>
      <c r="AU191" s="7"/>
      <c r="AV191" s="14">
        <f t="shared" si="466"/>
        <v>2500</v>
      </c>
      <c r="AX191" s="7">
        <f t="shared" si="469"/>
        <v>14500</v>
      </c>
      <c r="AY191" s="7">
        <f t="shared" si="467"/>
        <v>0</v>
      </c>
      <c r="AZ191" s="7">
        <f t="shared" si="467"/>
        <v>0</v>
      </c>
      <c r="BA191" s="7">
        <f t="shared" si="467"/>
        <v>0</v>
      </c>
      <c r="BB191" s="14">
        <f t="shared" si="468"/>
        <v>14500</v>
      </c>
    </row>
    <row r="192" spans="1:54" ht="15.75" thickBot="1" x14ac:dyDescent="0.3">
      <c r="A192" s="95" t="s">
        <v>163</v>
      </c>
      <c r="B192" s="92">
        <f>SUM(B183:B191)</f>
        <v>21240</v>
      </c>
      <c r="C192" s="92">
        <f>SUM(C183:C191)</f>
        <v>0</v>
      </c>
      <c r="D192" s="92">
        <f t="shared" ref="D192:F192" si="470">SUM(D183:D191)</f>
        <v>0</v>
      </c>
      <c r="E192" s="92">
        <f t="shared" si="470"/>
        <v>202870.56</v>
      </c>
      <c r="F192" s="92">
        <f t="shared" si="470"/>
        <v>224110.56</v>
      </c>
      <c r="H192" s="92">
        <f>SUM(H183:H191)</f>
        <v>41350</v>
      </c>
      <c r="I192" s="92">
        <f>SUM(I183:I191)</f>
        <v>0</v>
      </c>
      <c r="J192" s="92">
        <f t="shared" ref="J192:L192" si="471">SUM(J183:J191)</f>
        <v>0</v>
      </c>
      <c r="K192" s="92">
        <f t="shared" si="471"/>
        <v>541120.80000000005</v>
      </c>
      <c r="L192" s="92">
        <f t="shared" si="471"/>
        <v>582470.80000000005</v>
      </c>
      <c r="N192" s="92">
        <f>SUM(N183:N191)</f>
        <v>22000</v>
      </c>
      <c r="O192" s="92">
        <f>SUM(O183:O191)</f>
        <v>0</v>
      </c>
      <c r="P192" s="92">
        <f t="shared" ref="P192:R192" si="472">SUM(P183:P191)</f>
        <v>0</v>
      </c>
      <c r="Q192" s="92">
        <f t="shared" si="472"/>
        <v>171278.40000000002</v>
      </c>
      <c r="R192" s="92">
        <f t="shared" si="472"/>
        <v>193278.40000000002</v>
      </c>
      <c r="T192" s="92">
        <f>SUM(T183:T191)</f>
        <v>22000</v>
      </c>
      <c r="U192" s="92">
        <f>SUM(U183:U191)</f>
        <v>0</v>
      </c>
      <c r="V192" s="92">
        <f t="shared" ref="V192:X192" si="473">SUM(V183:V191)</f>
        <v>0</v>
      </c>
      <c r="W192" s="92">
        <f t="shared" si="473"/>
        <v>102895.5</v>
      </c>
      <c r="X192" s="92">
        <f t="shared" si="473"/>
        <v>124895.5</v>
      </c>
      <c r="Z192" s="92">
        <f>SUM(Z183:Z191)</f>
        <v>40350</v>
      </c>
      <c r="AA192" s="92">
        <f>SUM(AA183:AA191)</f>
        <v>0</v>
      </c>
      <c r="AB192" s="92">
        <f t="shared" ref="AB192:AD192" si="474">SUM(AB183:AB191)</f>
        <v>0</v>
      </c>
      <c r="AC192" s="92">
        <f t="shared" si="474"/>
        <v>319260</v>
      </c>
      <c r="AD192" s="92">
        <f t="shared" si="474"/>
        <v>359610</v>
      </c>
      <c r="AF192" s="92">
        <f>SUM(AF183:AF191)</f>
        <v>21550</v>
      </c>
      <c r="AG192" s="92">
        <f>SUM(AG183:AG191)</f>
        <v>0</v>
      </c>
      <c r="AH192" s="92">
        <f t="shared" ref="AH192:AJ192" si="475">SUM(AH183:AH191)</f>
        <v>0</v>
      </c>
      <c r="AI192" s="92">
        <f t="shared" si="475"/>
        <v>296947.20000000001</v>
      </c>
      <c r="AJ192" s="92">
        <f t="shared" si="475"/>
        <v>318497.2</v>
      </c>
      <c r="AL192" s="92">
        <f>SUM(AL183:AL191)</f>
        <v>0</v>
      </c>
      <c r="AM192" s="92">
        <f>SUM(AM183:AM191)</f>
        <v>0</v>
      </c>
      <c r="AN192" s="92">
        <f t="shared" ref="AN192:AP192" si="476">SUM(AN183:AN191)</f>
        <v>0</v>
      </c>
      <c r="AO192" s="92">
        <f t="shared" si="476"/>
        <v>0</v>
      </c>
      <c r="AP192" s="92">
        <f t="shared" si="476"/>
        <v>0</v>
      </c>
      <c r="AR192" s="92">
        <f>SUM(AR183:AR191)</f>
        <v>18980</v>
      </c>
      <c r="AS192" s="92">
        <f>SUM(AS183:AS191)</f>
        <v>0</v>
      </c>
      <c r="AT192" s="92">
        <f t="shared" ref="AT192:AV192" si="477">SUM(AT183:AT191)</f>
        <v>0</v>
      </c>
      <c r="AU192" s="92">
        <f t="shared" si="477"/>
        <v>59200</v>
      </c>
      <c r="AV192" s="92">
        <f t="shared" si="477"/>
        <v>78180</v>
      </c>
      <c r="AX192" s="92">
        <f>SUM(AX183:AX191)</f>
        <v>187470</v>
      </c>
      <c r="AY192" s="92">
        <f>SUM(AY183:AY191)</f>
        <v>0</v>
      </c>
      <c r="AZ192" s="92">
        <f t="shared" ref="AZ192:BB192" si="478">SUM(AZ183:AZ191)</f>
        <v>0</v>
      </c>
      <c r="BA192" s="92">
        <f t="shared" si="478"/>
        <v>1693572.4600000002</v>
      </c>
      <c r="BB192" s="92">
        <f t="shared" si="478"/>
        <v>1881042.4600000002</v>
      </c>
    </row>
    <row r="193" spans="1:54" x14ac:dyDescent="0.25">
      <c r="A193" s="101" t="s">
        <v>164</v>
      </c>
      <c r="B193" s="77" t="str">
        <f>B182</f>
        <v>Operating</v>
      </c>
      <c r="C193" s="77" t="str">
        <f>C182</f>
        <v>Weights</v>
      </c>
      <c r="D193" s="77" t="str">
        <f>D182</f>
        <v>SPED</v>
      </c>
      <c r="E193" s="77" t="str">
        <f t="shared" ref="E193:F193" si="479">E182</f>
        <v>NSLP</v>
      </c>
      <c r="F193" s="77" t="str">
        <f t="shared" si="479"/>
        <v>Horizon</v>
      </c>
      <c r="H193" s="77" t="str">
        <f>H182</f>
        <v>Operating</v>
      </c>
      <c r="I193" s="77" t="str">
        <f>I182</f>
        <v>Weights</v>
      </c>
      <c r="J193" s="77" t="str">
        <f>J182</f>
        <v>SPED</v>
      </c>
      <c r="K193" s="77" t="str">
        <f t="shared" ref="K193:L193" si="480">K182</f>
        <v>NSLP</v>
      </c>
      <c r="L193" s="77" t="str">
        <f t="shared" si="480"/>
        <v>Cadence</v>
      </c>
      <c r="N193" s="77" t="str">
        <f>N182</f>
        <v>Operating</v>
      </c>
      <c r="O193" s="77" t="str">
        <f>O182</f>
        <v>Weights</v>
      </c>
      <c r="P193" s="77" t="str">
        <f>P182</f>
        <v>SPED</v>
      </c>
      <c r="Q193" s="77" t="str">
        <f t="shared" ref="Q193:R193" si="481">Q182</f>
        <v>NSLP</v>
      </c>
      <c r="R193" s="77" t="str">
        <f t="shared" si="481"/>
        <v>St. Rose</v>
      </c>
      <c r="T193" s="77" t="str">
        <f>T182</f>
        <v>Operating</v>
      </c>
      <c r="U193" s="77" t="str">
        <f>U182</f>
        <v>Weights</v>
      </c>
      <c r="V193" s="77" t="str">
        <f>V182</f>
        <v>SPED</v>
      </c>
      <c r="W193" s="77" t="str">
        <f t="shared" ref="W193:X193" si="482">W182</f>
        <v>NSLP</v>
      </c>
      <c r="X193" s="77" t="str">
        <f t="shared" si="482"/>
        <v>Inspirada</v>
      </c>
      <c r="Z193" s="77" t="str">
        <f>Z182</f>
        <v>Operating</v>
      </c>
      <c r="AA193" s="77" t="str">
        <f>AA182</f>
        <v>Weights</v>
      </c>
      <c r="AB193" s="77" t="str">
        <f>AB182</f>
        <v>SPED</v>
      </c>
      <c r="AC193" s="77" t="str">
        <f t="shared" ref="AC193:AD193" si="483">AC182</f>
        <v>NSLP</v>
      </c>
      <c r="AD193" s="77" t="str">
        <f t="shared" si="483"/>
        <v>Sloan Canyon</v>
      </c>
      <c r="AF193" s="77" t="str">
        <f>AF182</f>
        <v>Operating</v>
      </c>
      <c r="AG193" s="77" t="str">
        <f>AG182</f>
        <v>Weights</v>
      </c>
      <c r="AH193" s="77" t="str">
        <f>AH182</f>
        <v>SPED</v>
      </c>
      <c r="AI193" s="77" t="str">
        <f t="shared" ref="AI193:AJ193" si="484">AI182</f>
        <v>NSLP</v>
      </c>
      <c r="AJ193" s="77" t="str">
        <f t="shared" si="484"/>
        <v>Springs</v>
      </c>
      <c r="AL193" s="77" t="str">
        <f>AL182</f>
        <v>Operating</v>
      </c>
      <c r="AM193" s="77" t="str">
        <f>AM182</f>
        <v>Weights</v>
      </c>
      <c r="AN193" s="77" t="str">
        <f>AN182</f>
        <v>SPED</v>
      </c>
      <c r="AO193" s="77" t="str">
        <f t="shared" ref="AO193:AP193" si="485">AO182</f>
        <v>NSLP</v>
      </c>
      <c r="AP193" s="77" t="str">
        <f t="shared" si="485"/>
        <v>System Wide</v>
      </c>
      <c r="AR193" s="77" t="str">
        <f>AR182</f>
        <v>Operating</v>
      </c>
      <c r="AS193" s="77" t="str">
        <f>AS182</f>
        <v>Weights</v>
      </c>
      <c r="AT193" s="77" t="str">
        <f>AT182</f>
        <v>SPED</v>
      </c>
      <c r="AU193" s="77" t="str">
        <f t="shared" ref="AU193:AV193" si="486">AU182</f>
        <v>NSLP</v>
      </c>
      <c r="AV193" s="77" t="str">
        <f t="shared" si="486"/>
        <v>Virtual</v>
      </c>
      <c r="AX193" s="77" t="str">
        <f>AX182</f>
        <v>Operating</v>
      </c>
      <c r="AY193" s="77" t="str">
        <f>AY182</f>
        <v>Weights</v>
      </c>
      <c r="AZ193" s="77" t="str">
        <f>AZ182</f>
        <v>SPED</v>
      </c>
      <c r="BA193" s="77" t="str">
        <f t="shared" ref="BA193:BB193" si="487">BA182</f>
        <v>NSLP</v>
      </c>
      <c r="BB193" s="77" t="str">
        <f t="shared" si="487"/>
        <v>Pinecrest System</v>
      </c>
    </row>
    <row r="194" spans="1:54" x14ac:dyDescent="0.25">
      <c r="A194" s="62" t="s">
        <v>165</v>
      </c>
      <c r="B194" s="80">
        <f>'FY24'!B194*1.03</f>
        <v>87205.98</v>
      </c>
      <c r="C194" s="61"/>
      <c r="D194" s="61"/>
      <c r="E194" s="61"/>
      <c r="F194" s="61">
        <f t="shared" ref="F194:F204" si="488">SUM(B194:E194)</f>
        <v>87205.98</v>
      </c>
      <c r="H194" s="80">
        <f>'FY24'!H194*1.03</f>
        <v>227032.6</v>
      </c>
      <c r="I194" s="61"/>
      <c r="J194" s="61"/>
      <c r="K194" s="61"/>
      <c r="L194" s="61">
        <f t="shared" ref="L194:L204" si="489">SUM(H194:K194)</f>
        <v>227032.6</v>
      </c>
      <c r="N194" s="80">
        <f>'FY24'!N194*1.03</f>
        <v>64927.08</v>
      </c>
      <c r="O194" s="61"/>
      <c r="P194" s="61"/>
      <c r="Q194" s="61"/>
      <c r="R194" s="61">
        <f t="shared" ref="R194:R204" si="490">SUM(N194:Q194)</f>
        <v>64927.08</v>
      </c>
      <c r="T194" s="80">
        <f>'FY24'!T194*1.03</f>
        <v>77976.150000000009</v>
      </c>
      <c r="U194" s="61"/>
      <c r="V194" s="61"/>
      <c r="W194" s="61"/>
      <c r="X194" s="61">
        <f t="shared" ref="X194:X204" si="491">SUM(T194:W194)</f>
        <v>77976.150000000009</v>
      </c>
      <c r="Z194" s="80">
        <f>'FY24'!Z194*1.02</f>
        <v>225879</v>
      </c>
      <c r="AA194" s="61"/>
      <c r="AB194" s="61"/>
      <c r="AC194" s="61"/>
      <c r="AD194" s="61">
        <f t="shared" ref="AD194:AD204" si="492">SUM(Z194:AC194)</f>
        <v>225879</v>
      </c>
      <c r="AF194" s="80">
        <f>'FY24'!AF194*1.02</f>
        <v>79560</v>
      </c>
      <c r="AG194" s="61"/>
      <c r="AH194" s="61"/>
      <c r="AI194" s="61"/>
      <c r="AJ194" s="61">
        <f t="shared" ref="AJ194:AJ204" si="493">SUM(AF194:AI194)</f>
        <v>79560</v>
      </c>
      <c r="AL194" s="61">
        <v>0</v>
      </c>
      <c r="AM194" s="61"/>
      <c r="AN194" s="61"/>
      <c r="AO194" s="61"/>
      <c r="AP194" s="61">
        <f t="shared" ref="AP194:AP204" si="494">SUM(AL194:AO194)</f>
        <v>0</v>
      </c>
      <c r="AR194" s="61">
        <v>0</v>
      </c>
      <c r="AS194" s="61"/>
      <c r="AT194" s="61"/>
      <c r="AU194" s="61"/>
      <c r="AV194" s="61">
        <f t="shared" ref="AV194:AV204" si="495">SUM(AR194:AU194)</f>
        <v>0</v>
      </c>
      <c r="AX194" s="7">
        <f>B194+H194+N194+T194+Z194+AF194+AL194+AR194</f>
        <v>762580.81</v>
      </c>
      <c r="AY194" s="7">
        <f t="shared" ref="AY194:BA204" si="496">C194+I194+O194+U194+AA194+AG194+AM194+AS194</f>
        <v>0</v>
      </c>
      <c r="AZ194" s="7">
        <f t="shared" si="496"/>
        <v>0</v>
      </c>
      <c r="BA194" s="7">
        <f t="shared" si="496"/>
        <v>0</v>
      </c>
      <c r="BB194" s="61">
        <f t="shared" ref="BB194:BB204" si="497">SUM(AX194:BA194)</f>
        <v>762580.81</v>
      </c>
    </row>
    <row r="195" spans="1:54" x14ac:dyDescent="0.25">
      <c r="A195" s="62" t="s">
        <v>166</v>
      </c>
      <c r="B195" s="80">
        <f>'FY24'!B195*1.03</f>
        <v>5665.2060000000001</v>
      </c>
      <c r="C195" s="15"/>
      <c r="D195" s="15"/>
      <c r="E195" s="15"/>
      <c r="F195" s="61">
        <f t="shared" si="488"/>
        <v>5665.2060000000001</v>
      </c>
      <c r="H195" s="80">
        <f>'FY24'!H195*1.03</f>
        <v>0</v>
      </c>
      <c r="I195" s="15"/>
      <c r="J195" s="15"/>
      <c r="K195" s="15"/>
      <c r="L195" s="61">
        <f t="shared" si="489"/>
        <v>0</v>
      </c>
      <c r="N195" s="80">
        <f>'FY24'!N195*1.03</f>
        <v>0</v>
      </c>
      <c r="O195" s="15"/>
      <c r="P195" s="15"/>
      <c r="Q195" s="15"/>
      <c r="R195" s="61">
        <f t="shared" si="490"/>
        <v>0</v>
      </c>
      <c r="T195" s="80">
        <f>'FY24'!T195*1.03</f>
        <v>0</v>
      </c>
      <c r="U195" s="15"/>
      <c r="V195" s="15"/>
      <c r="W195" s="15"/>
      <c r="X195" s="61">
        <f t="shared" si="491"/>
        <v>0</v>
      </c>
      <c r="Z195" s="80">
        <f>'FY24'!Z195*1.02</f>
        <v>0</v>
      </c>
      <c r="AA195" s="15"/>
      <c r="AB195" s="15"/>
      <c r="AC195" s="15"/>
      <c r="AD195" s="61">
        <f t="shared" si="492"/>
        <v>0</v>
      </c>
      <c r="AF195" s="80">
        <f>'FY24'!AF195*1.02</f>
        <v>0</v>
      </c>
      <c r="AG195" s="15"/>
      <c r="AH195" s="15"/>
      <c r="AI195" s="15"/>
      <c r="AJ195" s="61">
        <f t="shared" si="493"/>
        <v>0</v>
      </c>
      <c r="AL195" s="61">
        <v>0</v>
      </c>
      <c r="AM195" s="15"/>
      <c r="AN195" s="15"/>
      <c r="AO195" s="15"/>
      <c r="AP195" s="61">
        <f t="shared" si="494"/>
        <v>0</v>
      </c>
      <c r="AR195" s="61">
        <v>0</v>
      </c>
      <c r="AS195" s="15"/>
      <c r="AT195" s="15"/>
      <c r="AU195" s="15"/>
      <c r="AV195" s="61">
        <f t="shared" si="495"/>
        <v>0</v>
      </c>
      <c r="AX195" s="7">
        <f t="shared" ref="AX195:AX204" si="498">B195+H195+N195+T195+Z195+AF195+AL195+AR195</f>
        <v>5665.2060000000001</v>
      </c>
      <c r="AY195" s="7">
        <f t="shared" si="496"/>
        <v>0</v>
      </c>
      <c r="AZ195" s="7">
        <f t="shared" si="496"/>
        <v>0</v>
      </c>
      <c r="BA195" s="7">
        <f t="shared" si="496"/>
        <v>0</v>
      </c>
      <c r="BB195" s="61">
        <f t="shared" si="497"/>
        <v>5665.2060000000001</v>
      </c>
    </row>
    <row r="196" spans="1:54" x14ac:dyDescent="0.25">
      <c r="A196" s="62" t="s">
        <v>167</v>
      </c>
      <c r="B196" s="80">
        <f>'FY24'!B196*1.03</f>
        <v>23870.25</v>
      </c>
      <c r="C196" s="7"/>
      <c r="D196" s="7"/>
      <c r="E196" s="7"/>
      <c r="F196" s="61">
        <f t="shared" si="488"/>
        <v>23870.25</v>
      </c>
      <c r="H196" s="80">
        <f>'FY24'!H196*1.03</f>
        <v>39847.404000000002</v>
      </c>
      <c r="I196" s="7"/>
      <c r="J196" s="7"/>
      <c r="K196" s="7"/>
      <c r="L196" s="61">
        <f t="shared" si="489"/>
        <v>39847.404000000002</v>
      </c>
      <c r="N196" s="80">
        <f>'FY24'!N196*1.03</f>
        <v>19096.2</v>
      </c>
      <c r="O196" s="7"/>
      <c r="P196" s="7"/>
      <c r="Q196" s="7"/>
      <c r="R196" s="61">
        <f t="shared" si="490"/>
        <v>19096.2</v>
      </c>
      <c r="T196" s="80">
        <f>'FY24'!T196*1.03</f>
        <v>17186.580000000002</v>
      </c>
      <c r="U196" s="7"/>
      <c r="V196" s="7"/>
      <c r="W196" s="7"/>
      <c r="X196" s="61">
        <f t="shared" si="491"/>
        <v>17186.580000000002</v>
      </c>
      <c r="Z196" s="80">
        <f>'FY24'!Z196*1.02</f>
        <v>39460.536</v>
      </c>
      <c r="AA196" s="7"/>
      <c r="AB196" s="7"/>
      <c r="AC196" s="7"/>
      <c r="AD196" s="61">
        <f t="shared" si="492"/>
        <v>39460.536</v>
      </c>
      <c r="AF196" s="80">
        <f>'FY24'!AF196*1.02</f>
        <v>20808</v>
      </c>
      <c r="AG196" s="7"/>
      <c r="AH196" s="7"/>
      <c r="AI196" s="7"/>
      <c r="AJ196" s="61">
        <f t="shared" si="493"/>
        <v>20808</v>
      </c>
      <c r="AL196" s="61">
        <v>0</v>
      </c>
      <c r="AM196" s="7"/>
      <c r="AN196" s="7"/>
      <c r="AO196" s="7"/>
      <c r="AP196" s="61">
        <f t="shared" si="494"/>
        <v>0</v>
      </c>
      <c r="AR196" s="61">
        <v>0</v>
      </c>
      <c r="AS196" s="7"/>
      <c r="AT196" s="7"/>
      <c r="AU196" s="7"/>
      <c r="AV196" s="61">
        <f t="shared" si="495"/>
        <v>0</v>
      </c>
      <c r="AX196" s="7">
        <f t="shared" si="498"/>
        <v>160268.97</v>
      </c>
      <c r="AY196" s="7">
        <f t="shared" si="496"/>
        <v>0</v>
      </c>
      <c r="AZ196" s="7">
        <f t="shared" si="496"/>
        <v>0</v>
      </c>
      <c r="BA196" s="7">
        <f t="shared" si="496"/>
        <v>0</v>
      </c>
      <c r="BB196" s="61">
        <f t="shared" si="497"/>
        <v>160268.97</v>
      </c>
    </row>
    <row r="197" spans="1:54" x14ac:dyDescent="0.25">
      <c r="A197" s="62" t="s">
        <v>168</v>
      </c>
      <c r="B197" s="80">
        <f>'FY24'!B197*1.03</f>
        <v>16359.078000000001</v>
      </c>
      <c r="C197" s="7"/>
      <c r="D197" s="7"/>
      <c r="E197" s="7"/>
      <c r="F197" s="61">
        <f t="shared" si="488"/>
        <v>16359.078000000001</v>
      </c>
      <c r="H197" s="80">
        <f>'FY24'!H197*1.03</f>
        <v>50923.200000000004</v>
      </c>
      <c r="I197" s="7"/>
      <c r="J197" s="7"/>
      <c r="K197" s="7"/>
      <c r="L197" s="61">
        <f t="shared" si="489"/>
        <v>50923.200000000004</v>
      </c>
      <c r="N197" s="80">
        <f>'FY24'!N197*1.03</f>
        <v>15276.960000000001</v>
      </c>
      <c r="O197" s="7"/>
      <c r="P197" s="7"/>
      <c r="Q197" s="7"/>
      <c r="R197" s="61">
        <f t="shared" si="490"/>
        <v>15276.960000000001</v>
      </c>
      <c r="T197" s="80">
        <f>'FY24'!T197*1.03</f>
        <v>31190.46</v>
      </c>
      <c r="U197" s="7"/>
      <c r="V197" s="7"/>
      <c r="W197" s="7"/>
      <c r="X197" s="61">
        <f t="shared" si="491"/>
        <v>31190.46</v>
      </c>
      <c r="Z197" s="80">
        <f>'FY24'!Z197*1.02</f>
        <v>50428.800000000003</v>
      </c>
      <c r="AA197" s="7"/>
      <c r="AB197" s="7"/>
      <c r="AC197" s="7"/>
      <c r="AD197" s="61">
        <f t="shared" si="492"/>
        <v>50428.800000000003</v>
      </c>
      <c r="AF197" s="80">
        <f>'FY24'!AF197*1.02</f>
        <v>12240</v>
      </c>
      <c r="AG197" s="7"/>
      <c r="AH197" s="7"/>
      <c r="AI197" s="7"/>
      <c r="AJ197" s="61">
        <f t="shared" si="493"/>
        <v>12240</v>
      </c>
      <c r="AL197" s="61">
        <v>0</v>
      </c>
      <c r="AM197" s="7"/>
      <c r="AN197" s="7"/>
      <c r="AO197" s="7"/>
      <c r="AP197" s="61">
        <f t="shared" si="494"/>
        <v>0</v>
      </c>
      <c r="AR197" s="61">
        <v>0</v>
      </c>
      <c r="AS197" s="7"/>
      <c r="AT197" s="7"/>
      <c r="AU197" s="7"/>
      <c r="AV197" s="61">
        <f t="shared" si="495"/>
        <v>0</v>
      </c>
      <c r="AX197" s="7">
        <f t="shared" si="498"/>
        <v>176418.49800000002</v>
      </c>
      <c r="AY197" s="7">
        <f t="shared" si="496"/>
        <v>0</v>
      </c>
      <c r="AZ197" s="7">
        <f t="shared" si="496"/>
        <v>0</v>
      </c>
      <c r="BA197" s="7">
        <f t="shared" si="496"/>
        <v>0</v>
      </c>
      <c r="BB197" s="61">
        <f t="shared" si="497"/>
        <v>176418.49800000002</v>
      </c>
    </row>
    <row r="198" spans="1:54" x14ac:dyDescent="0.25">
      <c r="A198" s="62" t="s">
        <v>169</v>
      </c>
      <c r="B198" s="80">
        <f>'FY24'!B198*1.03</f>
        <v>6895.85</v>
      </c>
      <c r="C198" s="7"/>
      <c r="D198" s="7"/>
      <c r="E198" s="7"/>
      <c r="F198" s="61">
        <f t="shared" si="488"/>
        <v>6895.85</v>
      </c>
      <c r="H198" s="80">
        <f>'FY24'!H198*1.03</f>
        <v>21748.45</v>
      </c>
      <c r="I198" s="7"/>
      <c r="J198" s="7"/>
      <c r="K198" s="7"/>
      <c r="L198" s="61">
        <f t="shared" si="489"/>
        <v>21748.45</v>
      </c>
      <c r="N198" s="80">
        <f>'FY24'!N198*1.03</f>
        <v>7426.3</v>
      </c>
      <c r="O198" s="7"/>
      <c r="P198" s="7"/>
      <c r="Q198" s="7"/>
      <c r="R198" s="61">
        <f t="shared" si="490"/>
        <v>7426.3</v>
      </c>
      <c r="T198" s="80">
        <f>'FY24'!T198*1.03</f>
        <v>9017.65</v>
      </c>
      <c r="U198" s="7"/>
      <c r="V198" s="7"/>
      <c r="W198" s="7"/>
      <c r="X198" s="61">
        <f t="shared" si="491"/>
        <v>9017.65</v>
      </c>
      <c r="Z198" s="80">
        <f>'FY24'!Z198*1.02</f>
        <v>21012</v>
      </c>
      <c r="AA198" s="7"/>
      <c r="AB198" s="7"/>
      <c r="AC198" s="7"/>
      <c r="AD198" s="61">
        <f t="shared" si="492"/>
        <v>21012</v>
      </c>
      <c r="AF198" s="80">
        <f>'FY24'!AF198*1.02</f>
        <v>6120</v>
      </c>
      <c r="AG198" s="7"/>
      <c r="AH198" s="7"/>
      <c r="AI198" s="7"/>
      <c r="AJ198" s="61">
        <f t="shared" si="493"/>
        <v>6120</v>
      </c>
      <c r="AL198" s="61">
        <v>0</v>
      </c>
      <c r="AM198" s="7"/>
      <c r="AN198" s="7"/>
      <c r="AO198" s="7"/>
      <c r="AP198" s="61">
        <f t="shared" si="494"/>
        <v>0</v>
      </c>
      <c r="AR198" s="61">
        <v>0</v>
      </c>
      <c r="AS198" s="7"/>
      <c r="AT198" s="7"/>
      <c r="AU198" s="7"/>
      <c r="AV198" s="61">
        <f t="shared" si="495"/>
        <v>0</v>
      </c>
      <c r="AX198" s="7">
        <f t="shared" si="498"/>
        <v>72220.25</v>
      </c>
      <c r="AY198" s="7">
        <f t="shared" si="496"/>
        <v>0</v>
      </c>
      <c r="AZ198" s="7">
        <f t="shared" si="496"/>
        <v>0</v>
      </c>
      <c r="BA198" s="7">
        <f t="shared" si="496"/>
        <v>0</v>
      </c>
      <c r="BB198" s="61">
        <f t="shared" si="497"/>
        <v>72220.25</v>
      </c>
    </row>
    <row r="199" spans="1:54" x14ac:dyDescent="0.25">
      <c r="A199" s="62" t="s">
        <v>170</v>
      </c>
      <c r="B199" s="80">
        <f>'FY24'!B199*1.03</f>
        <v>88920.659625</v>
      </c>
      <c r="C199" s="11"/>
      <c r="D199" s="11"/>
      <c r="E199" s="11"/>
      <c r="F199" s="61">
        <f t="shared" si="488"/>
        <v>88920.659625</v>
      </c>
      <c r="H199" s="80">
        <f>'FY24'!H199*1.03</f>
        <v>325312.83769499999</v>
      </c>
      <c r="I199" s="11"/>
      <c r="J199" s="11"/>
      <c r="K199" s="11"/>
      <c r="L199" s="61">
        <f t="shared" si="489"/>
        <v>325312.83769499999</v>
      </c>
      <c r="N199" s="80">
        <f>'FY24'!N199*1.03</f>
        <v>103543.53233900001</v>
      </c>
      <c r="O199" s="11"/>
      <c r="P199" s="11"/>
      <c r="Q199" s="11"/>
      <c r="R199" s="61">
        <f t="shared" si="490"/>
        <v>103543.53233900001</v>
      </c>
      <c r="T199" s="80">
        <f>'FY24'!T199*1.03</f>
        <v>119112.70663500002</v>
      </c>
      <c r="U199" s="11"/>
      <c r="V199" s="11"/>
      <c r="W199" s="11"/>
      <c r="X199" s="61">
        <f t="shared" si="491"/>
        <v>119112.70663500002</v>
      </c>
      <c r="Z199" s="80">
        <f>'FY24'!Z199*1.02</f>
        <v>275937.92576400004</v>
      </c>
      <c r="AA199" s="11"/>
      <c r="AB199" s="11"/>
      <c r="AC199" s="11"/>
      <c r="AD199" s="61">
        <f t="shared" si="492"/>
        <v>275937.92576400004</v>
      </c>
      <c r="AF199" s="80">
        <f>'FY24'!AF199*1.02</f>
        <v>83538</v>
      </c>
      <c r="AG199" s="11"/>
      <c r="AH199" s="11"/>
      <c r="AI199" s="11"/>
      <c r="AJ199" s="61">
        <f t="shared" si="493"/>
        <v>83538</v>
      </c>
      <c r="AL199" s="61">
        <v>0</v>
      </c>
      <c r="AM199" s="11"/>
      <c r="AN199" s="11"/>
      <c r="AO199" s="11"/>
      <c r="AP199" s="61">
        <f t="shared" si="494"/>
        <v>0</v>
      </c>
      <c r="AR199" s="61">
        <v>0</v>
      </c>
      <c r="AS199" s="11"/>
      <c r="AT199" s="11"/>
      <c r="AU199" s="11"/>
      <c r="AV199" s="61">
        <f t="shared" si="495"/>
        <v>0</v>
      </c>
      <c r="AX199" s="7">
        <f t="shared" si="498"/>
        <v>996365.6620580001</v>
      </c>
      <c r="AY199" s="7">
        <f t="shared" si="496"/>
        <v>0</v>
      </c>
      <c r="AZ199" s="7">
        <f t="shared" si="496"/>
        <v>0</v>
      </c>
      <c r="BA199" s="7">
        <f t="shared" si="496"/>
        <v>0</v>
      </c>
      <c r="BB199" s="61">
        <f t="shared" si="497"/>
        <v>996365.6620580001</v>
      </c>
    </row>
    <row r="200" spans="1:54" x14ac:dyDescent="0.25">
      <c r="A200" s="62" t="s">
        <v>171</v>
      </c>
      <c r="B200" s="15">
        <f>32*B19</f>
        <v>29952</v>
      </c>
      <c r="C200" s="7"/>
      <c r="D200" s="7"/>
      <c r="E200" s="7"/>
      <c r="F200" s="61">
        <f t="shared" si="488"/>
        <v>29952</v>
      </c>
      <c r="H200" s="15">
        <f>32*H19</f>
        <v>77408</v>
      </c>
      <c r="I200" s="7"/>
      <c r="J200" s="7"/>
      <c r="K200" s="7"/>
      <c r="L200" s="61">
        <f t="shared" si="489"/>
        <v>77408</v>
      </c>
      <c r="N200" s="15">
        <f>32*N19</f>
        <v>32512</v>
      </c>
      <c r="O200" s="7"/>
      <c r="P200" s="7"/>
      <c r="Q200" s="7"/>
      <c r="R200" s="61">
        <f t="shared" si="490"/>
        <v>32512</v>
      </c>
      <c r="T200" s="15">
        <f>32*T19</f>
        <v>38880</v>
      </c>
      <c r="U200" s="7"/>
      <c r="V200" s="7"/>
      <c r="W200" s="7"/>
      <c r="X200" s="61">
        <f t="shared" si="491"/>
        <v>38880</v>
      </c>
      <c r="Z200" s="15">
        <f>32*Z19</f>
        <v>76000</v>
      </c>
      <c r="AA200" s="7"/>
      <c r="AB200" s="7"/>
      <c r="AC200" s="7"/>
      <c r="AD200" s="61">
        <f t="shared" si="492"/>
        <v>76000</v>
      </c>
      <c r="AF200" s="15">
        <f>32*AF19</f>
        <v>26080</v>
      </c>
      <c r="AG200" s="7"/>
      <c r="AH200" s="7"/>
      <c r="AI200" s="7"/>
      <c r="AJ200" s="61">
        <f t="shared" si="493"/>
        <v>26080</v>
      </c>
      <c r="AL200" s="61">
        <v>0</v>
      </c>
      <c r="AM200" s="7"/>
      <c r="AN200" s="7"/>
      <c r="AO200" s="7"/>
      <c r="AP200" s="61">
        <f t="shared" si="494"/>
        <v>0</v>
      </c>
      <c r="AR200" s="61">
        <v>0</v>
      </c>
      <c r="AS200" s="7"/>
      <c r="AT200" s="7"/>
      <c r="AU200" s="7"/>
      <c r="AV200" s="61">
        <f t="shared" si="495"/>
        <v>0</v>
      </c>
      <c r="AX200" s="7">
        <f t="shared" si="498"/>
        <v>280832</v>
      </c>
      <c r="AY200" s="7">
        <f t="shared" si="496"/>
        <v>0</v>
      </c>
      <c r="AZ200" s="7">
        <f t="shared" si="496"/>
        <v>0</v>
      </c>
      <c r="BA200" s="7">
        <f t="shared" si="496"/>
        <v>0</v>
      </c>
      <c r="BB200" s="61">
        <f t="shared" si="497"/>
        <v>280832</v>
      </c>
    </row>
    <row r="201" spans="1:54" x14ac:dyDescent="0.25">
      <c r="A201" s="62" t="s">
        <v>173</v>
      </c>
      <c r="B201" s="80">
        <f>'FY24'!B201+2500</f>
        <v>60000</v>
      </c>
      <c r="C201" s="7"/>
      <c r="D201" s="7"/>
      <c r="E201" s="7">
        <v>0</v>
      </c>
      <c r="F201" s="61">
        <f t="shared" si="488"/>
        <v>60000</v>
      </c>
      <c r="H201" s="80">
        <f>'FY24'!H201+2500</f>
        <v>110000</v>
      </c>
      <c r="I201" s="7"/>
      <c r="J201" s="7"/>
      <c r="K201" s="7">
        <v>0</v>
      </c>
      <c r="L201" s="61">
        <f t="shared" si="489"/>
        <v>110000</v>
      </c>
      <c r="N201" s="80">
        <f>'FY24'!N201+2500</f>
        <v>62500</v>
      </c>
      <c r="O201" s="7"/>
      <c r="P201" s="7"/>
      <c r="Q201" s="7">
        <v>0</v>
      </c>
      <c r="R201" s="61">
        <f t="shared" si="490"/>
        <v>62500</v>
      </c>
      <c r="T201" s="80">
        <f>'FY24'!T201+2500</f>
        <v>65000</v>
      </c>
      <c r="U201" s="7"/>
      <c r="V201" s="7"/>
      <c r="W201" s="7">
        <v>0</v>
      </c>
      <c r="X201" s="61">
        <f t="shared" si="491"/>
        <v>65000</v>
      </c>
      <c r="Z201" s="80">
        <f>'FY24'!Z201+1500</f>
        <v>69000</v>
      </c>
      <c r="AA201" s="7"/>
      <c r="AB201" s="7"/>
      <c r="AC201" s="7">
        <v>0</v>
      </c>
      <c r="AD201" s="61">
        <f t="shared" si="492"/>
        <v>69000</v>
      </c>
      <c r="AF201" s="80">
        <v>35000</v>
      </c>
      <c r="AG201" s="7"/>
      <c r="AH201" s="7"/>
      <c r="AI201" s="7">
        <v>0</v>
      </c>
      <c r="AJ201" s="61">
        <f t="shared" si="493"/>
        <v>35000</v>
      </c>
      <c r="AL201" s="61">
        <v>0</v>
      </c>
      <c r="AM201" s="7"/>
      <c r="AN201" s="7"/>
      <c r="AO201" s="7">
        <v>0</v>
      </c>
      <c r="AP201" s="61">
        <f t="shared" si="494"/>
        <v>0</v>
      </c>
      <c r="AR201" s="61">
        <v>0</v>
      </c>
      <c r="AS201" s="7"/>
      <c r="AT201" s="7"/>
      <c r="AU201" s="7">
        <v>0</v>
      </c>
      <c r="AV201" s="61">
        <f t="shared" si="495"/>
        <v>0</v>
      </c>
      <c r="AX201" s="7">
        <f t="shared" si="498"/>
        <v>401500</v>
      </c>
      <c r="AY201" s="7">
        <f t="shared" si="496"/>
        <v>0</v>
      </c>
      <c r="AZ201" s="7">
        <f t="shared" si="496"/>
        <v>0</v>
      </c>
      <c r="BA201" s="7">
        <f t="shared" si="496"/>
        <v>0</v>
      </c>
      <c r="BB201" s="61">
        <f t="shared" si="497"/>
        <v>401500</v>
      </c>
    </row>
    <row r="202" spans="1:54" x14ac:dyDescent="0.25">
      <c r="A202" s="62" t="s">
        <v>174</v>
      </c>
      <c r="B202" s="80">
        <f>'FY24'!B202*1.03</f>
        <v>12476.184000000001</v>
      </c>
      <c r="C202" s="11"/>
      <c r="D202" s="11"/>
      <c r="E202" s="11"/>
      <c r="F202" s="61">
        <f t="shared" si="488"/>
        <v>12476.184000000001</v>
      </c>
      <c r="H202" s="80">
        <f>'FY24'!H202*1.03</f>
        <v>33863.928</v>
      </c>
      <c r="I202" s="11"/>
      <c r="J202" s="11"/>
      <c r="K202" s="11"/>
      <c r="L202" s="61">
        <f t="shared" si="489"/>
        <v>33863.928</v>
      </c>
      <c r="N202" s="80">
        <f>'FY24'!N202*1.03</f>
        <v>17600.331000000002</v>
      </c>
      <c r="O202" s="11"/>
      <c r="P202" s="11"/>
      <c r="Q202" s="11"/>
      <c r="R202" s="61">
        <f t="shared" si="490"/>
        <v>17600.331000000002</v>
      </c>
      <c r="T202" s="80">
        <f>'FY24'!T202*1.03</f>
        <v>14147.101500000001</v>
      </c>
      <c r="U202" s="11"/>
      <c r="V202" s="11"/>
      <c r="W202" s="11"/>
      <c r="X202" s="61">
        <f t="shared" si="491"/>
        <v>14147.101500000001</v>
      </c>
      <c r="Z202" s="80">
        <f>'FY24'!Z202*1.02</f>
        <v>28615.192200000001</v>
      </c>
      <c r="AA202" s="11"/>
      <c r="AB202" s="11"/>
      <c r="AC202" s="11"/>
      <c r="AD202" s="61">
        <f t="shared" si="492"/>
        <v>28615.192200000001</v>
      </c>
      <c r="AF202" s="80">
        <f>'FY24'!AF202*1.02</f>
        <v>12240</v>
      </c>
      <c r="AG202" s="11"/>
      <c r="AH202" s="11"/>
      <c r="AI202" s="11"/>
      <c r="AJ202" s="61">
        <f t="shared" si="493"/>
        <v>12240</v>
      </c>
      <c r="AL202" s="61">
        <v>0</v>
      </c>
      <c r="AM202" s="11"/>
      <c r="AN202" s="11"/>
      <c r="AO202" s="11"/>
      <c r="AP202" s="61">
        <f t="shared" si="494"/>
        <v>0</v>
      </c>
      <c r="AR202" s="61">
        <v>0</v>
      </c>
      <c r="AS202" s="11"/>
      <c r="AT202" s="11"/>
      <c r="AU202" s="11"/>
      <c r="AV202" s="61">
        <f t="shared" si="495"/>
        <v>0</v>
      </c>
      <c r="AX202" s="7">
        <f t="shared" si="498"/>
        <v>118942.73670000001</v>
      </c>
      <c r="AY202" s="7">
        <f t="shared" si="496"/>
        <v>0</v>
      </c>
      <c r="AZ202" s="7">
        <f t="shared" si="496"/>
        <v>0</v>
      </c>
      <c r="BA202" s="7">
        <f t="shared" si="496"/>
        <v>0</v>
      </c>
      <c r="BB202" s="61">
        <f t="shared" si="497"/>
        <v>118942.73670000001</v>
      </c>
    </row>
    <row r="203" spans="1:54" x14ac:dyDescent="0.25">
      <c r="A203" s="62" t="s">
        <v>175</v>
      </c>
      <c r="B203" s="80">
        <f>'FY24'!B203*1.03</f>
        <v>0</v>
      </c>
      <c r="C203" s="7"/>
      <c r="D203" s="7"/>
      <c r="E203" s="7"/>
      <c r="F203" s="61">
        <f t="shared" si="488"/>
        <v>0</v>
      </c>
      <c r="H203" s="80">
        <f>'FY24'!H203*1.03</f>
        <v>0</v>
      </c>
      <c r="I203" s="7"/>
      <c r="J203" s="7"/>
      <c r="K203" s="7"/>
      <c r="L203" s="61">
        <f t="shared" si="489"/>
        <v>0</v>
      </c>
      <c r="N203" s="80">
        <f>'FY24'!N203*1.03</f>
        <v>0</v>
      </c>
      <c r="O203" s="7"/>
      <c r="P203" s="7"/>
      <c r="Q203" s="7"/>
      <c r="R203" s="61">
        <f t="shared" si="490"/>
        <v>0</v>
      </c>
      <c r="T203" s="80">
        <f>'FY24'!T203*1.03</f>
        <v>0</v>
      </c>
      <c r="U203" s="7"/>
      <c r="V203" s="7"/>
      <c r="W203" s="7"/>
      <c r="X203" s="61">
        <f t="shared" si="491"/>
        <v>0</v>
      </c>
      <c r="Z203" s="80">
        <f>'FY24'!Z203*1.02</f>
        <v>0</v>
      </c>
      <c r="AA203" s="7"/>
      <c r="AB203" s="7"/>
      <c r="AC203" s="7"/>
      <c r="AD203" s="61">
        <f t="shared" si="492"/>
        <v>0</v>
      </c>
      <c r="AF203" s="80">
        <f>'FY24'!AF203*1.02</f>
        <v>0</v>
      </c>
      <c r="AG203" s="7"/>
      <c r="AH203" s="7"/>
      <c r="AI203" s="7"/>
      <c r="AJ203" s="61">
        <f t="shared" si="493"/>
        <v>0</v>
      </c>
      <c r="AL203" s="61">
        <v>0</v>
      </c>
      <c r="AM203" s="7"/>
      <c r="AN203" s="7"/>
      <c r="AO203" s="7"/>
      <c r="AP203" s="61">
        <f t="shared" si="494"/>
        <v>0</v>
      </c>
      <c r="AR203" s="61">
        <v>0</v>
      </c>
      <c r="AS203" s="7"/>
      <c r="AT203" s="7"/>
      <c r="AU203" s="7"/>
      <c r="AV203" s="61">
        <f t="shared" si="495"/>
        <v>0</v>
      </c>
      <c r="AX203" s="7">
        <f t="shared" si="498"/>
        <v>0</v>
      </c>
      <c r="AY203" s="7">
        <f t="shared" si="496"/>
        <v>0</v>
      </c>
      <c r="AZ203" s="7">
        <f t="shared" si="496"/>
        <v>0</v>
      </c>
      <c r="BA203" s="7">
        <f t="shared" si="496"/>
        <v>0</v>
      </c>
      <c r="BB203" s="61">
        <f t="shared" si="497"/>
        <v>0</v>
      </c>
    </row>
    <row r="204" spans="1:54" ht="15.75" thickBot="1" x14ac:dyDescent="0.3">
      <c r="A204" s="62" t="s">
        <v>176</v>
      </c>
      <c r="B204" s="80">
        <f>'FY24'!B204*1.03</f>
        <v>13861.931580000002</v>
      </c>
      <c r="C204" s="86"/>
      <c r="D204" s="86"/>
      <c r="E204" s="86"/>
      <c r="F204" s="61">
        <f t="shared" si="488"/>
        <v>13861.931580000002</v>
      </c>
      <c r="H204" s="80">
        <f>'FY24'!H204*1.03</f>
        <v>51798.442500000005</v>
      </c>
      <c r="I204" s="86"/>
      <c r="J204" s="86"/>
      <c r="K204" s="86"/>
      <c r="L204" s="61">
        <f t="shared" si="489"/>
        <v>51798.442500000005</v>
      </c>
      <c r="N204" s="80">
        <f>'FY24'!N204*1.03</f>
        <v>16040.808000000001</v>
      </c>
      <c r="O204" s="86"/>
      <c r="P204" s="86"/>
      <c r="Q204" s="86"/>
      <c r="R204" s="61">
        <f t="shared" si="490"/>
        <v>16040.808000000001</v>
      </c>
      <c r="T204" s="80">
        <f>'FY24'!T204*1.03</f>
        <v>19159.853999999999</v>
      </c>
      <c r="U204" s="86"/>
      <c r="V204" s="86"/>
      <c r="W204" s="86"/>
      <c r="X204" s="61">
        <f t="shared" si="491"/>
        <v>19159.853999999999</v>
      </c>
      <c r="Z204" s="80">
        <f>'FY24'!Z204*1.02</f>
        <v>50413.041000000005</v>
      </c>
      <c r="AA204" s="86"/>
      <c r="AB204" s="86"/>
      <c r="AC204" s="86"/>
      <c r="AD204" s="61">
        <f t="shared" si="492"/>
        <v>50413.041000000005</v>
      </c>
      <c r="AF204" s="80">
        <f>'FY24'!AF204*1.02</f>
        <v>12750</v>
      </c>
      <c r="AG204" s="86"/>
      <c r="AH204" s="86"/>
      <c r="AI204" s="86"/>
      <c r="AJ204" s="61">
        <f t="shared" si="493"/>
        <v>12750</v>
      </c>
      <c r="AL204" s="61">
        <v>0</v>
      </c>
      <c r="AM204" s="86"/>
      <c r="AN204" s="86"/>
      <c r="AO204" s="86"/>
      <c r="AP204" s="61">
        <f t="shared" si="494"/>
        <v>0</v>
      </c>
      <c r="AR204" s="61">
        <v>0</v>
      </c>
      <c r="AS204" s="86"/>
      <c r="AT204" s="86"/>
      <c r="AU204" s="86"/>
      <c r="AV204" s="61">
        <f t="shared" si="495"/>
        <v>0</v>
      </c>
      <c r="AX204" s="7">
        <f t="shared" si="498"/>
        <v>164024.07708000002</v>
      </c>
      <c r="AY204" s="7">
        <f t="shared" si="496"/>
        <v>0</v>
      </c>
      <c r="AZ204" s="7">
        <f t="shared" si="496"/>
        <v>0</v>
      </c>
      <c r="BA204" s="7">
        <f t="shared" si="496"/>
        <v>0</v>
      </c>
      <c r="BB204" s="61">
        <f t="shared" si="497"/>
        <v>164024.07708000002</v>
      </c>
    </row>
    <row r="205" spans="1:54" ht="15.75" thickBot="1" x14ac:dyDescent="0.3">
      <c r="A205" s="95" t="s">
        <v>177</v>
      </c>
      <c r="B205" s="90">
        <f>SUM(B194:B204)</f>
        <v>345207.13920500001</v>
      </c>
      <c r="C205" s="90">
        <f>SUM(C194:C204)</f>
        <v>0</v>
      </c>
      <c r="D205" s="90">
        <f>SUM(D194:D204)</f>
        <v>0</v>
      </c>
      <c r="E205" s="90">
        <f t="shared" ref="E205:F205" si="499">SUM(E194:E204)</f>
        <v>0</v>
      </c>
      <c r="F205" s="90">
        <f t="shared" si="499"/>
        <v>345207.13920500001</v>
      </c>
      <c r="H205" s="90">
        <f>SUM(H194:H204)</f>
        <v>937934.86219500005</v>
      </c>
      <c r="I205" s="90">
        <f>SUM(I194:I204)</f>
        <v>0</v>
      </c>
      <c r="J205" s="90">
        <f>SUM(J194:J204)</f>
        <v>0</v>
      </c>
      <c r="K205" s="90">
        <f t="shared" ref="K205:L205" si="500">SUM(K194:K204)</f>
        <v>0</v>
      </c>
      <c r="L205" s="90">
        <f t="shared" si="500"/>
        <v>937934.86219500005</v>
      </c>
      <c r="N205" s="90">
        <f>SUM(N194:N204)</f>
        <v>338923.21133900003</v>
      </c>
      <c r="O205" s="90">
        <f>SUM(O194:O204)</f>
        <v>0</v>
      </c>
      <c r="P205" s="90">
        <f>SUM(P194:P204)</f>
        <v>0</v>
      </c>
      <c r="Q205" s="90">
        <f t="shared" ref="Q205:R205" si="501">SUM(Q194:Q204)</f>
        <v>0</v>
      </c>
      <c r="R205" s="90">
        <f t="shared" si="501"/>
        <v>338923.21133900003</v>
      </c>
      <c r="T205" s="90">
        <f>SUM(T194:T204)</f>
        <v>391670.50213500002</v>
      </c>
      <c r="U205" s="90">
        <f>SUM(U194:U204)</f>
        <v>0</v>
      </c>
      <c r="V205" s="90">
        <f>SUM(V194:V204)</f>
        <v>0</v>
      </c>
      <c r="W205" s="90">
        <f t="shared" ref="W205:X205" si="502">SUM(W194:W204)</f>
        <v>0</v>
      </c>
      <c r="X205" s="90">
        <f t="shared" si="502"/>
        <v>391670.50213500002</v>
      </c>
      <c r="Z205" s="90">
        <f>SUM(Z194:Z204)</f>
        <v>836746.49496400007</v>
      </c>
      <c r="AA205" s="90">
        <f>SUM(AA194:AA204)</f>
        <v>0</v>
      </c>
      <c r="AB205" s="90">
        <f>SUM(AB194:AB204)</f>
        <v>0</v>
      </c>
      <c r="AC205" s="90">
        <f t="shared" ref="AC205:AD205" si="503">SUM(AC194:AC204)</f>
        <v>0</v>
      </c>
      <c r="AD205" s="90">
        <f t="shared" si="503"/>
        <v>836746.49496400007</v>
      </c>
      <c r="AF205" s="90">
        <f>SUM(AF194:AF204)</f>
        <v>288336</v>
      </c>
      <c r="AG205" s="90">
        <f>SUM(AG194:AG204)</f>
        <v>0</v>
      </c>
      <c r="AH205" s="90">
        <f>SUM(AH194:AH204)</f>
        <v>0</v>
      </c>
      <c r="AI205" s="90">
        <f t="shared" ref="AI205:AJ205" si="504">SUM(AI194:AI204)</f>
        <v>0</v>
      </c>
      <c r="AJ205" s="90">
        <f t="shared" si="504"/>
        <v>288336</v>
      </c>
      <c r="AL205" s="90">
        <f>SUM(AL194:AL204)</f>
        <v>0</v>
      </c>
      <c r="AM205" s="90">
        <f>SUM(AM194:AM204)</f>
        <v>0</v>
      </c>
      <c r="AN205" s="90">
        <f>SUM(AN194:AN204)</f>
        <v>0</v>
      </c>
      <c r="AO205" s="90">
        <f t="shared" ref="AO205:AP205" si="505">SUM(AO194:AO204)</f>
        <v>0</v>
      </c>
      <c r="AP205" s="90">
        <f t="shared" si="505"/>
        <v>0</v>
      </c>
      <c r="AR205" s="90">
        <f>SUM(AR194:AR204)</f>
        <v>0</v>
      </c>
      <c r="AS205" s="90">
        <f>SUM(AS194:AS204)</f>
        <v>0</v>
      </c>
      <c r="AT205" s="90">
        <f>SUM(AT194:AT204)</f>
        <v>0</v>
      </c>
      <c r="AU205" s="90">
        <f t="shared" ref="AU205:AV205" si="506">SUM(AU194:AU204)</f>
        <v>0</v>
      </c>
      <c r="AV205" s="90">
        <f t="shared" si="506"/>
        <v>0</v>
      </c>
      <c r="AX205" s="90">
        <f>SUM(AX194:AX204)</f>
        <v>3138818.2098380001</v>
      </c>
      <c r="AY205" s="90">
        <f>SUM(AY194:AY204)</f>
        <v>0</v>
      </c>
      <c r="AZ205" s="90">
        <f>SUM(AZ194:AZ204)</f>
        <v>0</v>
      </c>
      <c r="BA205" s="90">
        <f t="shared" ref="BA205:BB205" si="507">SUM(BA194:BA204)</f>
        <v>0</v>
      </c>
      <c r="BB205" s="90">
        <f t="shared" si="507"/>
        <v>3138818.2098380001</v>
      </c>
    </row>
    <row r="206" spans="1:54" ht="15.75" thickBot="1" x14ac:dyDescent="0.3">
      <c r="A206" s="102"/>
      <c r="B206" s="103"/>
      <c r="C206" s="103"/>
      <c r="D206" s="103"/>
      <c r="E206" s="103"/>
      <c r="F206" s="103"/>
      <c r="H206" s="103"/>
      <c r="I206" s="103"/>
      <c r="J206" s="103"/>
      <c r="K206" s="103"/>
      <c r="L206" s="103"/>
      <c r="N206" s="103"/>
      <c r="O206" s="103"/>
      <c r="P206" s="103"/>
      <c r="Q206" s="103"/>
      <c r="R206" s="103"/>
      <c r="T206" s="103"/>
      <c r="U206" s="103"/>
      <c r="V206" s="103"/>
      <c r="W206" s="103"/>
      <c r="X206" s="103"/>
      <c r="Z206" s="103"/>
      <c r="AA206" s="103"/>
      <c r="AB206" s="103"/>
      <c r="AC206" s="103"/>
      <c r="AD206" s="103"/>
      <c r="AF206" s="103"/>
      <c r="AG206" s="103"/>
      <c r="AH206" s="103"/>
      <c r="AI206" s="103"/>
      <c r="AJ206" s="103"/>
      <c r="AL206" s="103"/>
      <c r="AM206" s="103"/>
      <c r="AN206" s="103"/>
      <c r="AO206" s="103"/>
      <c r="AP206" s="103"/>
      <c r="AR206" s="103"/>
      <c r="AS206" s="103"/>
      <c r="AT206" s="103"/>
      <c r="AU206" s="103"/>
      <c r="AV206" s="103"/>
      <c r="AX206" s="103"/>
      <c r="AY206" s="103"/>
      <c r="AZ206" s="103"/>
      <c r="BA206" s="103"/>
      <c r="BB206" s="103"/>
    </row>
    <row r="207" spans="1:54" ht="15.75" thickBot="1" x14ac:dyDescent="0.3">
      <c r="A207" s="95" t="s">
        <v>178</v>
      </c>
      <c r="B207" s="104">
        <f>B139+B151+B167+B176+B181+B192+B205</f>
        <v>5391606.9435153138</v>
      </c>
      <c r="C207" s="104">
        <f>C139+C151+C167+C176+C181+C192+C205</f>
        <v>207087.07938729602</v>
      </c>
      <c r="D207" s="104">
        <f>D139+D151+D167+D176+D181+D192+D205</f>
        <v>846589.46996757179</v>
      </c>
      <c r="E207" s="104">
        <f>E139+E151+E167+E176+E181+E192+E205</f>
        <v>234651.96</v>
      </c>
      <c r="F207" s="104">
        <f>F139+F151+F167+F176+F181+F192+F205</f>
        <v>6679935.4528701808</v>
      </c>
      <c r="H207" s="104">
        <f>H139+H151+H167+H176+H181+H192+H205</f>
        <v>13635279.770634055</v>
      </c>
      <c r="I207" s="104">
        <f>I139+I151+I167+I176+I181+I192+I205</f>
        <v>285894.61322083202</v>
      </c>
      <c r="J207" s="104">
        <f>J139+J151+J167+J176+J181+J192+J205</f>
        <v>2281870.2421219251</v>
      </c>
      <c r="K207" s="104">
        <f>K139+K151+K167+K176+K181+K192+K205</f>
        <v>638831.4</v>
      </c>
      <c r="L207" s="104">
        <f>L139+L151+L167+L176+L181+L192+L205</f>
        <v>16841876.025976814</v>
      </c>
      <c r="N207" s="104">
        <f>N139+N151+N167+N176+N181+N192+N205</f>
        <v>5567886.3708066335</v>
      </c>
      <c r="O207" s="104">
        <f>O139+O151+O167+O176+O181+O192+O205</f>
        <v>286960.45841129601</v>
      </c>
      <c r="P207" s="104">
        <f>P139+P151+P167+P176+P181+P192+P205</f>
        <v>765284.48200000008</v>
      </c>
      <c r="Q207" s="104">
        <f>Q139+Q151+Q167+Q176+Q181+Q192+Q205</f>
        <v>203598.60000000003</v>
      </c>
      <c r="R207" s="104">
        <f>R139+R151+R167+R176+R181+R192+R205</f>
        <v>6823729.9112179307</v>
      </c>
      <c r="T207" s="104">
        <f>T139+T151+T167+T176+T181+T192+T205</f>
        <v>6806256.873456982</v>
      </c>
      <c r="U207" s="104">
        <f>U139+U151+U167+U176+U181+U192+U205</f>
        <v>182889.06</v>
      </c>
      <c r="V207" s="104">
        <f>V139+V151+V167+V176+V181+V192+V205</f>
        <v>912534.81132910762</v>
      </c>
      <c r="W207" s="104">
        <f>W139+W151+W167+W176+W181+W192+W205</f>
        <v>134682.9</v>
      </c>
      <c r="X207" s="104">
        <f>X139+X151+X167+X176+X181+X192+X205</f>
        <v>8036363.6447860897</v>
      </c>
      <c r="Z207" s="104">
        <f>Z139+Z151+Z167+Z176+Z181+Z192+Z205</f>
        <v>12189889.745873004</v>
      </c>
      <c r="AA207" s="104">
        <f>AA139+AA151+AA167+AA176+AA181+AA192+AA205</f>
        <v>257986.04399999999</v>
      </c>
      <c r="AB207" s="104">
        <f>AB139+AB151+AB167+AB176+AB181+AB192+AB205</f>
        <v>1828430.3040062252</v>
      </c>
      <c r="AC207" s="104">
        <f>AC139+AC151+AC167+AC176+AC181+AC192+AC205</f>
        <v>382822.8</v>
      </c>
      <c r="AD207" s="104">
        <f>AD139+AD151+AD167+AD176+AD181+AD192+AD205</f>
        <v>14659128.893879227</v>
      </c>
      <c r="AF207" s="104">
        <f>AF139+AF151+AF167+AF176+AF181+AF192+AF205</f>
        <v>4658798.4088554876</v>
      </c>
      <c r="AG207" s="104">
        <f>AG139+AG151+AG167+AG176+AG181+AG192+AG205</f>
        <v>164717.5</v>
      </c>
      <c r="AH207" s="104">
        <f>AH139+AH151+AH167+AH176+AH181+AH192+AH205</f>
        <v>598906.1</v>
      </c>
      <c r="AI207" s="104">
        <f>AI139+AI151+AI167+AI176+AI181+AI192+AI205</f>
        <v>329794.2</v>
      </c>
      <c r="AJ207" s="104">
        <f>AJ139+AJ151+AJ167+AJ176+AJ181+AJ192+AJ205</f>
        <v>5752216.2088554874</v>
      </c>
      <c r="AL207" s="104">
        <f>AL139+AL151+AL167+AL176+AL181+AL192+AL205</f>
        <v>231624.94355199998</v>
      </c>
      <c r="AM207" s="104">
        <f>AM139+AM151+AM167+AM176+AM181+AM192+AM205</f>
        <v>40486.166440000001</v>
      </c>
      <c r="AN207" s="104">
        <f>AN139+AN151+AN167+AN176+AN181+AN192+AN205</f>
        <v>0</v>
      </c>
      <c r="AO207" s="104">
        <f>AO139+AO151+AO167+AO176+AO181+AO192+AO205</f>
        <v>0</v>
      </c>
      <c r="AP207" s="104">
        <f>AP139+AP151+AP167+AP176+AP181+AP192+AP205</f>
        <v>272111.10999199998</v>
      </c>
      <c r="AR207" s="104">
        <f>AR139+AR151+AR167+AR176+AR181+AR192+AR205</f>
        <v>1481225.125</v>
      </c>
      <c r="AS207" s="104">
        <f>AS139+AS151+AS167+AS176+AS181+AS192+AS205</f>
        <v>7950</v>
      </c>
      <c r="AT207" s="104">
        <f>AT139+AT151+AT167+AT176+AT181+AT192+AT205</f>
        <v>168502.39999999999</v>
      </c>
      <c r="AU207" s="104">
        <f>AU139+AU151+AU167+AU176+AU181+AU192+AU205</f>
        <v>59200</v>
      </c>
      <c r="AV207" s="104">
        <f>AV139+AV151+AV167+AV176+AV181+AV192+AV205</f>
        <v>1716877.5249999999</v>
      </c>
      <c r="AX207" s="104">
        <f>AX139+AX151+AX167+AX176+AX181+AX192+AX205</f>
        <v>49962568.181693479</v>
      </c>
      <c r="AY207" s="104">
        <f>AY139+AY151+AY167+AY176+AY181+AY192+AY205</f>
        <v>1433970.9214594238</v>
      </c>
      <c r="AZ207" s="104">
        <f>AZ139+AZ151+AZ167+AZ176+AZ181+AZ192+AZ205</f>
        <v>7402117.8094248297</v>
      </c>
      <c r="BA207" s="104">
        <f>BA139+BA151+BA167+BA176+BA181+BA192+BA205</f>
        <v>1983581.8600000003</v>
      </c>
      <c r="BB207" s="104">
        <f>BB139+BB151+BB167+BB176+BB181+BB192+BB205</f>
        <v>60782238.77257774</v>
      </c>
    </row>
    <row r="208" spans="1:54" x14ac:dyDescent="0.25">
      <c r="A208" s="105"/>
      <c r="B208" s="61"/>
      <c r="C208" s="61"/>
      <c r="D208" s="61"/>
      <c r="E208" s="61"/>
      <c r="F208" s="61"/>
      <c r="H208" s="61"/>
      <c r="I208" s="61"/>
      <c r="J208" s="61"/>
      <c r="K208" s="61"/>
      <c r="L208" s="61"/>
      <c r="N208" s="61"/>
      <c r="O208" s="61"/>
      <c r="P208" s="61"/>
      <c r="Q208" s="61"/>
      <c r="R208" s="61"/>
      <c r="T208" s="61"/>
      <c r="U208" s="61"/>
      <c r="V208" s="61"/>
      <c r="W208" s="61"/>
      <c r="X208" s="61"/>
      <c r="Z208" s="61"/>
      <c r="AA208" s="61"/>
      <c r="AB208" s="61"/>
      <c r="AC208" s="61"/>
      <c r="AD208" s="61"/>
      <c r="AF208" s="61"/>
      <c r="AG208" s="61"/>
      <c r="AH208" s="61"/>
      <c r="AI208" s="61"/>
      <c r="AJ208" s="61"/>
      <c r="AL208" s="61"/>
      <c r="AM208" s="61"/>
      <c r="AN208" s="61"/>
      <c r="AO208" s="61"/>
      <c r="AP208" s="61"/>
      <c r="AR208" s="61"/>
      <c r="AS208" s="61"/>
      <c r="AT208" s="61"/>
      <c r="AU208" s="61"/>
      <c r="AV208" s="61"/>
      <c r="AX208" s="61"/>
      <c r="AY208" s="61"/>
      <c r="AZ208" s="61"/>
      <c r="BA208" s="61"/>
      <c r="BB208" s="61"/>
    </row>
    <row r="209" spans="1:54" x14ac:dyDescent="0.25">
      <c r="A209" s="106" t="s">
        <v>179</v>
      </c>
      <c r="B209" s="7">
        <v>0</v>
      </c>
      <c r="C209" s="7"/>
      <c r="D209" s="7"/>
      <c r="E209" s="7"/>
      <c r="F209" s="7">
        <f t="shared" ref="F209:F218" si="508">SUM(B209:E209)</f>
        <v>0</v>
      </c>
      <c r="H209" s="7">
        <v>0</v>
      </c>
      <c r="I209" s="7"/>
      <c r="J209" s="7"/>
      <c r="K209" s="7"/>
      <c r="L209" s="7">
        <f t="shared" ref="L209:L218" si="509">SUM(H209:K209)</f>
        <v>0</v>
      </c>
      <c r="N209" s="7">
        <v>0</v>
      </c>
      <c r="O209" s="7"/>
      <c r="P209" s="7"/>
      <c r="Q209" s="7"/>
      <c r="R209" s="7">
        <f t="shared" ref="R209:R218" si="510">SUM(N209:Q209)</f>
        <v>0</v>
      </c>
      <c r="T209" s="7">
        <v>0</v>
      </c>
      <c r="U209" s="7"/>
      <c r="V209" s="7"/>
      <c r="W209" s="7"/>
      <c r="X209" s="7">
        <f t="shared" ref="X209:X218" si="511">SUM(T209:W209)</f>
        <v>0</v>
      </c>
      <c r="Z209" s="7">
        <v>0</v>
      </c>
      <c r="AA209" s="7"/>
      <c r="AB209" s="7"/>
      <c r="AC209" s="7"/>
      <c r="AD209" s="7">
        <f t="shared" ref="AD209:AD218" si="512">SUM(Z209:AC209)</f>
        <v>0</v>
      </c>
      <c r="AF209" s="7">
        <v>1250000</v>
      </c>
      <c r="AG209" s="7"/>
      <c r="AH209" s="7"/>
      <c r="AI209" s="7"/>
      <c r="AJ209" s="7">
        <f t="shared" ref="AJ209:AJ218" si="513">SUM(AF209:AI209)</f>
        <v>1250000</v>
      </c>
      <c r="AL209" s="7">
        <v>0</v>
      </c>
      <c r="AM209" s="7"/>
      <c r="AN209" s="7"/>
      <c r="AO209" s="7"/>
      <c r="AP209" s="7">
        <f t="shared" ref="AP209:AP218" si="514">SUM(AL209:AO209)</f>
        <v>0</v>
      </c>
      <c r="AR209" s="7">
        <v>0</v>
      </c>
      <c r="AS209" s="7"/>
      <c r="AT209" s="7"/>
      <c r="AU209" s="7"/>
      <c r="AV209" s="7">
        <f t="shared" ref="AV209:AV218" si="515">SUM(AR209:AU209)</f>
        <v>0</v>
      </c>
      <c r="AX209" s="7">
        <f>B209+H209+N209+T209+Z209+AF209+AL209+AR209</f>
        <v>1250000</v>
      </c>
      <c r="AY209" s="7">
        <f t="shared" ref="AY209:BA217" si="516">C209+I209+O209+U209+AA209+AG209+AM209+AS209</f>
        <v>0</v>
      </c>
      <c r="AZ209" s="7">
        <f t="shared" si="516"/>
        <v>0</v>
      </c>
      <c r="BA209" s="7">
        <f t="shared" si="516"/>
        <v>0</v>
      </c>
      <c r="BB209" s="7">
        <f t="shared" ref="BB209:BB218" si="517">SUM(AX209:BA209)</f>
        <v>1250000</v>
      </c>
    </row>
    <row r="210" spans="1:54" s="212" customFormat="1" x14ac:dyDescent="0.25">
      <c r="A210" s="210" t="s">
        <v>180</v>
      </c>
      <c r="B210" s="15">
        <v>920746</v>
      </c>
      <c r="C210" s="15">
        <v>0</v>
      </c>
      <c r="D210" s="15"/>
      <c r="E210" s="15"/>
      <c r="F210" s="15">
        <f t="shared" si="508"/>
        <v>920746</v>
      </c>
      <c r="G210" s="211"/>
      <c r="H210" s="15">
        <v>0</v>
      </c>
      <c r="I210" s="15">
        <v>0</v>
      </c>
      <c r="J210" s="15"/>
      <c r="K210" s="15"/>
      <c r="L210" s="15">
        <f t="shared" si="509"/>
        <v>0</v>
      </c>
      <c r="M210" s="211"/>
      <c r="N210" s="15">
        <v>969206</v>
      </c>
      <c r="O210" s="15">
        <v>0</v>
      </c>
      <c r="P210" s="15"/>
      <c r="Q210" s="15"/>
      <c r="R210" s="15">
        <f t="shared" si="510"/>
        <v>969206</v>
      </c>
      <c r="S210" s="211"/>
      <c r="T210" s="15">
        <v>1163048</v>
      </c>
      <c r="U210" s="15">
        <v>0</v>
      </c>
      <c r="V210" s="15"/>
      <c r="W210" s="15"/>
      <c r="X210" s="15">
        <f t="shared" si="511"/>
        <v>1163048</v>
      </c>
      <c r="Y210" s="211"/>
      <c r="Z210" s="15">
        <v>0</v>
      </c>
      <c r="AA210" s="15">
        <v>0</v>
      </c>
      <c r="AB210" s="15"/>
      <c r="AC210" s="15"/>
      <c r="AD210" s="15">
        <f t="shared" si="512"/>
        <v>0</v>
      </c>
      <c r="AE210" s="211"/>
      <c r="AF210" s="15">
        <v>0</v>
      </c>
      <c r="AG210" s="15">
        <v>0</v>
      </c>
      <c r="AH210" s="15"/>
      <c r="AI210" s="15"/>
      <c r="AJ210" s="15">
        <f t="shared" si="513"/>
        <v>0</v>
      </c>
      <c r="AK210" s="211"/>
      <c r="AL210" s="15">
        <v>0</v>
      </c>
      <c r="AM210" s="15">
        <v>0</v>
      </c>
      <c r="AN210" s="15"/>
      <c r="AO210" s="15"/>
      <c r="AP210" s="15">
        <f t="shared" si="514"/>
        <v>0</v>
      </c>
      <c r="AQ210" s="211"/>
      <c r="AR210" s="7">
        <v>0</v>
      </c>
      <c r="AS210" s="7">
        <v>0</v>
      </c>
      <c r="AT210" s="7"/>
      <c r="AU210" s="7"/>
      <c r="AV210" s="7">
        <f t="shared" si="515"/>
        <v>0</v>
      </c>
      <c r="AW210"/>
      <c r="AX210" s="7">
        <f t="shared" ref="AX210:AX217" si="518">B210+H210+N210+T210+Z210+AF210+AL210+AR210</f>
        <v>3053000</v>
      </c>
      <c r="AY210" s="7">
        <f t="shared" si="516"/>
        <v>0</v>
      </c>
      <c r="AZ210" s="7">
        <f t="shared" si="516"/>
        <v>0</v>
      </c>
      <c r="BA210" s="7">
        <f t="shared" si="516"/>
        <v>0</v>
      </c>
      <c r="BB210" s="15">
        <f t="shared" si="517"/>
        <v>3053000</v>
      </c>
    </row>
    <row r="211" spans="1:54" x14ac:dyDescent="0.25">
      <c r="A211" s="210" t="s">
        <v>180</v>
      </c>
      <c r="B211" s="7"/>
      <c r="C211" s="7"/>
      <c r="D211" s="7"/>
      <c r="E211" s="7"/>
      <c r="F211" s="7">
        <f t="shared" si="508"/>
        <v>0</v>
      </c>
      <c r="H211" s="7">
        <v>2495000</v>
      </c>
      <c r="I211" s="7"/>
      <c r="J211" s="7"/>
      <c r="K211" s="7"/>
      <c r="L211" s="7">
        <f t="shared" si="509"/>
        <v>2495000</v>
      </c>
      <c r="N211" s="7"/>
      <c r="O211" s="7"/>
      <c r="P211" s="7"/>
      <c r="Q211" s="7"/>
      <c r="R211" s="7">
        <f t="shared" si="510"/>
        <v>0</v>
      </c>
      <c r="T211" s="7"/>
      <c r="U211" s="7"/>
      <c r="V211" s="7"/>
      <c r="W211" s="7"/>
      <c r="X211" s="7">
        <f t="shared" si="511"/>
        <v>0</v>
      </c>
      <c r="Z211" s="7"/>
      <c r="AA211" s="7"/>
      <c r="AB211" s="7"/>
      <c r="AC211" s="7"/>
      <c r="AD211" s="7">
        <f t="shared" si="512"/>
        <v>0</v>
      </c>
      <c r="AF211" s="7"/>
      <c r="AG211" s="7"/>
      <c r="AH211" s="7"/>
      <c r="AI211" s="7"/>
      <c r="AJ211" s="7">
        <f t="shared" si="513"/>
        <v>0</v>
      </c>
      <c r="AL211" s="7"/>
      <c r="AM211" s="7"/>
      <c r="AN211" s="7"/>
      <c r="AO211" s="7"/>
      <c r="AP211" s="7">
        <f t="shared" si="514"/>
        <v>0</v>
      </c>
      <c r="AR211" s="7"/>
      <c r="AS211" s="7"/>
      <c r="AT211" s="7"/>
      <c r="AU211" s="7"/>
      <c r="AV211" s="7">
        <f t="shared" si="515"/>
        <v>0</v>
      </c>
      <c r="AX211" s="7">
        <f t="shared" si="518"/>
        <v>2495000</v>
      </c>
      <c r="AY211" s="7">
        <f t="shared" si="516"/>
        <v>0</v>
      </c>
      <c r="AZ211" s="7">
        <f t="shared" si="516"/>
        <v>0</v>
      </c>
      <c r="BA211" s="7">
        <f t="shared" si="516"/>
        <v>0</v>
      </c>
      <c r="BB211" s="7">
        <f t="shared" si="517"/>
        <v>2495000</v>
      </c>
    </row>
    <row r="212" spans="1:54" hidden="1" x14ac:dyDescent="0.25">
      <c r="A212" s="210"/>
      <c r="B212" s="7"/>
      <c r="C212" s="7"/>
      <c r="D212" s="7"/>
      <c r="E212" s="7"/>
      <c r="F212" s="7">
        <f t="shared" si="508"/>
        <v>0</v>
      </c>
      <c r="H212" s="7"/>
      <c r="I212" s="7"/>
      <c r="J212" s="7"/>
      <c r="K212" s="7"/>
      <c r="L212" s="7">
        <f t="shared" si="509"/>
        <v>0</v>
      </c>
      <c r="N212" s="7"/>
      <c r="O212" s="7"/>
      <c r="P212" s="7"/>
      <c r="Q212" s="7"/>
      <c r="R212" s="7">
        <f t="shared" si="510"/>
        <v>0</v>
      </c>
      <c r="T212" s="7"/>
      <c r="U212" s="7"/>
      <c r="V212" s="7"/>
      <c r="W212" s="7"/>
      <c r="X212" s="7">
        <f t="shared" si="511"/>
        <v>0</v>
      </c>
      <c r="Z212" s="7"/>
      <c r="AA212" s="7"/>
      <c r="AB212" s="7"/>
      <c r="AC212" s="7"/>
      <c r="AD212" s="7">
        <f t="shared" si="512"/>
        <v>0</v>
      </c>
      <c r="AF212" s="7"/>
      <c r="AG212" s="7"/>
      <c r="AH212" s="7"/>
      <c r="AI212" s="7"/>
      <c r="AJ212" s="7">
        <f t="shared" si="513"/>
        <v>0</v>
      </c>
      <c r="AL212" s="7"/>
      <c r="AM212" s="7"/>
      <c r="AN212" s="7"/>
      <c r="AO212" s="7"/>
      <c r="AP212" s="7">
        <f t="shared" si="514"/>
        <v>0</v>
      </c>
      <c r="AR212" s="7"/>
      <c r="AS212" s="7"/>
      <c r="AT212" s="7"/>
      <c r="AU212" s="7"/>
      <c r="AV212" s="7">
        <f t="shared" si="515"/>
        <v>0</v>
      </c>
      <c r="AX212" s="7">
        <f t="shared" si="518"/>
        <v>0</v>
      </c>
      <c r="AY212" s="7">
        <f t="shared" si="516"/>
        <v>0</v>
      </c>
      <c r="AZ212" s="7">
        <f t="shared" si="516"/>
        <v>0</v>
      </c>
      <c r="BA212" s="7">
        <f t="shared" si="516"/>
        <v>0</v>
      </c>
      <c r="BB212" s="7">
        <f t="shared" si="517"/>
        <v>0</v>
      </c>
    </row>
    <row r="213" spans="1:54" hidden="1" x14ac:dyDescent="0.25">
      <c r="A213" s="106"/>
      <c r="B213" s="7"/>
      <c r="C213" s="7"/>
      <c r="D213" s="7"/>
      <c r="E213" s="7"/>
      <c r="F213" s="7">
        <f t="shared" si="508"/>
        <v>0</v>
      </c>
      <c r="H213" s="7"/>
      <c r="I213" s="7"/>
      <c r="J213" s="7"/>
      <c r="K213" s="7"/>
      <c r="L213" s="7">
        <f t="shared" si="509"/>
        <v>0</v>
      </c>
      <c r="N213" s="7"/>
      <c r="O213" s="7"/>
      <c r="P213" s="7"/>
      <c r="Q213" s="7"/>
      <c r="R213" s="7">
        <f t="shared" si="510"/>
        <v>0</v>
      </c>
      <c r="T213" s="7"/>
      <c r="U213" s="7"/>
      <c r="V213" s="7"/>
      <c r="W213" s="7"/>
      <c r="X213" s="7">
        <f t="shared" si="511"/>
        <v>0</v>
      </c>
      <c r="Z213" s="7"/>
      <c r="AA213" s="7"/>
      <c r="AB213" s="7"/>
      <c r="AC213" s="7"/>
      <c r="AD213" s="7">
        <f t="shared" si="512"/>
        <v>0</v>
      </c>
      <c r="AF213" s="7"/>
      <c r="AG213" s="7"/>
      <c r="AH213" s="7"/>
      <c r="AI213" s="7"/>
      <c r="AJ213" s="7">
        <f t="shared" si="513"/>
        <v>0</v>
      </c>
      <c r="AL213" s="7"/>
      <c r="AM213" s="7"/>
      <c r="AN213" s="7"/>
      <c r="AO213" s="7"/>
      <c r="AP213" s="7">
        <f t="shared" si="514"/>
        <v>0</v>
      </c>
      <c r="AR213" s="7"/>
      <c r="AS213" s="7"/>
      <c r="AT213" s="7"/>
      <c r="AU213" s="7"/>
      <c r="AV213" s="7">
        <f t="shared" si="515"/>
        <v>0</v>
      </c>
      <c r="AX213" s="7">
        <f t="shared" si="518"/>
        <v>0</v>
      </c>
      <c r="AY213" s="7">
        <f t="shared" si="516"/>
        <v>0</v>
      </c>
      <c r="AZ213" s="7">
        <f t="shared" si="516"/>
        <v>0</v>
      </c>
      <c r="BA213" s="7">
        <f t="shared" si="516"/>
        <v>0</v>
      </c>
      <c r="BB213" s="7">
        <f t="shared" si="517"/>
        <v>0</v>
      </c>
    </row>
    <row r="214" spans="1:54" hidden="1" x14ac:dyDescent="0.25">
      <c r="A214" s="106"/>
      <c r="B214" s="7"/>
      <c r="C214" s="7"/>
      <c r="D214" s="7"/>
      <c r="E214" s="7"/>
      <c r="F214" s="7">
        <f t="shared" si="508"/>
        <v>0</v>
      </c>
      <c r="H214" s="7"/>
      <c r="I214" s="7"/>
      <c r="J214" s="7"/>
      <c r="K214" s="7"/>
      <c r="L214" s="7">
        <f t="shared" si="509"/>
        <v>0</v>
      </c>
      <c r="N214" s="7"/>
      <c r="O214" s="7"/>
      <c r="P214" s="7"/>
      <c r="Q214" s="7"/>
      <c r="R214" s="7">
        <f t="shared" si="510"/>
        <v>0</v>
      </c>
      <c r="T214" s="7"/>
      <c r="U214" s="7"/>
      <c r="V214" s="7"/>
      <c r="W214" s="7"/>
      <c r="X214" s="7">
        <f t="shared" si="511"/>
        <v>0</v>
      </c>
      <c r="Z214" s="7"/>
      <c r="AA214" s="7"/>
      <c r="AB214" s="7"/>
      <c r="AC214" s="7"/>
      <c r="AD214" s="7">
        <f t="shared" si="512"/>
        <v>0</v>
      </c>
      <c r="AF214" s="7"/>
      <c r="AG214" s="7"/>
      <c r="AH214" s="7"/>
      <c r="AI214" s="7"/>
      <c r="AJ214" s="7">
        <f t="shared" si="513"/>
        <v>0</v>
      </c>
      <c r="AL214" s="7"/>
      <c r="AM214" s="7"/>
      <c r="AN214" s="7"/>
      <c r="AO214" s="7"/>
      <c r="AP214" s="7">
        <f t="shared" si="514"/>
        <v>0</v>
      </c>
      <c r="AR214" s="7"/>
      <c r="AS214" s="7"/>
      <c r="AT214" s="7"/>
      <c r="AU214" s="7"/>
      <c r="AV214" s="7">
        <f t="shared" si="515"/>
        <v>0</v>
      </c>
      <c r="AX214" s="7">
        <f t="shared" si="518"/>
        <v>0</v>
      </c>
      <c r="AY214" s="7">
        <f t="shared" si="516"/>
        <v>0</v>
      </c>
      <c r="AZ214" s="7">
        <f t="shared" si="516"/>
        <v>0</v>
      </c>
      <c r="BA214" s="7">
        <f t="shared" si="516"/>
        <v>0</v>
      </c>
      <c r="BB214" s="7">
        <f t="shared" si="517"/>
        <v>0</v>
      </c>
    </row>
    <row r="215" spans="1:54" hidden="1" x14ac:dyDescent="0.25">
      <c r="A215" s="106"/>
      <c r="B215" s="7"/>
      <c r="C215" s="7"/>
      <c r="D215" s="7"/>
      <c r="E215" s="7"/>
      <c r="F215" s="7">
        <f t="shared" si="508"/>
        <v>0</v>
      </c>
      <c r="H215" s="7"/>
      <c r="I215" s="7"/>
      <c r="J215" s="7"/>
      <c r="K215" s="7"/>
      <c r="L215" s="7">
        <f t="shared" si="509"/>
        <v>0</v>
      </c>
      <c r="N215" s="7"/>
      <c r="O215" s="7"/>
      <c r="P215" s="7"/>
      <c r="Q215" s="7"/>
      <c r="R215" s="7">
        <f t="shared" si="510"/>
        <v>0</v>
      </c>
      <c r="T215" s="7"/>
      <c r="U215" s="7"/>
      <c r="V215" s="7"/>
      <c r="W215" s="7"/>
      <c r="X215" s="7">
        <f t="shared" si="511"/>
        <v>0</v>
      </c>
      <c r="Z215" s="7"/>
      <c r="AA215" s="7"/>
      <c r="AB215" s="7"/>
      <c r="AC215" s="7"/>
      <c r="AD215" s="7">
        <f t="shared" si="512"/>
        <v>0</v>
      </c>
      <c r="AF215" s="7"/>
      <c r="AG215" s="7"/>
      <c r="AH215" s="7"/>
      <c r="AI215" s="7"/>
      <c r="AJ215" s="7">
        <f t="shared" si="513"/>
        <v>0</v>
      </c>
      <c r="AL215" s="7"/>
      <c r="AM215" s="7"/>
      <c r="AN215" s="7"/>
      <c r="AO215" s="7"/>
      <c r="AP215" s="7">
        <f t="shared" si="514"/>
        <v>0</v>
      </c>
      <c r="AR215" s="7"/>
      <c r="AS215" s="7"/>
      <c r="AT215" s="7"/>
      <c r="AU215" s="7"/>
      <c r="AV215" s="7">
        <f t="shared" si="515"/>
        <v>0</v>
      </c>
      <c r="AX215" s="7">
        <f t="shared" si="518"/>
        <v>0</v>
      </c>
      <c r="AY215" s="7">
        <f t="shared" si="516"/>
        <v>0</v>
      </c>
      <c r="AZ215" s="7">
        <f t="shared" si="516"/>
        <v>0</v>
      </c>
      <c r="BA215" s="7">
        <f t="shared" si="516"/>
        <v>0</v>
      </c>
      <c r="BB215" s="7">
        <f t="shared" si="517"/>
        <v>0</v>
      </c>
    </row>
    <row r="216" spans="1:54" x14ac:dyDescent="0.25">
      <c r="A216" s="106" t="s">
        <v>180</v>
      </c>
      <c r="B216" s="7"/>
      <c r="C216" s="7"/>
      <c r="D216" s="7"/>
      <c r="E216" s="7"/>
      <c r="F216" s="7">
        <f t="shared" si="508"/>
        <v>0</v>
      </c>
      <c r="H216" s="7"/>
      <c r="I216" s="7"/>
      <c r="J216" s="7"/>
      <c r="K216" s="7"/>
      <c r="L216" s="7">
        <f t="shared" si="509"/>
        <v>0</v>
      </c>
      <c r="N216" s="7"/>
      <c r="O216" s="7"/>
      <c r="P216" s="7"/>
      <c r="Q216" s="7"/>
      <c r="R216" s="7">
        <f t="shared" si="510"/>
        <v>0</v>
      </c>
      <c r="T216" s="7"/>
      <c r="U216" s="7"/>
      <c r="V216" s="7"/>
      <c r="W216" s="7"/>
      <c r="X216" s="7">
        <f t="shared" si="511"/>
        <v>0</v>
      </c>
      <c r="Z216" s="7">
        <v>3390000</v>
      </c>
      <c r="AA216" s="7"/>
      <c r="AB216" s="7"/>
      <c r="AC216" s="7"/>
      <c r="AD216" s="7">
        <f t="shared" si="512"/>
        <v>3390000</v>
      </c>
      <c r="AF216" s="7">
        <v>0</v>
      </c>
      <c r="AG216" s="7"/>
      <c r="AH216" s="7"/>
      <c r="AI216" s="7"/>
      <c r="AJ216" s="7">
        <f t="shared" si="513"/>
        <v>0</v>
      </c>
      <c r="AL216" s="7">
        <v>0</v>
      </c>
      <c r="AM216" s="7"/>
      <c r="AN216" s="7"/>
      <c r="AO216" s="7"/>
      <c r="AP216" s="7">
        <f t="shared" si="514"/>
        <v>0</v>
      </c>
      <c r="AR216" s="7"/>
      <c r="AS216" s="7"/>
      <c r="AT216" s="7"/>
      <c r="AU216" s="7"/>
      <c r="AV216" s="7">
        <f t="shared" si="515"/>
        <v>0</v>
      </c>
      <c r="AX216" s="7">
        <f t="shared" si="518"/>
        <v>3390000</v>
      </c>
      <c r="AY216" s="7">
        <f t="shared" si="516"/>
        <v>0</v>
      </c>
      <c r="AZ216" s="7">
        <f t="shared" si="516"/>
        <v>0</v>
      </c>
      <c r="BA216" s="7">
        <f t="shared" si="516"/>
        <v>0</v>
      </c>
      <c r="BB216" s="7">
        <f t="shared" si="517"/>
        <v>3390000</v>
      </c>
    </row>
    <row r="217" spans="1:54" x14ac:dyDescent="0.25">
      <c r="A217" s="107" t="s">
        <v>181</v>
      </c>
      <c r="B217" s="7">
        <v>30000</v>
      </c>
      <c r="C217" s="7">
        <v>0</v>
      </c>
      <c r="D217" s="7"/>
      <c r="E217" s="7"/>
      <c r="F217" s="7">
        <f t="shared" si="508"/>
        <v>30000</v>
      </c>
      <c r="H217" s="7"/>
      <c r="I217" s="7">
        <v>0</v>
      </c>
      <c r="J217" s="7"/>
      <c r="K217" s="7"/>
      <c r="L217" s="7">
        <f t="shared" si="509"/>
        <v>0</v>
      </c>
      <c r="N217" s="7"/>
      <c r="O217" s="7">
        <v>0</v>
      </c>
      <c r="P217" s="7"/>
      <c r="Q217" s="7"/>
      <c r="R217" s="7">
        <f t="shared" si="510"/>
        <v>0</v>
      </c>
      <c r="T217" s="7"/>
      <c r="U217" s="7">
        <v>0</v>
      </c>
      <c r="V217" s="7"/>
      <c r="W217" s="7"/>
      <c r="X217" s="7">
        <f t="shared" si="511"/>
        <v>0</v>
      </c>
      <c r="Z217" s="7"/>
      <c r="AA217" s="7">
        <v>0</v>
      </c>
      <c r="AB217" s="7"/>
      <c r="AC217" s="7"/>
      <c r="AD217" s="7">
        <f t="shared" si="512"/>
        <v>0</v>
      </c>
      <c r="AF217" s="7"/>
      <c r="AG217" s="7">
        <v>0</v>
      </c>
      <c r="AH217" s="7"/>
      <c r="AI217" s="7"/>
      <c r="AJ217" s="7">
        <f t="shared" si="513"/>
        <v>0</v>
      </c>
      <c r="AL217" s="7"/>
      <c r="AM217" s="7">
        <v>0</v>
      </c>
      <c r="AN217" s="7"/>
      <c r="AO217" s="7"/>
      <c r="AP217" s="7">
        <f t="shared" si="514"/>
        <v>0</v>
      </c>
      <c r="AR217" s="7">
        <v>0</v>
      </c>
      <c r="AS217" s="7">
        <v>0</v>
      </c>
      <c r="AT217" s="7"/>
      <c r="AU217" s="7"/>
      <c r="AV217" s="7">
        <f t="shared" si="515"/>
        <v>0</v>
      </c>
      <c r="AX217" s="7">
        <f t="shared" si="518"/>
        <v>30000</v>
      </c>
      <c r="AY217" s="7">
        <f t="shared" si="516"/>
        <v>0</v>
      </c>
      <c r="AZ217" s="7">
        <f t="shared" si="516"/>
        <v>0</v>
      </c>
      <c r="BA217" s="7">
        <f t="shared" si="516"/>
        <v>0</v>
      </c>
      <c r="BB217" s="7">
        <f t="shared" si="517"/>
        <v>30000</v>
      </c>
    </row>
    <row r="218" spans="1:54" x14ac:dyDescent="0.25">
      <c r="A218" s="146"/>
      <c r="B218" s="7"/>
      <c r="C218" s="7"/>
      <c r="D218" s="7"/>
      <c r="E218" s="7"/>
      <c r="F218" s="7">
        <f t="shared" si="508"/>
        <v>0</v>
      </c>
      <c r="H218" s="7"/>
      <c r="I218" s="7"/>
      <c r="J218" s="7"/>
      <c r="K218" s="7"/>
      <c r="L218" s="7">
        <f t="shared" si="509"/>
        <v>0</v>
      </c>
      <c r="N218" s="7"/>
      <c r="O218" s="7"/>
      <c r="P218" s="7"/>
      <c r="Q218" s="7"/>
      <c r="R218" s="7">
        <f t="shared" si="510"/>
        <v>0</v>
      </c>
      <c r="T218" s="7"/>
      <c r="U218" s="7"/>
      <c r="V218" s="7"/>
      <c r="W218" s="7"/>
      <c r="X218" s="7">
        <f t="shared" si="511"/>
        <v>0</v>
      </c>
      <c r="Z218" s="7"/>
      <c r="AA218" s="7"/>
      <c r="AB218" s="7"/>
      <c r="AC218" s="7"/>
      <c r="AD218" s="7">
        <f t="shared" si="512"/>
        <v>0</v>
      </c>
      <c r="AF218" s="7"/>
      <c r="AG218" s="7"/>
      <c r="AH218" s="7"/>
      <c r="AI218" s="7"/>
      <c r="AJ218" s="7">
        <f t="shared" si="513"/>
        <v>0</v>
      </c>
      <c r="AL218" s="7"/>
      <c r="AM218" s="7"/>
      <c r="AN218" s="7"/>
      <c r="AO218" s="7"/>
      <c r="AP218" s="7">
        <f t="shared" si="514"/>
        <v>0</v>
      </c>
      <c r="AR218" s="7"/>
      <c r="AS218" s="7"/>
      <c r="AT218" s="7"/>
      <c r="AU218" s="7"/>
      <c r="AV218" s="7">
        <f t="shared" si="515"/>
        <v>0</v>
      </c>
      <c r="AX218" s="7">
        <f t="shared" ref="AX218:AX219" si="519">B218+H218+N218+T218+Z218+AL218+AR218</f>
        <v>0</v>
      </c>
      <c r="AY218" s="7">
        <f t="shared" ref="AY218:BA219" si="520">C218+I218+O218+U218+AA218+AM218+AS218</f>
        <v>0</v>
      </c>
      <c r="AZ218" s="7">
        <f t="shared" si="520"/>
        <v>0</v>
      </c>
      <c r="BA218" s="7">
        <f t="shared" si="520"/>
        <v>0</v>
      </c>
      <c r="BB218" s="7">
        <f t="shared" si="517"/>
        <v>0</v>
      </c>
    </row>
    <row r="219" spans="1:54" x14ac:dyDescent="0.25">
      <c r="A219" s="147"/>
      <c r="B219" s="7"/>
      <c r="C219" s="7"/>
      <c r="D219" s="7"/>
      <c r="E219" s="7"/>
      <c r="F219" s="7"/>
      <c r="H219" s="7"/>
      <c r="I219" s="7"/>
      <c r="J219" s="7"/>
      <c r="K219" s="7"/>
      <c r="L219" s="7"/>
      <c r="N219" s="7"/>
      <c r="O219" s="7"/>
      <c r="P219" s="7"/>
      <c r="Q219" s="7"/>
      <c r="R219" s="7"/>
      <c r="T219" s="7"/>
      <c r="U219" s="7"/>
      <c r="V219" s="7"/>
      <c r="W219" s="7"/>
      <c r="X219" s="7"/>
      <c r="Z219" s="7"/>
      <c r="AA219" s="7"/>
      <c r="AB219" s="7"/>
      <c r="AC219" s="7"/>
      <c r="AD219" s="7"/>
      <c r="AF219" s="7"/>
      <c r="AG219" s="7"/>
      <c r="AH219" s="7"/>
      <c r="AI219" s="7"/>
      <c r="AJ219" s="7"/>
      <c r="AL219" s="7"/>
      <c r="AM219" s="7"/>
      <c r="AN219" s="7"/>
      <c r="AO219" s="7"/>
      <c r="AP219" s="7"/>
      <c r="AR219" s="7"/>
      <c r="AS219" s="7"/>
      <c r="AT219" s="7"/>
      <c r="AU219" s="7"/>
      <c r="AV219" s="7"/>
      <c r="AX219" s="7">
        <f t="shared" si="519"/>
        <v>0</v>
      </c>
      <c r="AY219" s="7">
        <f t="shared" si="520"/>
        <v>0</v>
      </c>
      <c r="AZ219" s="7">
        <f t="shared" si="520"/>
        <v>0</v>
      </c>
      <c r="BA219" s="7">
        <f t="shared" si="520"/>
        <v>0</v>
      </c>
      <c r="BB219" s="7"/>
    </row>
    <row r="220" spans="1:54" ht="15.75" thickBot="1" x14ac:dyDescent="0.3">
      <c r="A220" s="144" t="s">
        <v>183</v>
      </c>
      <c r="B220" s="145">
        <f>B86-B207-B209-B210-B216-B217</f>
        <v>676651.14039668534</v>
      </c>
      <c r="C220" s="145">
        <f>C86-C207-C209-C210-C216-C217</f>
        <v>-83771.902524114703</v>
      </c>
      <c r="D220" s="145">
        <f>D86-D207-D209-D210-D216-D217</f>
        <v>-496006.33314888435</v>
      </c>
      <c r="E220" s="145">
        <f>E86-E207-E209-E210-E216-E217</f>
        <v>-10573.559999999969</v>
      </c>
      <c r="F220" s="145">
        <f>F86-F207-F209-F210-F216-F217-F211</f>
        <v>86299.344723687507</v>
      </c>
      <c r="H220" s="145">
        <f>H86-H207-H209-H210-H216-H217</f>
        <v>4774434.6299889423</v>
      </c>
      <c r="I220" s="145">
        <f>I86-I207-I209-I210-I216-I217</f>
        <v>-43963.244236874772</v>
      </c>
      <c r="J220" s="145">
        <f>J86-J207-J209-J210-J216-J217</f>
        <v>-1214980.7635122994</v>
      </c>
      <c r="K220" s="145">
        <f>K86-K207-K209-K210-K216-K217</f>
        <v>-29243.400000000023</v>
      </c>
      <c r="L220" s="145">
        <f>L86-L207-L209-L210-L216-L217-L211</f>
        <v>991247.22223977</v>
      </c>
      <c r="N220" s="145">
        <f>N86-N207-N209-N210-N216-N217</f>
        <v>1081459.7544653658</v>
      </c>
      <c r="O220" s="145">
        <f>O86-O207-O209-O210-O216-O217</f>
        <v>-159241.45841129601</v>
      </c>
      <c r="P220" s="145">
        <f>P86-P207-P209-P210-P216-P217</f>
        <v>-507985.28200000006</v>
      </c>
      <c r="Q220" s="145">
        <f>Q86-Q207-Q209-Q210-Q216-Q217</f>
        <v>-11574.600000000035</v>
      </c>
      <c r="R220" s="145">
        <f>R86-R207-R209-R210-R216-R217-R211</f>
        <v>402658.41405406874</v>
      </c>
      <c r="T220" s="145">
        <f>T86-T207-T209-T210-T216-T217</f>
        <v>1141533.5046980167</v>
      </c>
      <c r="U220" s="145">
        <f>U86-U207-U209-U210-U216-U217</f>
        <v>-70634.877347789821</v>
      </c>
      <c r="V220" s="145">
        <f>V86-V207-V209-V210-V216-V217</f>
        <v>-531761.06787623023</v>
      </c>
      <c r="W220" s="145">
        <f>W86-W207-W209-W210-W216-W217</f>
        <v>-19865.399999999994</v>
      </c>
      <c r="X220" s="145">
        <f>X86-X207-X209-X210-X216-X217-X211</f>
        <v>519272.15947399661</v>
      </c>
      <c r="Z220" s="145">
        <f>Z86-Z207-Z209-Z210-Z216-Z217</f>
        <v>2223855.2320019938</v>
      </c>
      <c r="AA220" s="145">
        <f>AA86-AA207-AA209-AA210-AA216-AA217</f>
        <v>-85163.771272727288</v>
      </c>
      <c r="AB220" s="145">
        <f>AB86-AB207-AB209-AB210-AB216-AB217</f>
        <v>-1152553.3767334979</v>
      </c>
      <c r="AC220" s="145">
        <f>AC86-AC207-AC209-AC210-AC216-AC217</f>
        <v>-23722.799999999988</v>
      </c>
      <c r="AD220" s="145">
        <f>AD86-AD207-AD209-AD210-AD216-AD217-AD211</f>
        <v>962415.28399576619</v>
      </c>
      <c r="AF220" s="145">
        <f>AF86-AF207-AF209-AF210-AF216-AF217</f>
        <v>202619.76249951124</v>
      </c>
      <c r="AG220" s="145">
        <f>AG86-AG207-AG209-AG210-AG216-AG217</f>
        <v>177221.59999999998</v>
      </c>
      <c r="AH220" s="145">
        <f>AH86-AH207-AH209-AH210-AH216-AH217</f>
        <v>-329836.10000000003</v>
      </c>
      <c r="AI220" s="145">
        <f>AI86-AI207-AI209-AI210-AI216-AI217</f>
        <v>27220.199999999953</v>
      </c>
      <c r="AJ220" s="145">
        <f>AJ86-AJ207-AJ209-AJ210-AJ216-AJ217-AJ211</f>
        <v>77225.462499511428</v>
      </c>
      <c r="AL220" s="145">
        <f>AL86-AL207-AL209-AL210-AL216-AL217</f>
        <v>-228904.94355199998</v>
      </c>
      <c r="AM220" s="145">
        <f>AM86-AM207-AM209-AM210-AM216-AM217</f>
        <v>-40366.166440000001</v>
      </c>
      <c r="AN220" s="145">
        <f>AN86-AN207-AN209-AN210-AN216-AN217</f>
        <v>0</v>
      </c>
      <c r="AO220" s="145">
        <f>AO86-AO207-AO209-AO210-AO216-AO217</f>
        <v>0</v>
      </c>
      <c r="AP220" s="145">
        <f>AP86-AP207-AP209-AP210-AP216-AP217-AP211</f>
        <v>-269271.10999199998</v>
      </c>
      <c r="AR220" s="145">
        <f>AR86-AR207-AR209-AR210-AR216-AR217</f>
        <v>348264.875</v>
      </c>
      <c r="AS220" s="145">
        <f>AS86-AS207-AS209-AS210-AS216-AS217</f>
        <v>8438</v>
      </c>
      <c r="AT220" s="145">
        <f>AT86-AT207-AT209-AT210-AT216-AT217</f>
        <v>-110222.39999999999</v>
      </c>
      <c r="AU220" s="145">
        <f>AU86-AU207-AU209-AU210-AU216-AU217</f>
        <v>-700</v>
      </c>
      <c r="AV220" s="145">
        <f>AV86-AV207-AV209-AV210-AV216-AV217</f>
        <v>245780.47500000009</v>
      </c>
      <c r="AX220" s="145">
        <f>AX86-AX207-AX209-AX210-AX216-AX217</f>
        <v>10219913.955498502</v>
      </c>
      <c r="AY220" s="145">
        <f>AY86-AY207-AY209-AY210-AY216-AY217</f>
        <v>-297481.82023280254</v>
      </c>
      <c r="AZ220" s="145">
        <f>AZ86-AZ207-AZ209-AZ210-AZ216-AZ217</f>
        <v>-4343345.3232709114</v>
      </c>
      <c r="BA220" s="145">
        <f>BA86-BA207-BA209-BA210-BA216-BA217</f>
        <v>-68459.560000000522</v>
      </c>
      <c r="BB220" s="145">
        <f>BB86-BB207-BB209-BB210-BB216-BB217-BB211</f>
        <v>3015627.2519947812</v>
      </c>
    </row>
    <row r="221" spans="1:54" ht="15.75" thickBot="1" x14ac:dyDescent="0.3">
      <c r="A221" s="108"/>
      <c r="B221" s="110">
        <f>B220/(B86-B76)</f>
        <v>9.6402727838214616E-2</v>
      </c>
      <c r="C221" s="110">
        <f>C220/(C86-C76)</f>
        <v>-0.67933164964001114</v>
      </c>
      <c r="D221" s="110">
        <f>D220/(D86-D76)</f>
        <v>-1.4148037399910824</v>
      </c>
      <c r="E221" s="110">
        <f>E220/(E86)</f>
        <v>-4.7186877450035199E-2</v>
      </c>
      <c r="F221" s="110">
        <f>F220/(F86-F76)</f>
        <v>1.1517478827883849E-2</v>
      </c>
      <c r="H221" s="110">
        <f>H220/(H86-H76)</f>
        <v>0.25934322098051515</v>
      </c>
      <c r="I221" s="110">
        <f>I220/(I86-I76)</f>
        <v>-0.18171783353894067</v>
      </c>
      <c r="J221" s="110">
        <f>J220/(J86-J76)</f>
        <v>-1.1388065848167017</v>
      </c>
      <c r="K221" s="110">
        <f>K220/(K86)</f>
        <v>-4.7972401031516405E-2</v>
      </c>
      <c r="L221" s="110">
        <f>L220/(L86-L76)</f>
        <v>5.0269820235730844E-2</v>
      </c>
      <c r="N221" s="110">
        <f>N220/(N86-N76)</f>
        <v>0.14195082434075429</v>
      </c>
      <c r="O221" s="110">
        <f>O220/(O86-O76)</f>
        <v>-1.2468110336856382</v>
      </c>
      <c r="P221" s="110">
        <f>P220/(P86-P76)</f>
        <v>-1.9742979457378804</v>
      </c>
      <c r="Q221" s="110">
        <f>Q220/(Q86)</f>
        <v>-6.0276840394950813E-2</v>
      </c>
      <c r="R221" s="110">
        <f>R220/(R86-R76)</f>
        <v>5.0309848941120471E-2</v>
      </c>
      <c r="T221" s="110">
        <f>T220/(T86-T76)</f>
        <v>0.12529401327489956</v>
      </c>
      <c r="U221" s="110">
        <f>U220/(U86-U76)</f>
        <v>-0.62924049401912496</v>
      </c>
      <c r="V221" s="110">
        <f>V220/(V86-V76)</f>
        <v>-1.3965276677277993</v>
      </c>
      <c r="W221" s="110">
        <f>W220/(W86)</f>
        <v>-0.17301717943693248</v>
      </c>
      <c r="X221" s="110">
        <f>X220/(X86-X76)</f>
        <v>5.4069074164813984E-2</v>
      </c>
      <c r="Z221" s="110">
        <f>Z220/(Z86-Z76)</f>
        <v>0.12490940724918351</v>
      </c>
      <c r="AA221" s="110">
        <f>AA220/(AA86-AA76)</f>
        <v>-0.49278238232130239</v>
      </c>
      <c r="AB221" s="110">
        <f>AB220/(AB86-AB76)</f>
        <v>-1.705271078544192</v>
      </c>
      <c r="AC221" s="110">
        <f>AC220/(AC86)</f>
        <v>-6.6061821219715919E-2</v>
      </c>
      <c r="AD221" s="110">
        <f>AD220/(AD86-AD76)</f>
        <v>5.1597274588675954E-2</v>
      </c>
      <c r="AF221" s="110">
        <f>AF220/(AF86-AF76)</f>
        <v>3.315429525821291E-2</v>
      </c>
      <c r="AG221" s="110">
        <f>AG220/(AG86-AG76)</f>
        <v>0.51828410380678891</v>
      </c>
      <c r="AH221" s="110">
        <f>AH220/(AH86-AH76)</f>
        <v>-1.2258375144014573</v>
      </c>
      <c r="AI221" s="110">
        <f>AI220/(AI86)</f>
        <v>7.6243983435962129E-2</v>
      </c>
      <c r="AJ221" s="110">
        <f>AJ220/(AJ86-AJ76)</f>
        <v>1.148732480463013E-2</v>
      </c>
      <c r="AL221" s="110">
        <f>AL220/(AL86-AL76)</f>
        <v>-84.156229247058818</v>
      </c>
      <c r="AM221" s="110">
        <f>AM220/(AM86-AM76)</f>
        <v>-336.38472033333335</v>
      </c>
      <c r="AN221" s="110" t="e">
        <f>AN220/(AN86-AN76)</f>
        <v>#DIV/0!</v>
      </c>
      <c r="AO221" s="110" t="e">
        <f>AO220/(AO86)</f>
        <v>#DIV/0!</v>
      </c>
      <c r="AP221" s="110">
        <f>AP220/(AP86-AP76)</f>
        <v>-94.813771123943653</v>
      </c>
      <c r="AR221" s="110">
        <f>AR220/(AR86-AR76)</f>
        <v>0.19036172649208249</v>
      </c>
      <c r="AS221" s="110">
        <f>AS220/(AS86-AS76)</f>
        <v>0.51488894312911881</v>
      </c>
      <c r="AT221" s="110">
        <f>AT220/(AT86-AT76)</f>
        <v>-1.8912560054907344</v>
      </c>
      <c r="AU221" s="110">
        <f>AU220/(AU86)</f>
        <v>-1.1965811965811967E-2</v>
      </c>
      <c r="AV221" s="110">
        <f>AV220/(AV86-AV76)</f>
        <v>0.12907567281706669</v>
      </c>
      <c r="AX221" s="110">
        <f>AX220/(AX86-AX76)</f>
        <v>0.15050204539967521</v>
      </c>
      <c r="AY221" s="110">
        <f>AY220/(AY86-AY76)</f>
        <v>-0.26175510166505611</v>
      </c>
      <c r="AZ221" s="110">
        <f>AZ220/(AZ86-AZ76)</f>
        <v>-1.4199635124651613</v>
      </c>
      <c r="BA221" s="110">
        <f>BA220/(BA86)</f>
        <v>-3.5746834549417822E-2</v>
      </c>
      <c r="BB221" s="110">
        <f>BB220/(BB86-BB76)</f>
        <v>4.182505003696689E-2</v>
      </c>
    </row>
    <row r="222" spans="1:54" x14ac:dyDescent="0.25">
      <c r="B222" s="111"/>
      <c r="C222" s="111"/>
      <c r="D222" s="111"/>
      <c r="E222" s="111"/>
      <c r="F222" s="111"/>
      <c r="H222" s="111"/>
      <c r="I222" s="111"/>
      <c r="J222" s="111"/>
      <c r="K222" s="111"/>
      <c r="L222" s="111"/>
      <c r="N222" s="111"/>
      <c r="O222" s="111"/>
      <c r="P222" s="111"/>
      <c r="Q222" s="111"/>
      <c r="R222" s="111"/>
      <c r="T222" s="111"/>
      <c r="U222" s="111"/>
      <c r="V222" s="111"/>
      <c r="W222" s="111"/>
      <c r="X222" s="111"/>
      <c r="Z222" s="111"/>
      <c r="AA222" s="111"/>
      <c r="AB222" s="111"/>
      <c r="AC222" s="111"/>
      <c r="AD222" s="111"/>
      <c r="AF222" s="111"/>
      <c r="AG222" s="111"/>
      <c r="AH222" s="111"/>
      <c r="AI222" s="111"/>
      <c r="AJ222" s="111"/>
      <c r="AL222" s="111"/>
      <c r="AM222" s="111"/>
      <c r="AN222" s="111"/>
      <c r="AO222" s="111"/>
      <c r="AP222" s="111"/>
      <c r="AR222" s="111"/>
      <c r="AS222" s="111"/>
      <c r="AT222" s="111"/>
      <c r="AU222" s="111"/>
      <c r="AV222" s="111"/>
      <c r="AX222" s="111"/>
      <c r="AY222" s="111"/>
      <c r="AZ222" s="111"/>
      <c r="BA222" s="111"/>
      <c r="BB222" s="111"/>
    </row>
    <row r="223" spans="1:54" x14ac:dyDescent="0.25">
      <c r="A223" s="112" t="str">
        <f>A1</f>
        <v xml:space="preserve"> FY 25</v>
      </c>
      <c r="B223" s="112" t="str">
        <f>B1</f>
        <v>Operating</v>
      </c>
      <c r="C223" s="112" t="str">
        <f>C1</f>
        <v>Weights</v>
      </c>
      <c r="D223" s="112" t="str">
        <f>D1</f>
        <v>SPED</v>
      </c>
      <c r="E223" s="112" t="str">
        <f t="shared" ref="E223:F223" si="521">E1</f>
        <v>NSLP</v>
      </c>
      <c r="F223" s="112" t="str">
        <f t="shared" si="521"/>
        <v>Horizon</v>
      </c>
      <c r="H223" s="112" t="str">
        <f>H1</f>
        <v>Operating</v>
      </c>
      <c r="I223" s="112" t="str">
        <f>I1</f>
        <v>Weights</v>
      </c>
      <c r="J223" s="112" t="str">
        <f>J1</f>
        <v>SPED</v>
      </c>
      <c r="K223" s="112" t="str">
        <f t="shared" ref="K223:L223" si="522">K1</f>
        <v>NSLP</v>
      </c>
      <c r="L223" s="112" t="str">
        <f t="shared" si="522"/>
        <v>Cadence</v>
      </c>
      <c r="N223" s="112" t="str">
        <f>N1</f>
        <v>Operating</v>
      </c>
      <c r="O223" s="112" t="str">
        <f>O1</f>
        <v>Weights</v>
      </c>
      <c r="P223" s="112" t="str">
        <f>P1</f>
        <v>SPED</v>
      </c>
      <c r="Q223" s="112" t="str">
        <f t="shared" ref="Q223:R223" si="523">Q1</f>
        <v>NSLP</v>
      </c>
      <c r="R223" s="112" t="str">
        <f t="shared" si="523"/>
        <v>St. Rose</v>
      </c>
      <c r="T223" s="112" t="str">
        <f>T1</f>
        <v>Operating</v>
      </c>
      <c r="U223" s="112" t="str">
        <f>U1</f>
        <v>Weights</v>
      </c>
      <c r="V223" s="112" t="str">
        <f>V1</f>
        <v>SPED</v>
      </c>
      <c r="W223" s="112" t="str">
        <f t="shared" ref="W223:X223" si="524">W1</f>
        <v>NSLP</v>
      </c>
      <c r="X223" s="112" t="str">
        <f t="shared" si="524"/>
        <v>Inspirada</v>
      </c>
      <c r="Z223" s="112" t="str">
        <f>Z1</f>
        <v>Operating</v>
      </c>
      <c r="AA223" s="112" t="str">
        <f>AA1</f>
        <v>Weights</v>
      </c>
      <c r="AB223" s="112" t="str">
        <f>AB1</f>
        <v>SPED</v>
      </c>
      <c r="AC223" s="112" t="str">
        <f t="shared" ref="AC223:AD223" si="525">AC1</f>
        <v>NSLP</v>
      </c>
      <c r="AD223" s="112" t="str">
        <f t="shared" si="525"/>
        <v>Sloan Canyon</v>
      </c>
      <c r="AF223" s="112" t="str">
        <f>AF1</f>
        <v>Operating</v>
      </c>
      <c r="AG223" s="112" t="str">
        <f>AG1</f>
        <v>Weights</v>
      </c>
      <c r="AH223" s="112" t="str">
        <f>AH1</f>
        <v>SPED</v>
      </c>
      <c r="AI223" s="112" t="str">
        <f t="shared" ref="AI223:AJ223" si="526">AI1</f>
        <v>NSLP</v>
      </c>
      <c r="AJ223" s="112" t="str">
        <f t="shared" si="526"/>
        <v>Springs</v>
      </c>
      <c r="AL223" s="112" t="str">
        <f>AL1</f>
        <v>Operating</v>
      </c>
      <c r="AM223" s="112" t="str">
        <f>AM1</f>
        <v>Weights</v>
      </c>
      <c r="AN223" s="112" t="str">
        <f>AN1</f>
        <v>SPED</v>
      </c>
      <c r="AO223" s="112" t="str">
        <f t="shared" ref="AO223:AP223" si="527">AO1</f>
        <v>NSLP</v>
      </c>
      <c r="AP223" s="112" t="str">
        <f t="shared" si="527"/>
        <v>System Wide</v>
      </c>
      <c r="AR223" s="112" t="str">
        <f>AR1</f>
        <v>Operating</v>
      </c>
      <c r="AS223" s="112" t="str">
        <f>AS1</f>
        <v>Weights</v>
      </c>
      <c r="AT223" s="112" t="str">
        <f>AT1</f>
        <v>SPED</v>
      </c>
      <c r="AU223" s="112" t="str">
        <f t="shared" ref="AU223:AV223" si="528">AU1</f>
        <v>NSLP</v>
      </c>
      <c r="AV223" s="112" t="str">
        <f t="shared" si="528"/>
        <v>Virtual</v>
      </c>
      <c r="AX223" s="112" t="str">
        <f>AX1</f>
        <v>Operating</v>
      </c>
      <c r="AY223" s="112" t="str">
        <f>AY1</f>
        <v>Weights</v>
      </c>
      <c r="AZ223" s="112" t="str">
        <f>AZ1</f>
        <v>SPED</v>
      </c>
      <c r="BA223" s="112" t="str">
        <f t="shared" ref="BA223:BB223" si="529">BA1</f>
        <v>NSLP</v>
      </c>
      <c r="BB223" s="112" t="str">
        <f t="shared" si="529"/>
        <v>Pinecrest System</v>
      </c>
    </row>
    <row r="224" spans="1:54" x14ac:dyDescent="0.25">
      <c r="B224" s="109"/>
      <c r="C224" s="109"/>
      <c r="D224" s="109"/>
      <c r="E224" s="109"/>
      <c r="F224" s="109"/>
      <c r="H224" s="109"/>
      <c r="I224" s="109"/>
      <c r="J224" s="109"/>
      <c r="K224" s="109"/>
      <c r="L224" s="109"/>
      <c r="N224" s="109"/>
      <c r="O224" s="109"/>
      <c r="P224" s="109"/>
      <c r="Q224" s="109"/>
      <c r="R224" s="109"/>
      <c r="T224" s="109"/>
      <c r="U224" s="109"/>
      <c r="V224" s="109"/>
      <c r="W224" s="109"/>
      <c r="X224" s="109"/>
      <c r="Z224" s="109"/>
      <c r="AA224" s="109"/>
      <c r="AB224" s="109"/>
      <c r="AC224" s="109"/>
      <c r="AD224" s="109"/>
      <c r="AF224" s="109"/>
      <c r="AG224" s="109"/>
      <c r="AH224" s="109"/>
      <c r="AI224" s="109"/>
      <c r="AJ224" s="109"/>
      <c r="AL224" s="109"/>
      <c r="AM224" s="109"/>
      <c r="AN224" s="109"/>
      <c r="AO224" s="109"/>
      <c r="AP224" s="109"/>
      <c r="AR224" s="109"/>
      <c r="AS224" s="109"/>
      <c r="AT224" s="109"/>
      <c r="AU224" s="109"/>
      <c r="AV224" s="109"/>
      <c r="AX224" s="109"/>
      <c r="AY224" s="109"/>
      <c r="AZ224" s="109"/>
      <c r="BA224" s="109"/>
      <c r="BB224" s="109"/>
    </row>
    <row r="225" spans="1:54" x14ac:dyDescent="0.25">
      <c r="A225" s="112"/>
      <c r="B225" s="71"/>
      <c r="C225" s="71"/>
      <c r="D225" s="71"/>
      <c r="E225" s="71"/>
      <c r="F225" s="71"/>
      <c r="H225" s="71"/>
      <c r="I225" s="71"/>
      <c r="J225" s="71"/>
      <c r="K225" s="71"/>
      <c r="L225" s="71"/>
      <c r="N225" s="71"/>
      <c r="O225" s="71"/>
      <c r="P225" s="71"/>
      <c r="Q225" s="71"/>
      <c r="R225" s="71"/>
      <c r="T225" s="71"/>
      <c r="U225" s="71"/>
      <c r="V225" s="71"/>
      <c r="W225" s="71"/>
      <c r="X225" s="71"/>
      <c r="Z225" s="71"/>
      <c r="AA225" s="71"/>
      <c r="AB225" s="71"/>
      <c r="AC225" s="71"/>
      <c r="AD225" s="71"/>
      <c r="AF225" s="71"/>
      <c r="AG225" s="71"/>
      <c r="AH225" s="71"/>
      <c r="AI225" s="71"/>
      <c r="AJ225" s="71"/>
      <c r="AL225" s="71"/>
      <c r="AM225" s="71"/>
      <c r="AN225" s="71"/>
      <c r="AO225" s="71"/>
      <c r="AP225" s="71"/>
      <c r="AR225" s="71"/>
      <c r="AS225" s="71"/>
      <c r="AT225" s="71"/>
      <c r="AU225" s="71"/>
      <c r="AV225" s="71"/>
      <c r="AX225" s="71"/>
      <c r="AY225" s="71"/>
      <c r="AZ225" s="71"/>
      <c r="BA225" s="71"/>
      <c r="BB225" s="71"/>
    </row>
    <row r="226" spans="1:54" x14ac:dyDescent="0.25">
      <c r="B226" s="109"/>
      <c r="C226" s="109"/>
      <c r="D226" s="109"/>
      <c r="E226" s="109"/>
      <c r="F226" s="109"/>
      <c r="H226" s="109"/>
      <c r="I226" s="109"/>
      <c r="J226" s="109"/>
      <c r="K226" s="109"/>
      <c r="L226" s="109"/>
      <c r="N226" s="109"/>
      <c r="O226" s="109"/>
      <c r="P226" s="109"/>
      <c r="Q226" s="109"/>
      <c r="R226" s="109"/>
      <c r="T226" s="109"/>
      <c r="U226" s="109"/>
      <c r="V226" s="109"/>
      <c r="W226" s="109"/>
      <c r="X226" s="109"/>
      <c r="Z226" s="109"/>
      <c r="AA226" s="109"/>
      <c r="AB226" s="109"/>
      <c r="AC226" s="109"/>
      <c r="AD226" s="109"/>
      <c r="AF226" s="109"/>
      <c r="AG226" s="109"/>
      <c r="AH226" s="109"/>
      <c r="AI226" s="109"/>
      <c r="AJ226" s="109"/>
      <c r="AL226" s="109"/>
      <c r="AM226" s="109"/>
      <c r="AN226" s="109"/>
      <c r="AO226" s="109"/>
      <c r="AP226" s="109"/>
      <c r="AR226" s="109"/>
      <c r="AS226" s="109"/>
      <c r="AT226" s="109"/>
      <c r="AU226" s="109"/>
      <c r="AV226" s="109" t="e">
        <f>AV220=#REF!</f>
        <v>#REF!</v>
      </c>
      <c r="AX226" s="109"/>
      <c r="AY226" s="109"/>
      <c r="AZ226" s="109"/>
      <c r="BA226" s="109"/>
      <c r="BB226" s="10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C226"/>
  <sheetViews>
    <sheetView topLeftCell="A17" zoomScale="75" zoomScaleNormal="75" workbookViewId="0">
      <pane xSplit="1" topLeftCell="V1" activePane="topRight" state="frozen"/>
      <selection pane="topRight" activeCell="AG106" sqref="AG106"/>
    </sheetView>
  </sheetViews>
  <sheetFormatPr defaultRowHeight="15" x14ac:dyDescent="0.25"/>
  <cols>
    <col min="1" max="1" width="46.85546875" customWidth="1"/>
    <col min="2" max="2" width="16.42578125" customWidth="1"/>
    <col min="3" max="3" width="14.85546875" customWidth="1"/>
    <col min="4" max="4" width="16.42578125" customWidth="1"/>
    <col min="5" max="6" width="14.85546875" customWidth="1"/>
    <col min="7" max="7" width="8.85546875" style="199"/>
    <col min="8" max="8" width="16.42578125" customWidth="1"/>
    <col min="9" max="9" width="14.85546875" customWidth="1"/>
    <col min="10" max="10" width="16.42578125" customWidth="1"/>
    <col min="11" max="12" width="14.85546875" customWidth="1"/>
    <col min="13" max="13" width="8.85546875" style="199"/>
    <col min="14" max="14" width="16.42578125" customWidth="1"/>
    <col min="15" max="15" width="14.85546875" customWidth="1"/>
    <col min="16" max="16" width="16.42578125" customWidth="1"/>
    <col min="17" max="18" width="14.85546875" customWidth="1"/>
    <col min="19" max="19" width="8.85546875" style="199"/>
    <col min="20" max="20" width="16.42578125" customWidth="1"/>
    <col min="21" max="21" width="14.85546875" customWidth="1"/>
    <col min="22" max="22" width="16.42578125" customWidth="1"/>
    <col min="23" max="24" width="14.85546875" customWidth="1"/>
    <col min="25" max="25" width="8.85546875" style="199"/>
    <col min="26" max="26" width="16.42578125" customWidth="1"/>
    <col min="27" max="27" width="14.85546875" customWidth="1"/>
    <col min="28" max="28" width="16.42578125" customWidth="1"/>
    <col min="29" max="30" width="14.85546875" customWidth="1"/>
    <col min="31" max="31" width="8.85546875" style="199"/>
    <col min="32" max="32" width="16.42578125" customWidth="1"/>
    <col min="33" max="33" width="14.85546875" customWidth="1"/>
    <col min="34" max="34" width="16.42578125" customWidth="1"/>
    <col min="35" max="36" width="14.85546875" customWidth="1"/>
    <col min="37" max="37" width="8.85546875" style="199"/>
    <col min="38" max="38" width="16.42578125" customWidth="1"/>
    <col min="39" max="39" width="14.85546875" customWidth="1"/>
    <col min="40" max="40" width="16.42578125" customWidth="1"/>
    <col min="41" max="42" width="14.85546875" customWidth="1"/>
    <col min="43" max="43" width="8.85546875" style="199"/>
    <col min="44" max="44" width="16.42578125" customWidth="1"/>
    <col min="45" max="45" width="14.85546875" customWidth="1"/>
    <col min="46" max="46" width="16.42578125" customWidth="1"/>
    <col min="47" max="48" width="14.85546875" customWidth="1"/>
    <col min="50" max="50" width="16.42578125" customWidth="1"/>
    <col min="51" max="51" width="14.85546875" customWidth="1"/>
    <col min="52" max="52" width="16.42578125" customWidth="1"/>
    <col min="53" max="53" width="14.85546875" customWidth="1"/>
    <col min="54" max="54" width="17.140625" bestFit="1" customWidth="1"/>
  </cols>
  <sheetData>
    <row r="1" spans="1:54" x14ac:dyDescent="0.25">
      <c r="A1" s="1" t="s">
        <v>260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238</v>
      </c>
      <c r="H1" s="3" t="s">
        <v>1</v>
      </c>
      <c r="I1" s="3" t="s">
        <v>2</v>
      </c>
      <c r="J1" s="3" t="s">
        <v>3</v>
      </c>
      <c r="K1" s="3" t="s">
        <v>4</v>
      </c>
      <c r="L1" s="3" t="s">
        <v>208</v>
      </c>
      <c r="N1" s="3" t="s">
        <v>1</v>
      </c>
      <c r="O1" s="3" t="s">
        <v>2</v>
      </c>
      <c r="P1" s="3" t="s">
        <v>3</v>
      </c>
      <c r="Q1" s="3" t="s">
        <v>4</v>
      </c>
      <c r="R1" s="3" t="s">
        <v>215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231</v>
      </c>
      <c r="Z1" s="3" t="s">
        <v>1</v>
      </c>
      <c r="AA1" s="3" t="s">
        <v>2</v>
      </c>
      <c r="AB1" s="3" t="s">
        <v>3</v>
      </c>
      <c r="AC1" s="3" t="s">
        <v>4</v>
      </c>
      <c r="AD1" s="3" t="s">
        <v>240</v>
      </c>
      <c r="AF1" s="3" t="s">
        <v>1</v>
      </c>
      <c r="AG1" s="3" t="s">
        <v>2</v>
      </c>
      <c r="AH1" s="3" t="s">
        <v>3</v>
      </c>
      <c r="AI1" s="3" t="s">
        <v>4</v>
      </c>
      <c r="AJ1" s="340" t="s">
        <v>258</v>
      </c>
      <c r="AL1" s="3" t="s">
        <v>1</v>
      </c>
      <c r="AM1" s="3" t="s">
        <v>2</v>
      </c>
      <c r="AN1" s="3" t="s">
        <v>3</v>
      </c>
      <c r="AO1" s="3" t="s">
        <v>4</v>
      </c>
      <c r="AP1" s="3" t="s">
        <v>241</v>
      </c>
      <c r="AR1" s="3" t="s">
        <v>1</v>
      </c>
      <c r="AS1" s="3" t="s">
        <v>2</v>
      </c>
      <c r="AT1" s="3" t="s">
        <v>3</v>
      </c>
      <c r="AU1" s="3" t="s">
        <v>4</v>
      </c>
      <c r="AV1" s="3" t="s">
        <v>242</v>
      </c>
      <c r="AX1" s="3" t="s">
        <v>1</v>
      </c>
      <c r="AY1" s="3" t="s">
        <v>2</v>
      </c>
      <c r="AZ1" s="3" t="s">
        <v>3</v>
      </c>
      <c r="BA1" s="3" t="s">
        <v>4</v>
      </c>
      <c r="BB1" s="3" t="s">
        <v>243</v>
      </c>
    </row>
    <row r="2" spans="1:54" x14ac:dyDescent="0.25">
      <c r="A2" s="6" t="s">
        <v>7</v>
      </c>
      <c r="B2" s="7">
        <f>7293*1.013*1.013*1.013</f>
        <v>7581.140573720998</v>
      </c>
      <c r="C2" s="7">
        <v>0</v>
      </c>
      <c r="D2" s="7">
        <v>0</v>
      </c>
      <c r="E2" s="7">
        <v>0</v>
      </c>
      <c r="F2" s="7">
        <f>SUM(B2:E2)</f>
        <v>7581.140573720998</v>
      </c>
      <c r="H2" s="7">
        <f>7293*1.013*1.013*1.013</f>
        <v>7581.140573720998</v>
      </c>
      <c r="I2" s="7">
        <v>0</v>
      </c>
      <c r="J2" s="7">
        <v>0</v>
      </c>
      <c r="K2" s="7">
        <v>0</v>
      </c>
      <c r="L2" s="7">
        <f>SUM(H2:K2)</f>
        <v>7581.140573720998</v>
      </c>
      <c r="N2" s="7">
        <f>7293*1.013*1.013*1.013</f>
        <v>7581.140573720998</v>
      </c>
      <c r="O2" s="7">
        <v>0</v>
      </c>
      <c r="P2" s="7">
        <v>0</v>
      </c>
      <c r="Q2" s="7">
        <v>0</v>
      </c>
      <c r="R2" s="7">
        <f>SUM(N2:Q2)</f>
        <v>7581.140573720998</v>
      </c>
      <c r="T2" s="7">
        <f>7293*1.013*1.013*1.013</f>
        <v>7581.140573720998</v>
      </c>
      <c r="U2" s="7">
        <v>0</v>
      </c>
      <c r="V2" s="7">
        <v>0</v>
      </c>
      <c r="W2" s="7">
        <v>0</v>
      </c>
      <c r="X2" s="7">
        <f>SUM(T2:W2)</f>
        <v>7581.140573720998</v>
      </c>
      <c r="Z2" s="7">
        <f>7293*1.013*1.013*1.013</f>
        <v>7581.140573720998</v>
      </c>
      <c r="AA2" s="7">
        <v>0</v>
      </c>
      <c r="AB2" s="7">
        <v>0</v>
      </c>
      <c r="AC2" s="7">
        <v>0</v>
      </c>
      <c r="AD2" s="7">
        <f>SUM(Z2:AC2)</f>
        <v>7581.140573720998</v>
      </c>
      <c r="AF2" s="7">
        <f>7293*1.013*1.013*1.013</f>
        <v>7581.140573720998</v>
      </c>
      <c r="AG2" s="7">
        <v>0</v>
      </c>
      <c r="AH2" s="7">
        <v>0</v>
      </c>
      <c r="AI2" s="7">
        <v>0</v>
      </c>
      <c r="AJ2" s="7">
        <f>SUM(AF2:AI2)</f>
        <v>7581.140573720998</v>
      </c>
      <c r="AL2" s="7">
        <v>0</v>
      </c>
      <c r="AM2" s="7">
        <v>0</v>
      </c>
      <c r="AN2" s="7">
        <v>0</v>
      </c>
      <c r="AO2" s="7">
        <v>0</v>
      </c>
      <c r="AP2" s="7">
        <f>SUM(AL2:AO2)</f>
        <v>0</v>
      </c>
      <c r="AR2" s="7">
        <v>7404</v>
      </c>
      <c r="AS2" s="7">
        <v>0</v>
      </c>
      <c r="AT2" s="7">
        <v>0</v>
      </c>
      <c r="AU2" s="7">
        <v>0</v>
      </c>
      <c r="AV2" s="7">
        <f>SUM(AR2:AU2)</f>
        <v>7404</v>
      </c>
      <c r="AX2" s="7">
        <f>AX87/AX19</f>
        <v>7575.0624069195055</v>
      </c>
      <c r="AY2" s="7">
        <v>0</v>
      </c>
      <c r="AZ2" s="7">
        <v>0</v>
      </c>
      <c r="BA2" s="7">
        <v>0</v>
      </c>
      <c r="BB2" s="7">
        <f>SUM(AX2:BA2)</f>
        <v>7575.0624069195055</v>
      </c>
    </row>
    <row r="3" spans="1:54" hidden="1" x14ac:dyDescent="0.25">
      <c r="A3" s="8"/>
      <c r="B3" s="7">
        <v>0</v>
      </c>
      <c r="C3" s="7">
        <v>0</v>
      </c>
      <c r="D3" s="7"/>
      <c r="E3" s="7">
        <v>0</v>
      </c>
      <c r="F3" s="7">
        <f>SUM(B3:E3)</f>
        <v>0</v>
      </c>
      <c r="H3" s="7">
        <v>0</v>
      </c>
      <c r="I3" s="7">
        <v>0</v>
      </c>
      <c r="J3" s="7"/>
      <c r="K3" s="7">
        <v>0</v>
      </c>
      <c r="L3" s="7">
        <f>SUM(H3:K3)</f>
        <v>0</v>
      </c>
      <c r="N3" s="7">
        <v>0</v>
      </c>
      <c r="O3" s="7">
        <v>0</v>
      </c>
      <c r="P3" s="7"/>
      <c r="Q3" s="7">
        <v>0</v>
      </c>
      <c r="R3" s="7">
        <f>SUM(N3:Q3)</f>
        <v>0</v>
      </c>
      <c r="T3" s="7">
        <v>0</v>
      </c>
      <c r="U3" s="7">
        <v>0</v>
      </c>
      <c r="V3" s="7"/>
      <c r="W3" s="7">
        <v>0</v>
      </c>
      <c r="X3" s="7">
        <f>SUM(T3:W3)</f>
        <v>0</v>
      </c>
      <c r="Z3" s="7">
        <v>0</v>
      </c>
      <c r="AA3" s="7">
        <v>0</v>
      </c>
      <c r="AB3" s="7"/>
      <c r="AC3" s="7">
        <v>0</v>
      </c>
      <c r="AD3" s="7">
        <f>SUM(Z3:AC3)</f>
        <v>0</v>
      </c>
      <c r="AF3" s="7">
        <v>0</v>
      </c>
      <c r="AG3" s="7">
        <v>0</v>
      </c>
      <c r="AH3" s="7"/>
      <c r="AI3" s="7">
        <v>0</v>
      </c>
      <c r="AJ3" s="7">
        <f>SUM(AF3:AI3)</f>
        <v>0</v>
      </c>
      <c r="AL3" s="7">
        <v>0</v>
      </c>
      <c r="AM3" s="7">
        <v>0</v>
      </c>
      <c r="AN3" s="7"/>
      <c r="AO3" s="7">
        <v>0</v>
      </c>
      <c r="AP3" s="7">
        <f>SUM(AL3:AO3)</f>
        <v>0</v>
      </c>
      <c r="AR3" s="7">
        <v>0</v>
      </c>
      <c r="AS3" s="7">
        <v>0</v>
      </c>
      <c r="AT3" s="7"/>
      <c r="AU3" s="7">
        <v>0</v>
      </c>
      <c r="AV3" s="7">
        <f>SUM(AR3:AU3)</f>
        <v>0</v>
      </c>
      <c r="AX3" s="7">
        <v>0</v>
      </c>
      <c r="AY3" s="7">
        <v>0</v>
      </c>
      <c r="AZ3" s="7"/>
      <c r="BA3" s="7">
        <v>0</v>
      </c>
      <c r="BB3" s="7">
        <f>SUM(AX3:BA3)</f>
        <v>0</v>
      </c>
    </row>
    <row r="4" spans="1:54" hidden="1" x14ac:dyDescent="0.25">
      <c r="A4" s="8"/>
      <c r="B4" s="139"/>
      <c r="C4" s="139"/>
      <c r="D4" s="139"/>
      <c r="E4" s="139"/>
      <c r="F4" s="153"/>
      <c r="H4" s="139"/>
      <c r="I4" s="139"/>
      <c r="J4" s="139"/>
      <c r="K4" s="139"/>
      <c r="L4" s="153"/>
      <c r="N4" s="139"/>
      <c r="O4" s="139"/>
      <c r="P4" s="139"/>
      <c r="Q4" s="139"/>
      <c r="R4" s="153"/>
      <c r="T4" s="139"/>
      <c r="U4" s="139"/>
      <c r="V4" s="139"/>
      <c r="W4" s="139"/>
      <c r="X4" s="153"/>
      <c r="Z4" s="139"/>
      <c r="AA4" s="139"/>
      <c r="AB4" s="139"/>
      <c r="AC4" s="139"/>
      <c r="AD4" s="153"/>
      <c r="AF4" s="139"/>
      <c r="AG4" s="139"/>
      <c r="AH4" s="139"/>
      <c r="AI4" s="139"/>
      <c r="AJ4" s="153"/>
      <c r="AL4" s="139"/>
      <c r="AM4" s="139"/>
      <c r="AN4" s="139"/>
      <c r="AO4" s="139"/>
      <c r="AP4" s="153"/>
      <c r="AR4" s="139"/>
      <c r="AS4" s="139"/>
      <c r="AT4" s="139"/>
      <c r="AU4" s="139"/>
      <c r="AV4" s="153"/>
      <c r="AX4" s="139"/>
      <c r="AY4" s="139"/>
      <c r="AZ4" s="139"/>
      <c r="BA4" s="139"/>
      <c r="BB4" s="153"/>
    </row>
    <row r="5" spans="1:54" x14ac:dyDescent="0.25">
      <c r="A5" s="8" t="s">
        <v>8</v>
      </c>
      <c r="B5" s="9">
        <f>B6+B7+B8+B9+B10+B11+B12+B13+B14+B15+B16+B17+B18</f>
        <v>936</v>
      </c>
      <c r="C5" s="9"/>
      <c r="D5" s="9"/>
      <c r="E5" s="9"/>
      <c r="F5" s="9">
        <f t="shared" ref="F5:F19" si="0">SUM(B5:E5)</f>
        <v>936</v>
      </c>
      <c r="H5" s="9">
        <f>H6+H7+H8+H9+H10+H11+H12+H13+H14+H15+H16+H17+H18</f>
        <v>2444</v>
      </c>
      <c r="I5" s="9"/>
      <c r="J5" s="9"/>
      <c r="K5" s="9"/>
      <c r="L5" s="9">
        <f t="shared" ref="L5:L19" si="1">SUM(H5:K5)</f>
        <v>2444</v>
      </c>
      <c r="N5" s="9">
        <f>N6+N7+N8+N9+N10+N11+N12+N13+N14+N15+N16+N17+N18</f>
        <v>1016</v>
      </c>
      <c r="O5" s="9"/>
      <c r="P5" s="9"/>
      <c r="Q5" s="9"/>
      <c r="R5" s="9">
        <f t="shared" ref="R5:R19" si="2">SUM(N5:Q5)</f>
        <v>1016</v>
      </c>
      <c r="T5" s="9">
        <f>T6+T7+T8+T9+T10+T11+T12+T13+T14+T15+T16+T17+T18</f>
        <v>1215</v>
      </c>
      <c r="U5" s="9"/>
      <c r="V5" s="9"/>
      <c r="W5" s="9"/>
      <c r="X5" s="9">
        <f t="shared" ref="X5:X19" si="3">SUM(T5:W5)</f>
        <v>1215</v>
      </c>
      <c r="Z5" s="9">
        <f>Z6+Z7+Z8+Z9+Z10+Z11+Z12+Z13+Z14+Z15+Z16+Z17+Z18</f>
        <v>2435</v>
      </c>
      <c r="AA5" s="9"/>
      <c r="AB5" s="9"/>
      <c r="AC5" s="9"/>
      <c r="AD5" s="9">
        <f t="shared" ref="AD5:AD19" si="4">SUM(Z5:AC5)</f>
        <v>2435</v>
      </c>
      <c r="AF5" s="9">
        <f>AF6+AF7+AF8+AF9+AF10+AF11+AF12+AF13+AF14+AF15+AF16+AF17+AF18</f>
        <v>960</v>
      </c>
      <c r="AG5" s="9"/>
      <c r="AH5" s="9"/>
      <c r="AI5" s="9"/>
      <c r="AJ5" s="9">
        <f t="shared" ref="AJ5:AJ19" si="5">SUM(AF5:AI5)</f>
        <v>960</v>
      </c>
      <c r="AL5" s="9">
        <f>AL6+AL7+AL8+AL9+AL10+AL11+AL12+AL13+AL14+AL15+AL16+AL17+AL18</f>
        <v>0</v>
      </c>
      <c r="AM5" s="9"/>
      <c r="AN5" s="9"/>
      <c r="AO5" s="9"/>
      <c r="AP5" s="9">
        <f t="shared" ref="AP5:AP19" si="6">SUM(AL5:AO5)</f>
        <v>0</v>
      </c>
      <c r="AR5" s="9">
        <f>AR6+AR7+AR8+AR9+AR10+AR11+AR12+AR13+AR14+AR15+AR16+AR17+AR18</f>
        <v>320</v>
      </c>
      <c r="AS5" s="9"/>
      <c r="AT5" s="9"/>
      <c r="AU5" s="9"/>
      <c r="AV5" s="9">
        <f t="shared" ref="AV5:AV19" si="7">SUM(AR5:AU5)</f>
        <v>320</v>
      </c>
      <c r="AX5" s="9">
        <f>B5+H5+N5+T5+Z5+AL5+AR5</f>
        <v>8366</v>
      </c>
      <c r="AY5" s="9">
        <f>C5+I5+O5+U5+AA5+AM5+AS5</f>
        <v>0</v>
      </c>
      <c r="AZ5" s="9">
        <f>D5+J5+P5+V5+AB5+AN5+AT5</f>
        <v>0</v>
      </c>
      <c r="BA5" s="9">
        <f>E5+K5+Q5+W5+AC5+AO5+AU5</f>
        <v>0</v>
      </c>
      <c r="BB5" s="9">
        <f t="shared" ref="BB5:BB19" si="8">SUM(AX5:BA5)</f>
        <v>8366</v>
      </c>
    </row>
    <row r="6" spans="1:54" x14ac:dyDescent="0.25">
      <c r="A6" s="10" t="s">
        <v>9</v>
      </c>
      <c r="B6" s="11">
        <f>6*25</f>
        <v>150</v>
      </c>
      <c r="C6" s="11"/>
      <c r="D6" s="11"/>
      <c r="E6" s="11"/>
      <c r="F6" s="9">
        <f t="shared" si="0"/>
        <v>150</v>
      </c>
      <c r="G6" s="222">
        <f>F6/25</f>
        <v>6</v>
      </c>
      <c r="H6" s="11">
        <f>25*5</f>
        <v>125</v>
      </c>
      <c r="I6" s="11"/>
      <c r="J6" s="11"/>
      <c r="K6" s="11"/>
      <c r="L6" s="9">
        <f t="shared" si="1"/>
        <v>125</v>
      </c>
      <c r="M6" s="221">
        <f>L6/25</f>
        <v>5</v>
      </c>
      <c r="N6" s="11">
        <f>25*4</f>
        <v>100</v>
      </c>
      <c r="O6" s="11"/>
      <c r="P6" s="11"/>
      <c r="Q6" s="11"/>
      <c r="R6" s="9">
        <f t="shared" si="2"/>
        <v>100</v>
      </c>
      <c r="S6" s="221">
        <f>R6/25</f>
        <v>4</v>
      </c>
      <c r="T6" s="11">
        <f>25*5</f>
        <v>125</v>
      </c>
      <c r="U6" s="11"/>
      <c r="V6" s="11"/>
      <c r="W6" s="11"/>
      <c r="X6" s="9">
        <f t="shared" si="3"/>
        <v>125</v>
      </c>
      <c r="Y6" s="221">
        <f>X6/25</f>
        <v>5</v>
      </c>
      <c r="Z6" s="11">
        <f>25*5</f>
        <v>125</v>
      </c>
      <c r="AA6" s="11"/>
      <c r="AB6" s="11"/>
      <c r="AC6" s="11"/>
      <c r="AD6" s="9">
        <f t="shared" si="4"/>
        <v>125</v>
      </c>
      <c r="AE6" s="221">
        <f>AD6/25</f>
        <v>5</v>
      </c>
      <c r="AF6" s="11">
        <f t="shared" ref="AF6:AF11" si="9">25*4</f>
        <v>100</v>
      </c>
      <c r="AG6" s="11"/>
      <c r="AH6" s="11"/>
      <c r="AI6" s="11"/>
      <c r="AJ6" s="9">
        <f t="shared" si="5"/>
        <v>100</v>
      </c>
      <c r="AK6" s="221">
        <f>AJ6/25</f>
        <v>4</v>
      </c>
      <c r="AL6" s="11">
        <v>0</v>
      </c>
      <c r="AM6" s="11"/>
      <c r="AN6" s="11"/>
      <c r="AO6" s="11"/>
      <c r="AP6" s="9">
        <f t="shared" si="6"/>
        <v>0</v>
      </c>
      <c r="AR6" s="11"/>
      <c r="AS6" s="11"/>
      <c r="AT6" s="11"/>
      <c r="AU6" s="11"/>
      <c r="AV6" s="9">
        <f t="shared" si="7"/>
        <v>0</v>
      </c>
      <c r="AX6" s="94">
        <f>B6+H6+N6+T6+Z6+AF6+AL6+AR6</f>
        <v>725</v>
      </c>
      <c r="AY6" s="94">
        <f t="shared" ref="AY6:BA18" si="10">C6+I6+O6+U6+AA6+AG6+AM6+AS6</f>
        <v>0</v>
      </c>
      <c r="AZ6" s="94">
        <f t="shared" si="10"/>
        <v>0</v>
      </c>
      <c r="BA6" s="94">
        <f t="shared" si="10"/>
        <v>0</v>
      </c>
      <c r="BB6" s="9">
        <f t="shared" si="8"/>
        <v>725</v>
      </c>
    </row>
    <row r="7" spans="1:54" x14ac:dyDescent="0.25">
      <c r="A7" s="12" t="s">
        <v>10</v>
      </c>
      <c r="B7" s="11">
        <f>6*25</f>
        <v>150</v>
      </c>
      <c r="C7" s="11"/>
      <c r="D7" s="11"/>
      <c r="E7" s="11"/>
      <c r="F7" s="9">
        <f t="shared" si="0"/>
        <v>150</v>
      </c>
      <c r="G7" s="222">
        <f t="shared" ref="G7" si="11">F7/25</f>
        <v>6</v>
      </c>
      <c r="H7" s="11">
        <f>26*5</f>
        <v>130</v>
      </c>
      <c r="I7" s="11"/>
      <c r="J7" s="11"/>
      <c r="K7" s="11"/>
      <c r="L7" s="9">
        <f t="shared" si="1"/>
        <v>130</v>
      </c>
      <c r="M7" s="221">
        <f>L7/26</f>
        <v>5</v>
      </c>
      <c r="N7" s="11">
        <f>25*4</f>
        <v>100</v>
      </c>
      <c r="O7" s="11"/>
      <c r="P7" s="11"/>
      <c r="Q7" s="11"/>
      <c r="R7" s="9">
        <f t="shared" si="2"/>
        <v>100</v>
      </c>
      <c r="S7" s="221">
        <f>R7/25</f>
        <v>4</v>
      </c>
      <c r="T7" s="11">
        <f>25*5</f>
        <v>125</v>
      </c>
      <c r="U7" s="11"/>
      <c r="V7" s="11"/>
      <c r="W7" s="11"/>
      <c r="X7" s="9">
        <f t="shared" si="3"/>
        <v>125</v>
      </c>
      <c r="Y7" s="221">
        <f>X7/25</f>
        <v>5</v>
      </c>
      <c r="Z7" s="11">
        <f t="shared" ref="Z7" si="12">25*5</f>
        <v>125</v>
      </c>
      <c r="AA7" s="11"/>
      <c r="AB7" s="11"/>
      <c r="AC7" s="11"/>
      <c r="AD7" s="9">
        <f t="shared" si="4"/>
        <v>125</v>
      </c>
      <c r="AE7" s="221">
        <f>AD7/25</f>
        <v>5</v>
      </c>
      <c r="AF7" s="11">
        <f t="shared" si="9"/>
        <v>100</v>
      </c>
      <c r="AG7" s="11"/>
      <c r="AH7" s="11"/>
      <c r="AI7" s="11"/>
      <c r="AJ7" s="9">
        <f t="shared" si="5"/>
        <v>100</v>
      </c>
      <c r="AK7" s="221">
        <f t="shared" ref="AK7:AK11" si="13">AJ7/25</f>
        <v>4</v>
      </c>
      <c r="AL7" s="11">
        <v>0</v>
      </c>
      <c r="AM7" s="11"/>
      <c r="AN7" s="11"/>
      <c r="AO7" s="11"/>
      <c r="AP7" s="9">
        <f t="shared" si="6"/>
        <v>0</v>
      </c>
      <c r="AR7" s="11"/>
      <c r="AS7" s="11"/>
      <c r="AT7" s="11"/>
      <c r="AU7" s="11"/>
      <c r="AV7" s="9">
        <f t="shared" si="7"/>
        <v>0</v>
      </c>
      <c r="AX7" s="94">
        <f t="shared" ref="AX7:AX18" si="14">B7+H7+N7+T7+Z7+AF7+AL7+AR7</f>
        <v>730</v>
      </c>
      <c r="AY7" s="94">
        <f t="shared" si="10"/>
        <v>0</v>
      </c>
      <c r="AZ7" s="94">
        <f t="shared" si="10"/>
        <v>0</v>
      </c>
      <c r="BA7" s="94">
        <f t="shared" si="10"/>
        <v>0</v>
      </c>
      <c r="BB7" s="9">
        <f t="shared" si="8"/>
        <v>730</v>
      </c>
    </row>
    <row r="8" spans="1:54" x14ac:dyDescent="0.25">
      <c r="A8" s="12" t="s">
        <v>11</v>
      </c>
      <c r="B8" s="11">
        <f>6*26</f>
        <v>156</v>
      </c>
      <c r="C8" s="11"/>
      <c r="D8" s="11"/>
      <c r="E8" s="11"/>
      <c r="F8" s="9">
        <f t="shared" si="0"/>
        <v>156</v>
      </c>
      <c r="G8" s="222">
        <f>F8/26</f>
        <v>6</v>
      </c>
      <c r="H8" s="11">
        <f>27*5</f>
        <v>135</v>
      </c>
      <c r="I8" s="11"/>
      <c r="J8" s="11"/>
      <c r="K8" s="11"/>
      <c r="L8" s="9">
        <f t="shared" si="1"/>
        <v>135</v>
      </c>
      <c r="M8" s="221">
        <f>L8/27</f>
        <v>5</v>
      </c>
      <c r="N8" s="11">
        <f>26*4</f>
        <v>104</v>
      </c>
      <c r="O8" s="11"/>
      <c r="P8" s="11"/>
      <c r="Q8" s="11"/>
      <c r="R8" s="9">
        <f t="shared" si="2"/>
        <v>104</v>
      </c>
      <c r="S8" s="221">
        <f>R8/26</f>
        <v>4</v>
      </c>
      <c r="T8" s="11">
        <f>25*5</f>
        <v>125</v>
      </c>
      <c r="U8" s="11"/>
      <c r="V8" s="11"/>
      <c r="W8" s="11"/>
      <c r="X8" s="9">
        <f t="shared" si="3"/>
        <v>125</v>
      </c>
      <c r="Y8" s="221">
        <f>X8/25</f>
        <v>5</v>
      </c>
      <c r="Z8" s="11">
        <f>26*5</f>
        <v>130</v>
      </c>
      <c r="AA8" s="11"/>
      <c r="AB8" s="11"/>
      <c r="AC8" s="11"/>
      <c r="AD8" s="9">
        <f t="shared" si="4"/>
        <v>130</v>
      </c>
      <c r="AE8" s="221">
        <f>AD8/26</f>
        <v>5</v>
      </c>
      <c r="AF8" s="11">
        <f t="shared" si="9"/>
        <v>100</v>
      </c>
      <c r="AG8" s="11"/>
      <c r="AH8" s="11"/>
      <c r="AI8" s="11"/>
      <c r="AJ8" s="9">
        <f t="shared" si="5"/>
        <v>100</v>
      </c>
      <c r="AK8" s="221">
        <f t="shared" si="13"/>
        <v>4</v>
      </c>
      <c r="AL8" s="11">
        <v>0</v>
      </c>
      <c r="AM8" s="11"/>
      <c r="AN8" s="11"/>
      <c r="AO8" s="11"/>
      <c r="AP8" s="9">
        <f t="shared" si="6"/>
        <v>0</v>
      </c>
      <c r="AR8" s="11"/>
      <c r="AS8" s="11"/>
      <c r="AT8" s="11"/>
      <c r="AU8" s="11"/>
      <c r="AV8" s="9">
        <f t="shared" si="7"/>
        <v>0</v>
      </c>
      <c r="AX8" s="94">
        <f t="shared" si="14"/>
        <v>750</v>
      </c>
      <c r="AY8" s="94">
        <f t="shared" si="10"/>
        <v>0</v>
      </c>
      <c r="AZ8" s="94">
        <f t="shared" si="10"/>
        <v>0</v>
      </c>
      <c r="BA8" s="94">
        <f t="shared" si="10"/>
        <v>0</v>
      </c>
      <c r="BB8" s="9">
        <f t="shared" si="8"/>
        <v>750</v>
      </c>
    </row>
    <row r="9" spans="1:54" x14ac:dyDescent="0.25">
      <c r="A9" s="13" t="s">
        <v>12</v>
      </c>
      <c r="B9" s="11">
        <f>6*26</f>
        <v>156</v>
      </c>
      <c r="C9" s="11"/>
      <c r="D9" s="11"/>
      <c r="E9" s="11"/>
      <c r="F9" s="9">
        <f t="shared" si="0"/>
        <v>156</v>
      </c>
      <c r="G9" s="222">
        <f>F9/26</f>
        <v>6</v>
      </c>
      <c r="H9" s="11">
        <f>27*5</f>
        <v>135</v>
      </c>
      <c r="I9" s="11"/>
      <c r="J9" s="11"/>
      <c r="K9" s="11"/>
      <c r="L9" s="9">
        <f t="shared" si="1"/>
        <v>135</v>
      </c>
      <c r="M9" s="221">
        <f>L9/27</f>
        <v>5</v>
      </c>
      <c r="N9" s="11">
        <f>27*4</f>
        <v>108</v>
      </c>
      <c r="O9" s="11"/>
      <c r="P9" s="11"/>
      <c r="Q9" s="11"/>
      <c r="R9" s="9">
        <f t="shared" si="2"/>
        <v>108</v>
      </c>
      <c r="S9" s="221">
        <f>R9/27</f>
        <v>4</v>
      </c>
      <c r="T9" s="11">
        <f t="shared" ref="T9:T11" si="15">26*6</f>
        <v>156</v>
      </c>
      <c r="U9" s="11"/>
      <c r="V9" s="11"/>
      <c r="W9" s="11"/>
      <c r="X9" s="9">
        <f t="shared" si="3"/>
        <v>156</v>
      </c>
      <c r="Y9" s="221">
        <f t="shared" ref="Y9:Y11" si="16">X9/26</f>
        <v>6</v>
      </c>
      <c r="Z9" s="11">
        <f>26*5</f>
        <v>130</v>
      </c>
      <c r="AA9" s="11"/>
      <c r="AB9" s="11"/>
      <c r="AC9" s="11"/>
      <c r="AD9" s="9">
        <f t="shared" si="4"/>
        <v>130</v>
      </c>
      <c r="AE9" s="221">
        <f t="shared" ref="AE9" si="17">AD9/26</f>
        <v>5</v>
      </c>
      <c r="AF9" s="11">
        <f t="shared" si="9"/>
        <v>100</v>
      </c>
      <c r="AG9" s="11"/>
      <c r="AH9" s="11"/>
      <c r="AI9" s="11"/>
      <c r="AJ9" s="9">
        <f t="shared" si="5"/>
        <v>100</v>
      </c>
      <c r="AK9" s="221">
        <f t="shared" si="13"/>
        <v>4</v>
      </c>
      <c r="AL9" s="11">
        <v>0</v>
      </c>
      <c r="AM9" s="11"/>
      <c r="AN9" s="11"/>
      <c r="AO9" s="11"/>
      <c r="AP9" s="9">
        <f t="shared" si="6"/>
        <v>0</v>
      </c>
      <c r="AR9" s="11"/>
      <c r="AS9" s="11"/>
      <c r="AT9" s="11"/>
      <c r="AU9" s="11"/>
      <c r="AV9" s="9">
        <f t="shared" si="7"/>
        <v>0</v>
      </c>
      <c r="AX9" s="94">
        <f t="shared" si="14"/>
        <v>785</v>
      </c>
      <c r="AY9" s="94">
        <f t="shared" si="10"/>
        <v>0</v>
      </c>
      <c r="AZ9" s="94">
        <f t="shared" si="10"/>
        <v>0</v>
      </c>
      <c r="BA9" s="94">
        <f t="shared" si="10"/>
        <v>0</v>
      </c>
      <c r="BB9" s="9">
        <f t="shared" si="8"/>
        <v>785</v>
      </c>
    </row>
    <row r="10" spans="1:54" x14ac:dyDescent="0.25">
      <c r="A10" s="13" t="s">
        <v>13</v>
      </c>
      <c r="B10" s="11">
        <f>6*27</f>
        <v>162</v>
      </c>
      <c r="C10" s="11"/>
      <c r="D10" s="11"/>
      <c r="E10" s="11"/>
      <c r="F10" s="9">
        <f t="shared" si="0"/>
        <v>162</v>
      </c>
      <c r="G10" s="222">
        <f>F10/27</f>
        <v>6</v>
      </c>
      <c r="H10" s="11">
        <f>28*5</f>
        <v>140</v>
      </c>
      <c r="I10" s="11"/>
      <c r="J10" s="11"/>
      <c r="K10" s="11"/>
      <c r="L10" s="9">
        <f t="shared" si="1"/>
        <v>140</v>
      </c>
      <c r="M10" s="221">
        <f>L10/28</f>
        <v>5</v>
      </c>
      <c r="N10" s="11">
        <f>27*4</f>
        <v>108</v>
      </c>
      <c r="O10" s="11"/>
      <c r="P10" s="11"/>
      <c r="Q10" s="11"/>
      <c r="R10" s="9">
        <f t="shared" si="2"/>
        <v>108</v>
      </c>
      <c r="S10" s="221">
        <f>R10/27</f>
        <v>4</v>
      </c>
      <c r="T10" s="11">
        <f t="shared" si="15"/>
        <v>156</v>
      </c>
      <c r="U10" s="11"/>
      <c r="V10" s="11"/>
      <c r="W10" s="11"/>
      <c r="X10" s="9">
        <f t="shared" si="3"/>
        <v>156</v>
      </c>
      <c r="Y10" s="221">
        <f t="shared" si="16"/>
        <v>6</v>
      </c>
      <c r="Z10" s="11">
        <f>27*5</f>
        <v>135</v>
      </c>
      <c r="AA10" s="11"/>
      <c r="AB10" s="11"/>
      <c r="AC10" s="11"/>
      <c r="AD10" s="9">
        <f t="shared" si="4"/>
        <v>135</v>
      </c>
      <c r="AE10" s="221">
        <f>AD10/27</f>
        <v>5</v>
      </c>
      <c r="AF10" s="11">
        <f t="shared" si="9"/>
        <v>100</v>
      </c>
      <c r="AG10" s="11"/>
      <c r="AH10" s="11"/>
      <c r="AI10" s="11"/>
      <c r="AJ10" s="9">
        <f t="shared" si="5"/>
        <v>100</v>
      </c>
      <c r="AK10" s="221">
        <f t="shared" si="13"/>
        <v>4</v>
      </c>
      <c r="AL10" s="11">
        <v>0</v>
      </c>
      <c r="AM10" s="11"/>
      <c r="AN10" s="11"/>
      <c r="AO10" s="11"/>
      <c r="AP10" s="9">
        <f t="shared" si="6"/>
        <v>0</v>
      </c>
      <c r="AR10" s="11"/>
      <c r="AS10" s="11"/>
      <c r="AT10" s="11"/>
      <c r="AU10" s="11"/>
      <c r="AV10" s="9">
        <f t="shared" si="7"/>
        <v>0</v>
      </c>
      <c r="AX10" s="94">
        <f t="shared" si="14"/>
        <v>801</v>
      </c>
      <c r="AY10" s="94">
        <f t="shared" si="10"/>
        <v>0</v>
      </c>
      <c r="AZ10" s="94">
        <f t="shared" si="10"/>
        <v>0</v>
      </c>
      <c r="BA10" s="94">
        <f t="shared" si="10"/>
        <v>0</v>
      </c>
      <c r="BB10" s="9">
        <f t="shared" si="8"/>
        <v>801</v>
      </c>
    </row>
    <row r="11" spans="1:54" x14ac:dyDescent="0.25">
      <c r="A11" s="13" t="s">
        <v>14</v>
      </c>
      <c r="B11" s="11">
        <f>6*27</f>
        <v>162</v>
      </c>
      <c r="C11" s="11"/>
      <c r="D11" s="11"/>
      <c r="E11" s="11"/>
      <c r="F11" s="9">
        <f t="shared" si="0"/>
        <v>162</v>
      </c>
      <c r="G11" s="222">
        <f>F11/27</f>
        <v>6</v>
      </c>
      <c r="H11" s="11">
        <f>29*5</f>
        <v>145</v>
      </c>
      <c r="I11" s="11"/>
      <c r="J11" s="11"/>
      <c r="K11" s="11"/>
      <c r="L11" s="9">
        <f t="shared" si="1"/>
        <v>145</v>
      </c>
      <c r="M11" s="221">
        <f>L11/29</f>
        <v>5</v>
      </c>
      <c r="N11" s="11">
        <v>124</v>
      </c>
      <c r="O11" s="11"/>
      <c r="P11" s="11"/>
      <c r="Q11" s="11"/>
      <c r="R11" s="9">
        <f t="shared" si="2"/>
        <v>124</v>
      </c>
      <c r="S11" s="221">
        <f>R11/31</f>
        <v>4</v>
      </c>
      <c r="T11" s="11">
        <f t="shared" si="15"/>
        <v>156</v>
      </c>
      <c r="U11" s="11"/>
      <c r="V11" s="11"/>
      <c r="W11" s="11"/>
      <c r="X11" s="9">
        <f t="shared" si="3"/>
        <v>156</v>
      </c>
      <c r="Y11" s="221">
        <f t="shared" si="16"/>
        <v>6</v>
      </c>
      <c r="Z11" s="11">
        <f>27*5</f>
        <v>135</v>
      </c>
      <c r="AA11" s="11"/>
      <c r="AB11" s="11"/>
      <c r="AC11" s="11"/>
      <c r="AD11" s="9">
        <f t="shared" si="4"/>
        <v>135</v>
      </c>
      <c r="AE11" s="221">
        <f>AD11/27</f>
        <v>5</v>
      </c>
      <c r="AF11" s="11">
        <f t="shared" si="9"/>
        <v>100</v>
      </c>
      <c r="AG11" s="11"/>
      <c r="AH11" s="11"/>
      <c r="AI11" s="11"/>
      <c r="AJ11" s="9">
        <f t="shared" si="5"/>
        <v>100</v>
      </c>
      <c r="AK11" s="221">
        <f t="shared" si="13"/>
        <v>4</v>
      </c>
      <c r="AL11" s="11">
        <v>0</v>
      </c>
      <c r="AM11" s="11"/>
      <c r="AN11" s="11"/>
      <c r="AO11" s="11"/>
      <c r="AP11" s="9">
        <f t="shared" si="6"/>
        <v>0</v>
      </c>
      <c r="AR11" s="11"/>
      <c r="AS11" s="11"/>
      <c r="AT11" s="11"/>
      <c r="AU11" s="11"/>
      <c r="AV11" s="9">
        <f t="shared" si="7"/>
        <v>0</v>
      </c>
      <c r="AX11" s="94">
        <f t="shared" si="14"/>
        <v>822</v>
      </c>
      <c r="AY11" s="94">
        <f t="shared" si="10"/>
        <v>0</v>
      </c>
      <c r="AZ11" s="94">
        <f t="shared" si="10"/>
        <v>0</v>
      </c>
      <c r="BA11" s="94">
        <f t="shared" si="10"/>
        <v>0</v>
      </c>
      <c r="BB11" s="9">
        <f t="shared" si="8"/>
        <v>822</v>
      </c>
    </row>
    <row r="12" spans="1:54" x14ac:dyDescent="0.25">
      <c r="A12" s="13" t="s">
        <v>15</v>
      </c>
      <c r="B12" s="11"/>
      <c r="C12" s="7"/>
      <c r="D12" s="7"/>
      <c r="E12" s="7"/>
      <c r="F12" s="9">
        <f t="shared" si="0"/>
        <v>0</v>
      </c>
      <c r="H12" s="11">
        <f>31*8</f>
        <v>248</v>
      </c>
      <c r="I12" s="7"/>
      <c r="J12" s="7"/>
      <c r="K12" s="7"/>
      <c r="L12" s="9">
        <f t="shared" si="1"/>
        <v>248</v>
      </c>
      <c r="M12" s="221">
        <f>L12/31</f>
        <v>8</v>
      </c>
      <c r="N12" s="11">
        <f>31*4</f>
        <v>124</v>
      </c>
      <c r="O12" s="7"/>
      <c r="P12" s="7"/>
      <c r="Q12" s="7"/>
      <c r="R12" s="9">
        <f t="shared" si="2"/>
        <v>124</v>
      </c>
      <c r="S12" s="221">
        <f>R12/31</f>
        <v>4</v>
      </c>
      <c r="T12" s="11">
        <f>31*4</f>
        <v>124</v>
      </c>
      <c r="U12" s="7"/>
      <c r="V12" s="7"/>
      <c r="W12" s="7"/>
      <c r="X12" s="9">
        <f t="shared" si="3"/>
        <v>124</v>
      </c>
      <c r="Y12" s="221">
        <f>T12/31</f>
        <v>4</v>
      </c>
      <c r="Z12" s="11">
        <f>31*7</f>
        <v>217</v>
      </c>
      <c r="AA12" s="7"/>
      <c r="AB12" s="7"/>
      <c r="AC12" s="7"/>
      <c r="AD12" s="9">
        <f t="shared" si="4"/>
        <v>217</v>
      </c>
      <c r="AE12" s="221">
        <f>AD12/31</f>
        <v>7</v>
      </c>
      <c r="AF12" s="11">
        <f>30*4</f>
        <v>120</v>
      </c>
      <c r="AG12" s="7"/>
      <c r="AH12" s="7"/>
      <c r="AI12" s="7"/>
      <c r="AJ12" s="9">
        <f t="shared" si="5"/>
        <v>120</v>
      </c>
      <c r="AK12" s="221">
        <f>AJ12/30</f>
        <v>4</v>
      </c>
      <c r="AL12" s="11">
        <v>0</v>
      </c>
      <c r="AM12" s="7"/>
      <c r="AN12" s="7"/>
      <c r="AO12" s="7"/>
      <c r="AP12" s="9">
        <f t="shared" si="6"/>
        <v>0</v>
      </c>
      <c r="AR12" s="11">
        <v>50</v>
      </c>
      <c r="AS12" s="7"/>
      <c r="AT12" s="7"/>
      <c r="AU12" s="7"/>
      <c r="AV12" s="9">
        <f t="shared" si="7"/>
        <v>50</v>
      </c>
      <c r="AX12" s="94">
        <f t="shared" si="14"/>
        <v>883</v>
      </c>
      <c r="AY12" s="94">
        <f t="shared" si="10"/>
        <v>0</v>
      </c>
      <c r="AZ12" s="94">
        <f t="shared" si="10"/>
        <v>0</v>
      </c>
      <c r="BA12" s="94">
        <f t="shared" si="10"/>
        <v>0</v>
      </c>
      <c r="BB12" s="9">
        <f t="shared" si="8"/>
        <v>883</v>
      </c>
    </row>
    <row r="13" spans="1:54" x14ac:dyDescent="0.25">
      <c r="A13" s="13" t="s">
        <v>16</v>
      </c>
      <c r="B13" s="11"/>
      <c r="C13" s="7"/>
      <c r="D13" s="7"/>
      <c r="E13" s="7"/>
      <c r="F13" s="9">
        <f t="shared" si="0"/>
        <v>0</v>
      </c>
      <c r="H13" s="11">
        <f t="shared" ref="H13:H14" si="18">31*8</f>
        <v>248</v>
      </c>
      <c r="I13" s="7"/>
      <c r="J13" s="7"/>
      <c r="K13" s="7"/>
      <c r="L13" s="9">
        <f t="shared" si="1"/>
        <v>248</v>
      </c>
      <c r="M13" s="221">
        <f t="shared" ref="M13:M14" si="19">L13/31</f>
        <v>8</v>
      </c>
      <c r="N13" s="11">
        <f>31*4</f>
        <v>124</v>
      </c>
      <c r="O13" s="7"/>
      <c r="P13" s="7"/>
      <c r="Q13" s="7"/>
      <c r="R13" s="9">
        <f t="shared" si="2"/>
        <v>124</v>
      </c>
      <c r="S13" s="221">
        <f t="shared" ref="S13:S14" si="20">R13/31</f>
        <v>4</v>
      </c>
      <c r="T13" s="11">
        <f>31*4</f>
        <v>124</v>
      </c>
      <c r="U13" s="7"/>
      <c r="V13" s="7"/>
      <c r="W13" s="7"/>
      <c r="X13" s="9">
        <f t="shared" si="3"/>
        <v>124</v>
      </c>
      <c r="Y13" s="221">
        <f t="shared" ref="Y13:Y14" si="21">T13/31</f>
        <v>4</v>
      </c>
      <c r="Z13" s="11">
        <f>31*7</f>
        <v>217</v>
      </c>
      <c r="AA13" s="7"/>
      <c r="AB13" s="7"/>
      <c r="AC13" s="7"/>
      <c r="AD13" s="9">
        <f t="shared" si="4"/>
        <v>217</v>
      </c>
      <c r="AE13" s="221">
        <f t="shared" ref="AE13:AE15" si="22">AD13/31</f>
        <v>7</v>
      </c>
      <c r="AF13" s="11">
        <f>30*4</f>
        <v>120</v>
      </c>
      <c r="AG13" s="7"/>
      <c r="AH13" s="7"/>
      <c r="AI13" s="7"/>
      <c r="AJ13" s="9">
        <f t="shared" si="5"/>
        <v>120</v>
      </c>
      <c r="AK13" s="221">
        <f>AJ13/30</f>
        <v>4</v>
      </c>
      <c r="AL13" s="11">
        <v>0</v>
      </c>
      <c r="AM13" s="7"/>
      <c r="AN13" s="7"/>
      <c r="AO13" s="7"/>
      <c r="AP13" s="9">
        <f t="shared" si="6"/>
        <v>0</v>
      </c>
      <c r="AR13" s="11">
        <v>50</v>
      </c>
      <c r="AS13" s="7"/>
      <c r="AT13" s="7"/>
      <c r="AU13" s="7"/>
      <c r="AV13" s="9">
        <f t="shared" si="7"/>
        <v>50</v>
      </c>
      <c r="AX13" s="94">
        <f t="shared" si="14"/>
        <v>883</v>
      </c>
      <c r="AY13" s="94">
        <f t="shared" si="10"/>
        <v>0</v>
      </c>
      <c r="AZ13" s="94">
        <f t="shared" si="10"/>
        <v>0</v>
      </c>
      <c r="BA13" s="94">
        <f t="shared" si="10"/>
        <v>0</v>
      </c>
      <c r="BB13" s="9">
        <f t="shared" si="8"/>
        <v>883</v>
      </c>
    </row>
    <row r="14" spans="1:54" x14ac:dyDescent="0.25">
      <c r="A14" s="13" t="s">
        <v>17</v>
      </c>
      <c r="B14" s="11"/>
      <c r="C14" s="7"/>
      <c r="D14" s="7"/>
      <c r="E14" s="7"/>
      <c r="F14" s="9">
        <f t="shared" si="0"/>
        <v>0</v>
      </c>
      <c r="H14" s="11">
        <f t="shared" si="18"/>
        <v>248</v>
      </c>
      <c r="I14" s="7"/>
      <c r="J14" s="7"/>
      <c r="K14" s="7"/>
      <c r="L14" s="9">
        <f t="shared" si="1"/>
        <v>248</v>
      </c>
      <c r="M14" s="221">
        <f t="shared" si="19"/>
        <v>8</v>
      </c>
      <c r="N14" s="11">
        <f>31*4</f>
        <v>124</v>
      </c>
      <c r="O14" s="7"/>
      <c r="P14" s="7"/>
      <c r="Q14" s="7"/>
      <c r="R14" s="9">
        <f t="shared" si="2"/>
        <v>124</v>
      </c>
      <c r="S14" s="221">
        <f t="shared" si="20"/>
        <v>4</v>
      </c>
      <c r="T14" s="11">
        <f>31*4</f>
        <v>124</v>
      </c>
      <c r="U14" s="7"/>
      <c r="V14" s="7"/>
      <c r="W14" s="7"/>
      <c r="X14" s="9">
        <f t="shared" si="3"/>
        <v>124</v>
      </c>
      <c r="Y14" s="221">
        <f t="shared" si="21"/>
        <v>4</v>
      </c>
      <c r="Z14" s="11">
        <f>31*7</f>
        <v>217</v>
      </c>
      <c r="AA14" s="7"/>
      <c r="AB14" s="7"/>
      <c r="AC14" s="7"/>
      <c r="AD14" s="9">
        <f t="shared" si="4"/>
        <v>217</v>
      </c>
      <c r="AE14" s="221">
        <f t="shared" si="22"/>
        <v>7</v>
      </c>
      <c r="AF14" s="11">
        <f>30*4</f>
        <v>120</v>
      </c>
      <c r="AG14" s="7"/>
      <c r="AH14" s="7"/>
      <c r="AI14" s="7"/>
      <c r="AJ14" s="9">
        <f t="shared" si="5"/>
        <v>120</v>
      </c>
      <c r="AK14" s="221">
        <f>AJ14/30</f>
        <v>4</v>
      </c>
      <c r="AL14" s="11">
        <v>0</v>
      </c>
      <c r="AM14" s="7"/>
      <c r="AN14" s="7"/>
      <c r="AO14" s="7"/>
      <c r="AP14" s="9">
        <f t="shared" si="6"/>
        <v>0</v>
      </c>
      <c r="AR14" s="11">
        <v>50</v>
      </c>
      <c r="AS14" s="7"/>
      <c r="AT14" s="7"/>
      <c r="AU14" s="7"/>
      <c r="AV14" s="9">
        <f t="shared" si="7"/>
        <v>50</v>
      </c>
      <c r="AX14" s="94">
        <f t="shared" si="14"/>
        <v>883</v>
      </c>
      <c r="AY14" s="94">
        <f t="shared" si="10"/>
        <v>0</v>
      </c>
      <c r="AZ14" s="94">
        <f t="shared" si="10"/>
        <v>0</v>
      </c>
      <c r="BA14" s="94">
        <f t="shared" si="10"/>
        <v>0</v>
      </c>
      <c r="BB14" s="9">
        <f t="shared" si="8"/>
        <v>883</v>
      </c>
    </row>
    <row r="15" spans="1:54" x14ac:dyDescent="0.25">
      <c r="A15" s="13" t="s">
        <v>18</v>
      </c>
      <c r="B15" s="11"/>
      <c r="C15" s="7"/>
      <c r="D15" s="7"/>
      <c r="E15" s="7"/>
      <c r="F15" s="9">
        <f t="shared" si="0"/>
        <v>0</v>
      </c>
      <c r="H15" s="11">
        <f>30*8</f>
        <v>240</v>
      </c>
      <c r="I15" s="7"/>
      <c r="J15" s="7"/>
      <c r="K15" s="7"/>
      <c r="L15" s="9">
        <f t="shared" si="1"/>
        <v>240</v>
      </c>
      <c r="M15" s="221">
        <f>L15/30</f>
        <v>8</v>
      </c>
      <c r="N15" s="11"/>
      <c r="O15" s="7"/>
      <c r="P15" s="7"/>
      <c r="Q15" s="7"/>
      <c r="R15" s="9">
        <f t="shared" si="2"/>
        <v>0</v>
      </c>
      <c r="T15" s="11"/>
      <c r="U15" s="7"/>
      <c r="V15" s="7"/>
      <c r="W15" s="7"/>
      <c r="X15" s="9">
        <f t="shared" si="3"/>
        <v>0</v>
      </c>
      <c r="Z15" s="11">
        <f>31*9</f>
        <v>279</v>
      </c>
      <c r="AA15" s="7"/>
      <c r="AB15" s="7"/>
      <c r="AC15" s="7"/>
      <c r="AD15" s="9">
        <f t="shared" si="4"/>
        <v>279</v>
      </c>
      <c r="AE15" s="221">
        <f t="shared" si="22"/>
        <v>9</v>
      </c>
      <c r="AF15" s="11"/>
      <c r="AG15" s="7"/>
      <c r="AH15" s="7"/>
      <c r="AI15" s="7"/>
      <c r="AJ15" s="9">
        <f t="shared" si="5"/>
        <v>0</v>
      </c>
      <c r="AK15" s="221"/>
      <c r="AL15" s="11">
        <v>0</v>
      </c>
      <c r="AM15" s="7"/>
      <c r="AN15" s="7"/>
      <c r="AO15" s="7"/>
      <c r="AP15" s="9">
        <f t="shared" si="6"/>
        <v>0</v>
      </c>
      <c r="AR15" s="11">
        <v>50</v>
      </c>
      <c r="AS15" s="7"/>
      <c r="AT15" s="7"/>
      <c r="AU15" s="7"/>
      <c r="AV15" s="9">
        <f t="shared" si="7"/>
        <v>50</v>
      </c>
      <c r="AX15" s="94">
        <f t="shared" si="14"/>
        <v>569</v>
      </c>
      <c r="AY15" s="94">
        <f t="shared" si="10"/>
        <v>0</v>
      </c>
      <c r="AZ15" s="94">
        <f t="shared" si="10"/>
        <v>0</v>
      </c>
      <c r="BA15" s="94">
        <f t="shared" si="10"/>
        <v>0</v>
      </c>
      <c r="BB15" s="9">
        <f t="shared" si="8"/>
        <v>569</v>
      </c>
    </row>
    <row r="16" spans="1:54" x14ac:dyDescent="0.25">
      <c r="A16" s="13" t="s">
        <v>19</v>
      </c>
      <c r="B16" s="11"/>
      <c r="C16" s="7"/>
      <c r="D16" s="7"/>
      <c r="E16" s="7"/>
      <c r="F16" s="9">
        <f t="shared" si="0"/>
        <v>0</v>
      </c>
      <c r="H16" s="11">
        <v>230</v>
      </c>
      <c r="I16" s="7"/>
      <c r="J16" s="7"/>
      <c r="K16" s="7"/>
      <c r="L16" s="9">
        <f t="shared" si="1"/>
        <v>230</v>
      </c>
      <c r="M16" s="221">
        <v>8</v>
      </c>
      <c r="N16" s="11"/>
      <c r="O16" s="7"/>
      <c r="P16" s="7"/>
      <c r="Q16" s="7"/>
      <c r="R16" s="9">
        <f t="shared" si="2"/>
        <v>0</v>
      </c>
      <c r="T16" s="11"/>
      <c r="U16" s="7"/>
      <c r="V16" s="7"/>
      <c r="W16" s="7"/>
      <c r="X16" s="9">
        <f t="shared" si="3"/>
        <v>0</v>
      </c>
      <c r="Z16" s="11">
        <f>30*9</f>
        <v>270</v>
      </c>
      <c r="AA16" s="7"/>
      <c r="AB16" s="7"/>
      <c r="AC16" s="7"/>
      <c r="AD16" s="9">
        <f t="shared" si="4"/>
        <v>270</v>
      </c>
      <c r="AE16" s="221">
        <f>AD16/30</f>
        <v>9</v>
      </c>
      <c r="AF16" s="11"/>
      <c r="AG16" s="7"/>
      <c r="AH16" s="7"/>
      <c r="AI16" s="7"/>
      <c r="AJ16" s="9">
        <f t="shared" si="5"/>
        <v>0</v>
      </c>
      <c r="AK16" s="221"/>
      <c r="AL16" s="11">
        <v>0</v>
      </c>
      <c r="AM16" s="7"/>
      <c r="AN16" s="7"/>
      <c r="AO16" s="7"/>
      <c r="AP16" s="9">
        <f t="shared" si="6"/>
        <v>0</v>
      </c>
      <c r="AR16" s="11">
        <v>50</v>
      </c>
      <c r="AS16" s="7"/>
      <c r="AT16" s="7"/>
      <c r="AU16" s="7"/>
      <c r="AV16" s="9">
        <f t="shared" si="7"/>
        <v>50</v>
      </c>
      <c r="AX16" s="94">
        <f t="shared" si="14"/>
        <v>550</v>
      </c>
      <c r="AY16" s="94">
        <f t="shared" si="10"/>
        <v>0</v>
      </c>
      <c r="AZ16" s="94">
        <f t="shared" si="10"/>
        <v>0</v>
      </c>
      <c r="BA16" s="94">
        <f t="shared" si="10"/>
        <v>0</v>
      </c>
      <c r="BB16" s="9">
        <f t="shared" si="8"/>
        <v>550</v>
      </c>
    </row>
    <row r="17" spans="1:55" x14ac:dyDescent="0.25">
      <c r="A17" s="13" t="s">
        <v>20</v>
      </c>
      <c r="B17" s="11"/>
      <c r="C17" s="7"/>
      <c r="D17" s="7"/>
      <c r="E17" s="7"/>
      <c r="F17" s="9">
        <f t="shared" si="0"/>
        <v>0</v>
      </c>
      <c r="H17" s="11">
        <v>220</v>
      </c>
      <c r="I17" s="7"/>
      <c r="J17" s="7"/>
      <c r="K17" s="7"/>
      <c r="L17" s="9">
        <f t="shared" si="1"/>
        <v>220</v>
      </c>
      <c r="M17" s="221">
        <v>8</v>
      </c>
      <c r="N17" s="11"/>
      <c r="O17" s="7"/>
      <c r="P17" s="7"/>
      <c r="Q17" s="7"/>
      <c r="R17" s="9">
        <f t="shared" si="2"/>
        <v>0</v>
      </c>
      <c r="T17" s="11"/>
      <c r="U17" s="7"/>
      <c r="V17" s="7"/>
      <c r="W17" s="7"/>
      <c r="X17" s="9">
        <f t="shared" si="3"/>
        <v>0</v>
      </c>
      <c r="Z17" s="11">
        <v>235</v>
      </c>
      <c r="AA17" s="7"/>
      <c r="AB17" s="7"/>
      <c r="AC17" s="7"/>
      <c r="AD17" s="9">
        <f t="shared" si="4"/>
        <v>235</v>
      </c>
      <c r="AE17" s="221">
        <v>8</v>
      </c>
      <c r="AF17" s="11"/>
      <c r="AG17" s="7"/>
      <c r="AH17" s="7"/>
      <c r="AI17" s="7"/>
      <c r="AJ17" s="9">
        <f t="shared" si="5"/>
        <v>0</v>
      </c>
      <c r="AK17" s="221"/>
      <c r="AL17" s="11">
        <v>0</v>
      </c>
      <c r="AM17" s="7"/>
      <c r="AN17" s="7"/>
      <c r="AO17" s="7"/>
      <c r="AP17" s="9">
        <f t="shared" si="6"/>
        <v>0</v>
      </c>
      <c r="AR17" s="11">
        <v>40</v>
      </c>
      <c r="AS17" s="7"/>
      <c r="AT17" s="7"/>
      <c r="AU17" s="7"/>
      <c r="AV17" s="9">
        <f t="shared" si="7"/>
        <v>40</v>
      </c>
      <c r="AX17" s="94">
        <f t="shared" si="14"/>
        <v>495</v>
      </c>
      <c r="AY17" s="94">
        <f t="shared" si="10"/>
        <v>0</v>
      </c>
      <c r="AZ17" s="94">
        <f t="shared" si="10"/>
        <v>0</v>
      </c>
      <c r="BA17" s="94">
        <f t="shared" si="10"/>
        <v>0</v>
      </c>
      <c r="BB17" s="9">
        <f t="shared" si="8"/>
        <v>495</v>
      </c>
    </row>
    <row r="18" spans="1:55" x14ac:dyDescent="0.25">
      <c r="A18" s="13" t="s">
        <v>21</v>
      </c>
      <c r="B18" s="11"/>
      <c r="C18" s="7"/>
      <c r="D18" s="7"/>
      <c r="E18" s="7"/>
      <c r="F18" s="9">
        <f t="shared" si="0"/>
        <v>0</v>
      </c>
      <c r="H18" s="11">
        <v>200</v>
      </c>
      <c r="I18" s="7"/>
      <c r="J18" s="7"/>
      <c r="K18" s="7"/>
      <c r="L18" s="9">
        <f t="shared" si="1"/>
        <v>200</v>
      </c>
      <c r="M18" s="221">
        <v>7</v>
      </c>
      <c r="N18" s="11"/>
      <c r="O18" s="7"/>
      <c r="P18" s="7"/>
      <c r="Q18" s="7"/>
      <c r="R18" s="9">
        <f t="shared" si="2"/>
        <v>0</v>
      </c>
      <c r="T18" s="11"/>
      <c r="U18" s="7"/>
      <c r="V18" s="7"/>
      <c r="W18" s="7"/>
      <c r="X18" s="9">
        <f t="shared" si="3"/>
        <v>0</v>
      </c>
      <c r="Z18" s="11">
        <v>220</v>
      </c>
      <c r="AA18" s="7"/>
      <c r="AB18" s="7"/>
      <c r="AC18" s="7"/>
      <c r="AD18" s="9">
        <f t="shared" si="4"/>
        <v>220</v>
      </c>
      <c r="AE18" s="221">
        <v>8</v>
      </c>
      <c r="AF18" s="11"/>
      <c r="AG18" s="7"/>
      <c r="AH18" s="7"/>
      <c r="AI18" s="7"/>
      <c r="AJ18" s="9">
        <f t="shared" si="5"/>
        <v>0</v>
      </c>
      <c r="AK18" s="221"/>
      <c r="AL18" s="11">
        <v>0</v>
      </c>
      <c r="AM18" s="7"/>
      <c r="AN18" s="7"/>
      <c r="AO18" s="7"/>
      <c r="AP18" s="9">
        <f t="shared" si="6"/>
        <v>0</v>
      </c>
      <c r="AR18" s="11">
        <v>30</v>
      </c>
      <c r="AS18" s="7"/>
      <c r="AT18" s="7"/>
      <c r="AU18" s="7"/>
      <c r="AV18" s="9">
        <f t="shared" si="7"/>
        <v>30</v>
      </c>
      <c r="AX18" s="94">
        <f t="shared" si="14"/>
        <v>450</v>
      </c>
      <c r="AY18" s="94">
        <f t="shared" si="10"/>
        <v>0</v>
      </c>
      <c r="AZ18" s="94">
        <f t="shared" si="10"/>
        <v>0</v>
      </c>
      <c r="BA18" s="94">
        <f t="shared" si="10"/>
        <v>0</v>
      </c>
      <c r="BB18" s="9">
        <f t="shared" si="8"/>
        <v>450</v>
      </c>
    </row>
    <row r="19" spans="1:55" x14ac:dyDescent="0.25">
      <c r="A19" s="13" t="s">
        <v>8</v>
      </c>
      <c r="B19" s="9">
        <f>SUM(B6:B18)</f>
        <v>936</v>
      </c>
      <c r="C19" s="9"/>
      <c r="D19" s="9"/>
      <c r="E19" s="9"/>
      <c r="F19" s="9">
        <f t="shared" si="0"/>
        <v>936</v>
      </c>
      <c r="H19" s="9">
        <f>SUM(H6:H18)</f>
        <v>2444</v>
      </c>
      <c r="I19" s="9"/>
      <c r="J19" s="9"/>
      <c r="K19" s="9"/>
      <c r="L19" s="9">
        <f t="shared" si="1"/>
        <v>2444</v>
      </c>
      <c r="N19" s="9">
        <f>SUM(N6:N18)</f>
        <v>1016</v>
      </c>
      <c r="O19" s="9"/>
      <c r="P19" s="9"/>
      <c r="Q19" s="9"/>
      <c r="R19" s="9">
        <f t="shared" si="2"/>
        <v>1016</v>
      </c>
      <c r="T19" s="9">
        <f>SUM(T6:T18)</f>
        <v>1215</v>
      </c>
      <c r="U19" s="9"/>
      <c r="V19" s="9"/>
      <c r="W19" s="9"/>
      <c r="X19" s="9">
        <f t="shared" si="3"/>
        <v>1215</v>
      </c>
      <c r="Z19" s="9">
        <f>SUM(Z6:Z18)</f>
        <v>2435</v>
      </c>
      <c r="AA19" s="9"/>
      <c r="AB19" s="9"/>
      <c r="AC19" s="9"/>
      <c r="AD19" s="9">
        <f t="shared" si="4"/>
        <v>2435</v>
      </c>
      <c r="AF19" s="9">
        <f>SUM(AF6:AF18)</f>
        <v>960</v>
      </c>
      <c r="AG19" s="9"/>
      <c r="AH19" s="9"/>
      <c r="AI19" s="9"/>
      <c r="AJ19" s="9">
        <f t="shared" si="5"/>
        <v>960</v>
      </c>
      <c r="AL19" s="9">
        <f>SUM(AL6:AL18)</f>
        <v>0</v>
      </c>
      <c r="AM19" s="9"/>
      <c r="AN19" s="9"/>
      <c r="AO19" s="9"/>
      <c r="AP19" s="9">
        <f t="shared" si="6"/>
        <v>0</v>
      </c>
      <c r="AR19" s="9">
        <f>SUM(AR6:AR18)</f>
        <v>320</v>
      </c>
      <c r="AS19" s="9"/>
      <c r="AT19" s="9"/>
      <c r="AU19" s="9"/>
      <c r="AV19" s="9">
        <f t="shared" si="7"/>
        <v>320</v>
      </c>
      <c r="AX19" s="9">
        <f>B19+H19+N19+T19+Z19+AF19+AL19+AR19</f>
        <v>9326</v>
      </c>
      <c r="AY19" s="9">
        <f>C19+I19+O19+U19+AA19+AM19+AS19</f>
        <v>0</v>
      </c>
      <c r="AZ19" s="9">
        <f>D19+J19+P19+V19+AB19+AN19+AT19</f>
        <v>0</v>
      </c>
      <c r="BA19" s="9">
        <f>E19+K19+Q19+W19+AC19+AO19+AU19</f>
        <v>0</v>
      </c>
      <c r="BB19" s="9">
        <f t="shared" si="8"/>
        <v>9326</v>
      </c>
      <c r="BC19" s="224" t="b">
        <f>BB19='Use this enrollment'!F70</f>
        <v>1</v>
      </c>
    </row>
    <row r="20" spans="1:55" x14ac:dyDescent="0.25">
      <c r="A20" s="16"/>
      <c r="B20" s="7"/>
      <c r="C20" s="7"/>
      <c r="D20" s="7"/>
      <c r="E20" s="7"/>
      <c r="F20" s="7"/>
      <c r="H20" s="7"/>
      <c r="I20" s="7"/>
      <c r="J20" s="7"/>
      <c r="K20" s="7"/>
      <c r="L20" s="7"/>
      <c r="N20" s="7"/>
      <c r="O20" s="7"/>
      <c r="P20" s="7"/>
      <c r="Q20" s="7"/>
      <c r="R20" s="7"/>
      <c r="T20" s="7"/>
      <c r="U20" s="7"/>
      <c r="V20" s="7"/>
      <c r="W20" s="7"/>
      <c r="X20" s="7"/>
      <c r="Z20" s="7"/>
      <c r="AA20" s="7"/>
      <c r="AB20" s="7"/>
      <c r="AC20" s="7"/>
      <c r="AD20" s="7"/>
      <c r="AF20" s="7"/>
      <c r="AG20" s="7"/>
      <c r="AH20" s="7"/>
      <c r="AI20" s="7"/>
      <c r="AJ20" s="7"/>
      <c r="AL20" s="7"/>
      <c r="AM20" s="7"/>
      <c r="AN20" s="7"/>
      <c r="AO20" s="7"/>
      <c r="AP20" s="7"/>
      <c r="AR20" s="7"/>
      <c r="AS20" s="7"/>
      <c r="AT20" s="7"/>
      <c r="AU20" s="7"/>
      <c r="AV20" s="7"/>
      <c r="AX20" s="7"/>
      <c r="AY20" s="7"/>
      <c r="AZ20" s="7"/>
      <c r="BA20" s="7"/>
      <c r="BB20" s="7"/>
    </row>
    <row r="21" spans="1:55" x14ac:dyDescent="0.25">
      <c r="A21" s="17" t="s">
        <v>22</v>
      </c>
      <c r="B21" s="18"/>
      <c r="C21" s="18"/>
      <c r="D21" s="18"/>
      <c r="E21" s="18"/>
      <c r="F21" s="18"/>
      <c r="H21" s="18"/>
      <c r="I21" s="18"/>
      <c r="J21" s="18"/>
      <c r="K21" s="18"/>
      <c r="L21" s="18"/>
      <c r="N21" s="18"/>
      <c r="O21" s="18"/>
      <c r="P21" s="18"/>
      <c r="Q21" s="18"/>
      <c r="R21" s="18"/>
      <c r="T21" s="18"/>
      <c r="U21" s="18"/>
      <c r="V21" s="18"/>
      <c r="W21" s="18"/>
      <c r="X21" s="18"/>
      <c r="Z21" s="18"/>
      <c r="AA21" s="18"/>
      <c r="AB21" s="18"/>
      <c r="AC21" s="18"/>
      <c r="AD21" s="18"/>
      <c r="AF21" s="18"/>
      <c r="AG21" s="18"/>
      <c r="AH21" s="18"/>
      <c r="AI21" s="18"/>
      <c r="AJ21" s="18"/>
      <c r="AL21" s="18"/>
      <c r="AM21" s="18"/>
      <c r="AN21" s="18"/>
      <c r="AO21" s="18"/>
      <c r="AP21" s="18"/>
      <c r="AR21" s="18"/>
      <c r="AS21" s="18"/>
      <c r="AT21" s="18"/>
      <c r="AU21" s="18"/>
      <c r="AV21" s="18"/>
      <c r="AX21" s="18"/>
      <c r="AY21" s="18"/>
      <c r="AZ21" s="18"/>
      <c r="BA21" s="18"/>
      <c r="BB21" s="18"/>
    </row>
    <row r="22" spans="1:55" x14ac:dyDescent="0.25">
      <c r="A22" s="140" t="s">
        <v>23</v>
      </c>
      <c r="B22" s="7"/>
      <c r="C22" s="7"/>
      <c r="D22" s="7">
        <f>('FY25'!D22/'FY25'!B19)*'FY26'!B19</f>
        <v>100.99221357063404</v>
      </c>
      <c r="E22" s="7"/>
      <c r="F22" s="7">
        <f t="shared" ref="F22:F27" si="23">SUM(B22:E22)</f>
        <v>100.99221357063404</v>
      </c>
      <c r="H22" s="7"/>
      <c r="I22" s="7"/>
      <c r="J22" s="7">
        <f>('FY25'!J22/'FY25'!H19)*'FY26'!H19</f>
        <v>310.40106951871661</v>
      </c>
      <c r="K22" s="7"/>
      <c r="L22" s="7">
        <f t="shared" ref="L22:L27" si="24">SUM(H22:K22)</f>
        <v>310.40106951871661</v>
      </c>
      <c r="M22" s="219">
        <f>J22/24</f>
        <v>12.933377896613193</v>
      </c>
      <c r="N22" s="7"/>
      <c r="O22" s="7"/>
      <c r="P22" s="7">
        <f>('FY25'!P22/'FY25'!N19)*'FY26'!N19</f>
        <v>74</v>
      </c>
      <c r="Q22" s="7"/>
      <c r="R22" s="7">
        <f t="shared" ref="R22:R27" si="25">SUM(N22:Q22)</f>
        <v>74</v>
      </c>
      <c r="T22" s="7"/>
      <c r="U22" s="7"/>
      <c r="V22" s="7">
        <f>('FY25'!V22/'FY25'!T19)*'FY26'!T19</f>
        <v>109.44120100083403</v>
      </c>
      <c r="W22" s="7"/>
      <c r="X22" s="7">
        <f t="shared" ref="X22:X27" si="26">SUM(T22:W22)</f>
        <v>109.44120100083403</v>
      </c>
      <c r="Z22" s="7"/>
      <c r="AA22" s="7"/>
      <c r="AB22" s="7">
        <f>('FY25'!AB22/'FY25'!Z19)*'FY26'!Z19</f>
        <v>199.22727272727272</v>
      </c>
      <c r="AC22" s="7"/>
      <c r="AD22" s="7">
        <f t="shared" ref="AD22:AD27" si="27">SUM(Z22:AC22)</f>
        <v>199.22727272727272</v>
      </c>
      <c r="AF22" s="7"/>
      <c r="AG22" s="7"/>
      <c r="AH22" s="7">
        <f>'FY25'!AF19*0.12</f>
        <v>97.8</v>
      </c>
      <c r="AI22" s="7"/>
      <c r="AJ22" s="7">
        <f t="shared" ref="AJ22:AJ27" si="28">SUM(AF22:AI22)</f>
        <v>97.8</v>
      </c>
      <c r="AL22" s="7"/>
      <c r="AM22" s="7"/>
      <c r="AN22" s="7">
        <v>0</v>
      </c>
      <c r="AO22" s="7"/>
      <c r="AP22" s="7">
        <f t="shared" ref="AP22:AP27" si="29">SUM(AL22:AO22)</f>
        <v>0</v>
      </c>
      <c r="AR22" s="7"/>
      <c r="AS22" s="7"/>
      <c r="AT22" s="7">
        <v>25</v>
      </c>
      <c r="AU22" s="7"/>
      <c r="AV22" s="7">
        <f t="shared" ref="AV22:AV27" si="30">SUM(AR22:AU22)</f>
        <v>25</v>
      </c>
      <c r="AX22" s="7">
        <f>B22+H22+N22+T22+Z22+AF22+AL22+AR22</f>
        <v>0</v>
      </c>
      <c r="AY22" s="7">
        <f t="shared" ref="AY22:BA22" si="31">C22+I22+O22+U22+AA22+AG22+AM22+AS22</f>
        <v>0</v>
      </c>
      <c r="AZ22" s="7">
        <f t="shared" si="31"/>
        <v>916.86175681745738</v>
      </c>
      <c r="BA22" s="7">
        <f t="shared" si="31"/>
        <v>0</v>
      </c>
      <c r="BB22" s="7">
        <f t="shared" ref="BB22:BB27" si="32">SUM(AX22:BA22)</f>
        <v>916.86175681745738</v>
      </c>
    </row>
    <row r="23" spans="1:55" x14ac:dyDescent="0.25">
      <c r="A23" s="140" t="s">
        <v>24</v>
      </c>
      <c r="B23" s="7"/>
      <c r="C23" s="7">
        <f>('FY25'!C23/'FY25'!B19)*'FY26'!B19</f>
        <v>15.617352614015573</v>
      </c>
      <c r="D23" s="7"/>
      <c r="E23" s="7"/>
      <c r="F23" s="7">
        <f t="shared" si="23"/>
        <v>15.617352614015573</v>
      </c>
      <c r="H23" s="7"/>
      <c r="I23" s="7">
        <f>('FY25'!I23/'FY25'!H19)*'FY26'!H19</f>
        <v>35.941176470588232</v>
      </c>
      <c r="J23" s="7"/>
      <c r="K23" s="7"/>
      <c r="L23" s="7">
        <f t="shared" si="24"/>
        <v>35.941176470588232</v>
      </c>
      <c r="N23" s="7"/>
      <c r="O23" s="7">
        <f>('FY25'!O23/'FY25'!N19)*'FY26'!N19</f>
        <v>18</v>
      </c>
      <c r="P23" s="7"/>
      <c r="Q23" s="7"/>
      <c r="R23" s="7">
        <f t="shared" si="25"/>
        <v>18</v>
      </c>
      <c r="T23" s="7"/>
      <c r="U23" s="7">
        <f>('FY25'!U23/'FY25'!T19)*'FY26'!T19</f>
        <v>8.1067556296914098</v>
      </c>
      <c r="V23" s="7"/>
      <c r="W23" s="7"/>
      <c r="X23" s="7">
        <f t="shared" si="26"/>
        <v>8.1067556296914098</v>
      </c>
      <c r="Z23" s="7"/>
      <c r="AA23" s="7">
        <f>('FY25'!AA23/'FY25'!Z19)*'FY26'!Z19</f>
        <v>26.796650717703351</v>
      </c>
      <c r="AB23" s="7"/>
      <c r="AC23" s="7"/>
      <c r="AD23" s="7">
        <f t="shared" si="27"/>
        <v>26.796650717703351</v>
      </c>
      <c r="AF23" s="7"/>
      <c r="AG23" s="7">
        <f>'FY25'!AF19*0.29</f>
        <v>236.35</v>
      </c>
      <c r="AH23" s="7"/>
      <c r="AI23" s="7"/>
      <c r="AJ23" s="7">
        <f t="shared" si="28"/>
        <v>236.35</v>
      </c>
      <c r="AL23" s="7"/>
      <c r="AM23" s="7">
        <v>0</v>
      </c>
      <c r="AN23" s="7"/>
      <c r="AO23" s="7"/>
      <c r="AP23" s="7">
        <f t="shared" si="29"/>
        <v>0</v>
      </c>
      <c r="AR23" s="7"/>
      <c r="AS23" s="7">
        <v>0</v>
      </c>
      <c r="AT23" s="7"/>
      <c r="AU23" s="7"/>
      <c r="AV23" s="7">
        <f t="shared" si="30"/>
        <v>0</v>
      </c>
      <c r="AX23" s="7">
        <f t="shared" ref="AX23:AX26" si="33">B23+H23+N23+T23+Z23+AL23+AR23</f>
        <v>0</v>
      </c>
      <c r="AY23" s="7">
        <f t="shared" ref="AY23:BA24" si="34">C23+I23+O23+U23+AA23+AM23+AS23</f>
        <v>104.46193543199857</v>
      </c>
      <c r="AZ23" s="7">
        <f t="shared" si="34"/>
        <v>0</v>
      </c>
      <c r="BA23" s="7">
        <f t="shared" si="34"/>
        <v>0</v>
      </c>
      <c r="BB23" s="7">
        <f t="shared" si="32"/>
        <v>104.46193543199857</v>
      </c>
    </row>
    <row r="24" spans="1:55" x14ac:dyDescent="0.25">
      <c r="A24" s="140" t="s">
        <v>25</v>
      </c>
      <c r="B24" s="7"/>
      <c r="C24" s="7">
        <f>('FY25'!C24/'FY25'!B19)*'FY26'!B19</f>
        <v>45.810901001112349</v>
      </c>
      <c r="D24" s="7"/>
      <c r="E24" s="7"/>
      <c r="F24" s="7">
        <f t="shared" si="23"/>
        <v>45.810901001112349</v>
      </c>
      <c r="H24" s="7"/>
      <c r="I24" s="7">
        <f>('FY25'!I24/'FY25'!H19)*'FY26'!H19</f>
        <v>56.634581105169346</v>
      </c>
      <c r="J24" s="7"/>
      <c r="K24" s="7"/>
      <c r="L24" s="7">
        <f t="shared" si="24"/>
        <v>56.634581105169346</v>
      </c>
      <c r="N24" s="7"/>
      <c r="O24" s="7">
        <f>('FY25'!O24/'FY25'!N19)*'FY26'!N19</f>
        <v>46</v>
      </c>
      <c r="P24" s="7"/>
      <c r="Q24" s="7"/>
      <c r="R24" s="7">
        <f t="shared" si="25"/>
        <v>46</v>
      </c>
      <c r="T24" s="7"/>
      <c r="U24" s="7">
        <f>('FY25'!U24/'FY25'!T19)*'FY26'!T19</f>
        <v>78.027522935779814</v>
      </c>
      <c r="V24" s="7"/>
      <c r="W24" s="7"/>
      <c r="X24" s="7">
        <f t="shared" si="26"/>
        <v>78.027522935779814</v>
      </c>
      <c r="Z24" s="7"/>
      <c r="AA24" s="7">
        <f>('FY25'!AA24/'FY25'!Z19)*'FY26'!Z19</f>
        <v>74.564593301435394</v>
      </c>
      <c r="AB24" s="7"/>
      <c r="AC24" s="7"/>
      <c r="AD24" s="7">
        <f t="shared" si="27"/>
        <v>74.564593301435394</v>
      </c>
      <c r="AF24" s="7"/>
      <c r="AG24" s="357">
        <f>'FY25'!AF19*0.025</f>
        <v>20.375</v>
      </c>
      <c r="AH24" s="7"/>
      <c r="AI24" s="7"/>
      <c r="AJ24" s="7">
        <f t="shared" si="28"/>
        <v>20.375</v>
      </c>
      <c r="AL24" s="7"/>
      <c r="AM24" s="7">
        <v>0</v>
      </c>
      <c r="AN24" s="7"/>
      <c r="AO24" s="7"/>
      <c r="AP24" s="7">
        <f t="shared" si="29"/>
        <v>0</v>
      </c>
      <c r="AR24" s="7"/>
      <c r="AS24" s="7">
        <v>0</v>
      </c>
      <c r="AT24" s="7"/>
      <c r="AU24" s="7"/>
      <c r="AV24" s="7">
        <f t="shared" si="30"/>
        <v>0</v>
      </c>
      <c r="AX24" s="7">
        <f t="shared" si="33"/>
        <v>0</v>
      </c>
      <c r="AY24" s="7">
        <f t="shared" si="34"/>
        <v>301.03759834349694</v>
      </c>
      <c r="AZ24" s="7">
        <f t="shared" si="34"/>
        <v>0</v>
      </c>
      <c r="BA24" s="7">
        <f t="shared" si="34"/>
        <v>0</v>
      </c>
      <c r="BB24" s="7">
        <f t="shared" si="32"/>
        <v>301.03759834349694</v>
      </c>
    </row>
    <row r="25" spans="1:55" x14ac:dyDescent="0.25">
      <c r="A25" s="140" t="s">
        <v>26</v>
      </c>
      <c r="B25" s="19"/>
      <c r="C25" s="19"/>
      <c r="D25" s="19"/>
      <c r="E25" s="19">
        <v>0.38</v>
      </c>
      <c r="F25" s="19">
        <f t="shared" si="23"/>
        <v>0.38</v>
      </c>
      <c r="H25" s="19"/>
      <c r="I25" s="19"/>
      <c r="J25" s="19"/>
      <c r="K25" s="19">
        <v>0.4</v>
      </c>
      <c r="L25" s="19">
        <f t="shared" si="24"/>
        <v>0.4</v>
      </c>
      <c r="N25" s="19"/>
      <c r="O25" s="19"/>
      <c r="P25" s="19"/>
      <c r="Q25" s="19">
        <v>0.3</v>
      </c>
      <c r="R25" s="19">
        <f t="shared" si="25"/>
        <v>0.3</v>
      </c>
      <c r="T25" s="19"/>
      <c r="U25" s="19"/>
      <c r="V25" s="19"/>
      <c r="W25" s="19">
        <v>0.15</v>
      </c>
      <c r="X25" s="19">
        <f t="shared" si="26"/>
        <v>0.15</v>
      </c>
      <c r="Z25" s="19"/>
      <c r="AA25" s="19"/>
      <c r="AB25" s="19"/>
      <c r="AC25" s="19">
        <v>0.24</v>
      </c>
      <c r="AD25" s="19">
        <f t="shared" si="27"/>
        <v>0.24</v>
      </c>
      <c r="AF25" s="19"/>
      <c r="AG25" s="19"/>
      <c r="AH25" s="19"/>
      <c r="AI25" s="19">
        <v>0.64</v>
      </c>
      <c r="AJ25" s="19">
        <f t="shared" si="28"/>
        <v>0.64</v>
      </c>
      <c r="AL25" s="19"/>
      <c r="AM25" s="19"/>
      <c r="AN25" s="19"/>
      <c r="AO25" s="19">
        <v>0</v>
      </c>
      <c r="AP25" s="19">
        <f t="shared" si="29"/>
        <v>0</v>
      </c>
      <c r="AR25" s="19"/>
      <c r="AS25" s="19"/>
      <c r="AT25" s="19"/>
      <c r="AU25" s="19">
        <v>0.4</v>
      </c>
      <c r="AV25" s="19">
        <f t="shared" si="30"/>
        <v>0.4</v>
      </c>
      <c r="AX25" s="7">
        <f t="shared" si="33"/>
        <v>0</v>
      </c>
      <c r="AY25" s="7">
        <f>C25+I25+O25+U25+AA25+AM25+AS25</f>
        <v>0</v>
      </c>
      <c r="AZ25" s="7">
        <f>D25+J25+P25+V25+AB25+AN25+AT25</f>
        <v>0</v>
      </c>
      <c r="BA25" s="226">
        <f>((E25*B19)+(K25*H19)+(Q25*N19)+(W25*T19)+(AC25*Z19)+(AF19*AI25))/AX19</f>
        <v>0.32373257559511048</v>
      </c>
      <c r="BB25" s="19">
        <f t="shared" si="32"/>
        <v>0.32373257559511048</v>
      </c>
    </row>
    <row r="26" spans="1:55" x14ac:dyDescent="0.25">
      <c r="A26" s="140" t="s">
        <v>27</v>
      </c>
      <c r="B26" s="7"/>
      <c r="C26" s="7">
        <f>('FY25'!C26/'FY25'!B19)*'FY26'!B19</f>
        <v>241.54838709677418</v>
      </c>
      <c r="D26" s="7"/>
      <c r="E26" s="7"/>
      <c r="F26" s="7">
        <f t="shared" si="23"/>
        <v>241.54838709677418</v>
      </c>
      <c r="H26" s="7"/>
      <c r="I26" s="7">
        <f>('FY25'!I26/'FY25'!H19)*'FY26'!H19</f>
        <v>563.07843137254906</v>
      </c>
      <c r="J26" s="7"/>
      <c r="K26" s="7"/>
      <c r="L26" s="7">
        <f t="shared" si="24"/>
        <v>563.07843137254906</v>
      </c>
      <c r="N26" s="7"/>
      <c r="O26" s="7">
        <f>('FY25'!O26/'FY25'!N19)*'FY26'!N19</f>
        <v>241</v>
      </c>
      <c r="P26" s="7"/>
      <c r="Q26" s="7"/>
      <c r="R26" s="7">
        <f t="shared" si="25"/>
        <v>241</v>
      </c>
      <c r="T26" s="7"/>
      <c r="U26" s="7">
        <f>('FY25'!U26/'FY25'!T19)*'FY26'!T19</f>
        <v>132.74812343619683</v>
      </c>
      <c r="V26" s="7"/>
      <c r="W26" s="7"/>
      <c r="X26" s="7">
        <f t="shared" si="26"/>
        <v>132.74812343619683</v>
      </c>
      <c r="Z26" s="7"/>
      <c r="AA26" s="7">
        <f>('FY25'!AA26/'FY25'!Z19)*'FY26'!Z19</f>
        <v>285.44258373205736</v>
      </c>
      <c r="AB26" s="7"/>
      <c r="AC26" s="7"/>
      <c r="AD26" s="7">
        <f t="shared" si="27"/>
        <v>285.44258373205736</v>
      </c>
      <c r="AF26" s="7"/>
      <c r="AG26" s="7">
        <f>'FY25'!AF19*AI25-((AG23+AG24+AH22)*0.9)</f>
        <v>202.52749999999997</v>
      </c>
      <c r="AH26" s="19"/>
      <c r="AI26" s="7"/>
      <c r="AJ26" s="7">
        <f t="shared" si="28"/>
        <v>202.52749999999997</v>
      </c>
      <c r="AL26" s="7"/>
      <c r="AM26" s="7">
        <v>0</v>
      </c>
      <c r="AN26" s="7"/>
      <c r="AO26" s="7"/>
      <c r="AP26" s="7">
        <f t="shared" si="29"/>
        <v>0</v>
      </c>
      <c r="AR26" s="7"/>
      <c r="AS26" s="7">
        <v>100</v>
      </c>
      <c r="AT26" s="7"/>
      <c r="AU26" s="7"/>
      <c r="AV26" s="7">
        <f t="shared" si="30"/>
        <v>100</v>
      </c>
      <c r="AX26" s="7">
        <f t="shared" si="33"/>
        <v>0</v>
      </c>
      <c r="AY26" s="7">
        <f>C26+I26+O26+U26+AA26+AM26+AS26</f>
        <v>1563.8175256375773</v>
      </c>
      <c r="AZ26" s="7">
        <f>D26+J26+P26+V26+AB26+AN26+AT26</f>
        <v>0</v>
      </c>
      <c r="BA26" s="7">
        <f>E26+K26+Q26+W26+AC26+AO26+AU26</f>
        <v>0</v>
      </c>
      <c r="BB26" s="7">
        <f t="shared" si="32"/>
        <v>1563.8175256375773</v>
      </c>
    </row>
    <row r="27" spans="1:55" x14ac:dyDescent="0.25">
      <c r="A27" s="20"/>
      <c r="B27" s="7"/>
      <c r="C27" s="7"/>
      <c r="D27" s="7"/>
      <c r="E27" s="7"/>
      <c r="F27" s="7">
        <f t="shared" si="23"/>
        <v>0</v>
      </c>
      <c r="H27" s="7"/>
      <c r="I27" s="7"/>
      <c r="J27" s="7"/>
      <c r="K27" s="7"/>
      <c r="L27" s="7">
        <f t="shared" si="24"/>
        <v>0</v>
      </c>
      <c r="N27" s="7"/>
      <c r="O27" s="7"/>
      <c r="P27" s="7"/>
      <c r="Q27" s="7"/>
      <c r="R27" s="7">
        <f t="shared" si="25"/>
        <v>0</v>
      </c>
      <c r="T27" s="7"/>
      <c r="U27" s="7"/>
      <c r="V27" s="7"/>
      <c r="W27" s="7"/>
      <c r="X27" s="7">
        <f t="shared" si="26"/>
        <v>0</v>
      </c>
      <c r="Z27" s="7"/>
      <c r="AA27" s="7"/>
      <c r="AB27" s="7"/>
      <c r="AC27" s="7"/>
      <c r="AD27" s="7">
        <f t="shared" si="27"/>
        <v>0</v>
      </c>
      <c r="AF27" s="7"/>
      <c r="AG27" s="7"/>
      <c r="AH27" s="7"/>
      <c r="AI27" s="7"/>
      <c r="AJ27" s="7">
        <f t="shared" si="28"/>
        <v>0</v>
      </c>
      <c r="AL27" s="7"/>
      <c r="AM27" s="7"/>
      <c r="AN27" s="7"/>
      <c r="AO27" s="7"/>
      <c r="AP27" s="7">
        <f t="shared" si="29"/>
        <v>0</v>
      </c>
      <c r="AR27" s="7"/>
      <c r="AS27" s="7"/>
      <c r="AT27" s="7"/>
      <c r="AU27" s="7"/>
      <c r="AV27" s="7">
        <f t="shared" si="30"/>
        <v>0</v>
      </c>
      <c r="AX27" s="7"/>
      <c r="AY27" s="7"/>
      <c r="AZ27" s="7"/>
      <c r="BA27" s="7"/>
      <c r="BB27" s="7">
        <f t="shared" si="32"/>
        <v>0</v>
      </c>
    </row>
    <row r="28" spans="1:55" x14ac:dyDescent="0.25">
      <c r="A28" s="17" t="s">
        <v>28</v>
      </c>
      <c r="B28" s="18"/>
      <c r="C28" s="18"/>
      <c r="D28" s="18"/>
      <c r="E28" s="18"/>
      <c r="F28" s="18"/>
      <c r="H28" s="18"/>
      <c r="I28" s="18"/>
      <c r="J28" s="18"/>
      <c r="K28" s="18"/>
      <c r="L28" s="18"/>
      <c r="N28" s="18"/>
      <c r="O28" s="18"/>
      <c r="P28" s="18"/>
      <c r="Q28" s="18"/>
      <c r="R28" s="18"/>
      <c r="T28" s="18"/>
      <c r="U28" s="18"/>
      <c r="V28" s="18"/>
      <c r="W28" s="18"/>
      <c r="X28" s="18"/>
      <c r="Z28" s="18"/>
      <c r="AA28" s="18"/>
      <c r="AB28" s="18"/>
      <c r="AC28" s="18"/>
      <c r="AD28" s="18"/>
      <c r="AF28" s="18"/>
      <c r="AG28" s="18"/>
      <c r="AH28" s="18"/>
      <c r="AI28" s="18"/>
      <c r="AJ28" s="18"/>
      <c r="AL28" s="18"/>
      <c r="AM28" s="18"/>
      <c r="AN28" s="18"/>
      <c r="AO28" s="18"/>
      <c r="AP28" s="18"/>
      <c r="AR28" s="18"/>
      <c r="AS28" s="18"/>
      <c r="AT28" s="18"/>
      <c r="AU28" s="18"/>
      <c r="AV28" s="18"/>
      <c r="AX28" s="18"/>
      <c r="AY28" s="18"/>
      <c r="AZ28" s="18"/>
      <c r="BA28" s="18"/>
      <c r="BB28" s="18"/>
    </row>
    <row r="29" spans="1:55" x14ac:dyDescent="0.25">
      <c r="A29" s="21" t="s">
        <v>29</v>
      </c>
      <c r="B29" s="23">
        <v>36</v>
      </c>
      <c r="C29" s="23">
        <v>0</v>
      </c>
      <c r="D29" s="23">
        <v>0</v>
      </c>
      <c r="E29" s="23">
        <v>0</v>
      </c>
      <c r="F29" s="23">
        <f t="shared" ref="F29:F38" si="35">SUM(B29:E29)</f>
        <v>36</v>
      </c>
      <c r="G29" s="223" t="b">
        <f>SUM(G6:G18)=B29</f>
        <v>1</v>
      </c>
      <c r="H29" s="23">
        <v>85</v>
      </c>
      <c r="I29" s="23">
        <v>0</v>
      </c>
      <c r="J29" s="23">
        <v>0</v>
      </c>
      <c r="K29" s="23">
        <v>0</v>
      </c>
      <c r="L29" s="23">
        <f t="shared" ref="L29:L38" si="36">SUM(H29:K29)</f>
        <v>85</v>
      </c>
      <c r="M29" s="223" t="b">
        <f>SUM(M6:M18)=H29</f>
        <v>1</v>
      </c>
      <c r="N29" s="23">
        <v>36</v>
      </c>
      <c r="O29" s="23">
        <v>0</v>
      </c>
      <c r="P29" s="23">
        <v>0</v>
      </c>
      <c r="Q29" s="23">
        <v>0</v>
      </c>
      <c r="R29" s="23">
        <f t="shared" ref="R29:R38" si="37">SUM(N29:Q29)</f>
        <v>36</v>
      </c>
      <c r="S29" s="223" t="b">
        <f>SUM(S6:S18)=N29</f>
        <v>1</v>
      </c>
      <c r="T29" s="23">
        <v>45</v>
      </c>
      <c r="U29" s="23">
        <v>0</v>
      </c>
      <c r="V29" s="23">
        <v>0</v>
      </c>
      <c r="W29" s="23">
        <v>0</v>
      </c>
      <c r="X29" s="23">
        <f t="shared" ref="X29:X38" si="38">SUM(T29:W29)</f>
        <v>45</v>
      </c>
      <c r="Y29" s="223" t="b">
        <f>SUM(Y6:Y18)=T29</f>
        <v>1</v>
      </c>
      <c r="Z29" s="23">
        <v>85</v>
      </c>
      <c r="AA29" s="23">
        <v>0</v>
      </c>
      <c r="AB29" s="23">
        <v>0</v>
      </c>
      <c r="AC29" s="23">
        <v>0</v>
      </c>
      <c r="AD29" s="23">
        <f t="shared" ref="AD29:AD38" si="39">SUM(Z29:AC29)</f>
        <v>85</v>
      </c>
      <c r="AE29" s="223" t="b">
        <f>SUM(AE6:AE18)=Z29</f>
        <v>1</v>
      </c>
      <c r="AF29" s="23">
        <v>36</v>
      </c>
      <c r="AG29" s="23">
        <v>0</v>
      </c>
      <c r="AH29" s="23">
        <v>0</v>
      </c>
      <c r="AI29" s="23">
        <v>0</v>
      </c>
      <c r="AJ29" s="23">
        <f t="shared" ref="AJ29:AJ38" si="40">SUM(AF29:AI29)</f>
        <v>36</v>
      </c>
      <c r="AK29" s="223" t="b">
        <f>SUM(AK6:AK18)=AF29</f>
        <v>1</v>
      </c>
      <c r="AL29" s="23">
        <v>0</v>
      </c>
      <c r="AM29" s="23">
        <v>0</v>
      </c>
      <c r="AN29" s="23">
        <v>0</v>
      </c>
      <c r="AO29" s="23">
        <v>0</v>
      </c>
      <c r="AP29" s="23">
        <f t="shared" ref="AP29:AP38" si="41">SUM(AL29:AO29)</f>
        <v>0</v>
      </c>
      <c r="AQ29" s="200">
        <f>AP29/6</f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f t="shared" ref="AV29:AV38" si="42">SUM(AR29:AU29)</f>
        <v>0</v>
      </c>
      <c r="AX29" s="23">
        <f>B29+H29+N29+T29+Z29+AF29+AL29+AR29</f>
        <v>323</v>
      </c>
      <c r="AY29" s="23">
        <f t="shared" ref="AY29:BA38" si="43">C29+I29+O29+U29+AA29+AG29+AM29+AS29</f>
        <v>0</v>
      </c>
      <c r="AZ29" s="23">
        <f t="shared" si="43"/>
        <v>0</v>
      </c>
      <c r="BA29" s="23">
        <f t="shared" si="43"/>
        <v>0</v>
      </c>
      <c r="BB29" s="23">
        <f t="shared" ref="BB29:BB38" si="44">SUM(AX29:BA29)</f>
        <v>323</v>
      </c>
    </row>
    <row r="30" spans="1:55" x14ac:dyDescent="0.25">
      <c r="A30" s="21" t="s">
        <v>30</v>
      </c>
      <c r="B30" s="23">
        <v>0</v>
      </c>
      <c r="C30" s="23">
        <v>0</v>
      </c>
      <c r="D30" s="23">
        <v>4</v>
      </c>
      <c r="E30" s="23">
        <v>0</v>
      </c>
      <c r="F30" s="23">
        <f t="shared" si="35"/>
        <v>4</v>
      </c>
      <c r="G30" s="223">
        <f>D22/23</f>
        <v>4.3909658074188709</v>
      </c>
      <c r="H30" s="23">
        <v>0</v>
      </c>
      <c r="I30" s="23">
        <v>0</v>
      </c>
      <c r="J30" s="23">
        <v>13</v>
      </c>
      <c r="K30" s="23">
        <v>0</v>
      </c>
      <c r="L30" s="23">
        <f t="shared" si="36"/>
        <v>13</v>
      </c>
      <c r="M30" s="223">
        <f>J22/23</f>
        <v>13.495698674726809</v>
      </c>
      <c r="N30" s="23">
        <v>0</v>
      </c>
      <c r="O30" s="23">
        <v>0</v>
      </c>
      <c r="P30" s="23">
        <v>4</v>
      </c>
      <c r="Q30" s="23">
        <v>0</v>
      </c>
      <c r="R30" s="23">
        <f t="shared" si="37"/>
        <v>4</v>
      </c>
      <c r="S30" s="223">
        <f>P22/23</f>
        <v>3.2173913043478262</v>
      </c>
      <c r="T30" s="23">
        <v>0</v>
      </c>
      <c r="U30" s="23">
        <v>0</v>
      </c>
      <c r="V30" s="23">
        <v>5</v>
      </c>
      <c r="W30" s="23">
        <v>0</v>
      </c>
      <c r="X30" s="23">
        <f t="shared" si="38"/>
        <v>5</v>
      </c>
      <c r="Y30" s="223">
        <f>V22/23</f>
        <v>4.7583130869927839</v>
      </c>
      <c r="Z30" s="23">
        <v>0</v>
      </c>
      <c r="AA30" s="23">
        <v>0</v>
      </c>
      <c r="AB30" s="23">
        <v>10</v>
      </c>
      <c r="AC30" s="23">
        <v>0</v>
      </c>
      <c r="AD30" s="23">
        <f t="shared" si="39"/>
        <v>10</v>
      </c>
      <c r="AE30" s="223">
        <f>AB22/23</f>
        <v>8.662055335968379</v>
      </c>
      <c r="AF30" s="23">
        <v>0</v>
      </c>
      <c r="AG30" s="23">
        <v>0</v>
      </c>
      <c r="AH30" s="23">
        <v>4</v>
      </c>
      <c r="AI30" s="23">
        <v>0</v>
      </c>
      <c r="AJ30" s="23">
        <f t="shared" si="40"/>
        <v>4</v>
      </c>
      <c r="AK30" s="223">
        <f>AH22/23</f>
        <v>4.2521739130434781</v>
      </c>
      <c r="AL30" s="23">
        <v>0</v>
      </c>
      <c r="AM30" s="23">
        <v>0</v>
      </c>
      <c r="AN30" s="23">
        <v>0</v>
      </c>
      <c r="AO30" s="23">
        <v>0</v>
      </c>
      <c r="AP30" s="23">
        <f t="shared" si="41"/>
        <v>0</v>
      </c>
      <c r="AQ30" s="199">
        <f>(AL19*0.13)/23</f>
        <v>0</v>
      </c>
      <c r="AR30" s="23">
        <v>0</v>
      </c>
      <c r="AS30" s="23">
        <v>0</v>
      </c>
      <c r="AT30" s="23">
        <v>1</v>
      </c>
      <c r="AU30" s="23">
        <v>0</v>
      </c>
      <c r="AV30" s="23">
        <f t="shared" si="42"/>
        <v>1</v>
      </c>
      <c r="AX30" s="23">
        <f t="shared" ref="AX30:AX38" si="45">B30+H30+N30+T30+Z30+AF30+AL30+AR30</f>
        <v>0</v>
      </c>
      <c r="AY30" s="23">
        <f t="shared" si="43"/>
        <v>0</v>
      </c>
      <c r="AZ30" s="23">
        <f t="shared" si="43"/>
        <v>41</v>
      </c>
      <c r="BA30" s="23">
        <f t="shared" si="43"/>
        <v>0</v>
      </c>
      <c r="BB30" s="23">
        <f t="shared" si="44"/>
        <v>41</v>
      </c>
    </row>
    <row r="31" spans="1:55" x14ac:dyDescent="0.25">
      <c r="A31" s="21" t="s">
        <v>31</v>
      </c>
      <c r="B31" s="23">
        <v>1</v>
      </c>
      <c r="C31" s="23">
        <v>0</v>
      </c>
      <c r="D31" s="23">
        <v>0</v>
      </c>
      <c r="E31" s="23">
        <v>0</v>
      </c>
      <c r="F31" s="23">
        <f t="shared" si="35"/>
        <v>1</v>
      </c>
      <c r="H31" s="23">
        <v>2</v>
      </c>
      <c r="I31" s="23">
        <v>0</v>
      </c>
      <c r="J31" s="23">
        <v>0</v>
      </c>
      <c r="K31" s="23">
        <v>0</v>
      </c>
      <c r="L31" s="23">
        <f t="shared" si="36"/>
        <v>2</v>
      </c>
      <c r="N31" s="23">
        <v>1</v>
      </c>
      <c r="O31" s="23">
        <v>0</v>
      </c>
      <c r="P31" s="23">
        <v>0</v>
      </c>
      <c r="Q31" s="23">
        <v>0</v>
      </c>
      <c r="R31" s="23">
        <f t="shared" si="37"/>
        <v>1</v>
      </c>
      <c r="T31" s="23">
        <v>1</v>
      </c>
      <c r="U31" s="23">
        <v>0</v>
      </c>
      <c r="V31" s="23">
        <v>0</v>
      </c>
      <c r="W31" s="23">
        <v>0</v>
      </c>
      <c r="X31" s="23">
        <f t="shared" si="38"/>
        <v>1</v>
      </c>
      <c r="Z31" s="23">
        <v>2</v>
      </c>
      <c r="AA31" s="23">
        <v>0</v>
      </c>
      <c r="AB31" s="23">
        <v>0</v>
      </c>
      <c r="AC31" s="23">
        <v>0</v>
      </c>
      <c r="AD31" s="23">
        <f t="shared" si="39"/>
        <v>2</v>
      </c>
      <c r="AF31" s="23">
        <v>1</v>
      </c>
      <c r="AG31" s="23">
        <v>0</v>
      </c>
      <c r="AH31" s="23">
        <v>0</v>
      </c>
      <c r="AI31" s="23">
        <v>0</v>
      </c>
      <c r="AJ31" s="23">
        <f t="shared" si="40"/>
        <v>1</v>
      </c>
      <c r="AL31" s="23">
        <v>0</v>
      </c>
      <c r="AM31" s="23">
        <v>0</v>
      </c>
      <c r="AN31" s="23">
        <v>0</v>
      </c>
      <c r="AO31" s="23">
        <v>0</v>
      </c>
      <c r="AP31" s="23">
        <f t="shared" si="41"/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f t="shared" si="42"/>
        <v>0</v>
      </c>
      <c r="AX31" s="23">
        <f t="shared" si="45"/>
        <v>8</v>
      </c>
      <c r="AY31" s="23">
        <f t="shared" si="43"/>
        <v>0</v>
      </c>
      <c r="AZ31" s="23">
        <f t="shared" si="43"/>
        <v>0</v>
      </c>
      <c r="BA31" s="23">
        <f t="shared" si="43"/>
        <v>0</v>
      </c>
      <c r="BB31" s="23">
        <f t="shared" si="44"/>
        <v>8</v>
      </c>
    </row>
    <row r="32" spans="1:55" x14ac:dyDescent="0.25">
      <c r="A32" s="21" t="s">
        <v>32</v>
      </c>
      <c r="B32" s="23">
        <v>1</v>
      </c>
      <c r="C32" s="23">
        <v>0</v>
      </c>
      <c r="D32" s="23">
        <v>0</v>
      </c>
      <c r="E32" s="23">
        <v>0</v>
      </c>
      <c r="F32" s="23">
        <f t="shared" si="35"/>
        <v>1</v>
      </c>
      <c r="H32" s="23">
        <v>2</v>
      </c>
      <c r="I32" s="23">
        <v>0</v>
      </c>
      <c r="J32" s="23">
        <v>0</v>
      </c>
      <c r="K32" s="23">
        <v>0</v>
      </c>
      <c r="L32" s="23">
        <f t="shared" si="36"/>
        <v>2</v>
      </c>
      <c r="N32" s="23">
        <v>1</v>
      </c>
      <c r="O32" s="23">
        <v>0</v>
      </c>
      <c r="P32" s="23">
        <v>0</v>
      </c>
      <c r="Q32" s="23">
        <v>0</v>
      </c>
      <c r="R32" s="23">
        <f t="shared" si="37"/>
        <v>1</v>
      </c>
      <c r="T32" s="23">
        <v>1</v>
      </c>
      <c r="U32" s="23">
        <v>0</v>
      </c>
      <c r="V32" s="23">
        <v>0</v>
      </c>
      <c r="W32" s="23">
        <v>0</v>
      </c>
      <c r="X32" s="23">
        <f t="shared" si="38"/>
        <v>1</v>
      </c>
      <c r="Z32" s="23">
        <v>2</v>
      </c>
      <c r="AA32" s="23">
        <v>0</v>
      </c>
      <c r="AB32" s="23">
        <v>0</v>
      </c>
      <c r="AC32" s="23">
        <v>0</v>
      </c>
      <c r="AD32" s="23">
        <f t="shared" si="39"/>
        <v>2</v>
      </c>
      <c r="AF32" s="23">
        <v>1</v>
      </c>
      <c r="AG32" s="23">
        <v>0</v>
      </c>
      <c r="AH32" s="23">
        <v>0</v>
      </c>
      <c r="AI32" s="23">
        <v>0</v>
      </c>
      <c r="AJ32" s="23">
        <f t="shared" si="40"/>
        <v>1</v>
      </c>
      <c r="AL32" s="23">
        <v>0</v>
      </c>
      <c r="AM32" s="23">
        <v>0</v>
      </c>
      <c r="AN32" s="23">
        <v>0</v>
      </c>
      <c r="AO32" s="23">
        <v>0</v>
      </c>
      <c r="AP32" s="23">
        <f t="shared" si="41"/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f t="shared" si="42"/>
        <v>0</v>
      </c>
      <c r="AX32" s="23">
        <f t="shared" si="45"/>
        <v>8</v>
      </c>
      <c r="AY32" s="23">
        <f t="shared" si="43"/>
        <v>0</v>
      </c>
      <c r="AZ32" s="23">
        <f t="shared" si="43"/>
        <v>0</v>
      </c>
      <c r="BA32" s="23">
        <f t="shared" si="43"/>
        <v>0</v>
      </c>
      <c r="BB32" s="23">
        <f t="shared" si="44"/>
        <v>8</v>
      </c>
    </row>
    <row r="33" spans="1:54" x14ac:dyDescent="0.25">
      <c r="A33" s="21" t="s">
        <v>33</v>
      </c>
      <c r="B33" s="23">
        <v>1</v>
      </c>
      <c r="C33" s="23">
        <v>0</v>
      </c>
      <c r="D33" s="23">
        <v>0</v>
      </c>
      <c r="E33" s="23">
        <v>0</v>
      </c>
      <c r="F33" s="23">
        <f t="shared" si="35"/>
        <v>1</v>
      </c>
      <c r="H33" s="23">
        <v>3</v>
      </c>
      <c r="I33" s="23">
        <v>0</v>
      </c>
      <c r="J33" s="23">
        <v>0</v>
      </c>
      <c r="K33" s="23">
        <v>0</v>
      </c>
      <c r="L33" s="23">
        <f t="shared" si="36"/>
        <v>3</v>
      </c>
      <c r="N33" s="23">
        <v>1</v>
      </c>
      <c r="O33" s="23">
        <v>0</v>
      </c>
      <c r="P33" s="23">
        <v>0</v>
      </c>
      <c r="Q33" s="23">
        <v>0</v>
      </c>
      <c r="R33" s="23">
        <f t="shared" si="37"/>
        <v>1</v>
      </c>
      <c r="T33" s="23">
        <v>1</v>
      </c>
      <c r="U33" s="23">
        <v>0</v>
      </c>
      <c r="V33" s="23">
        <v>0</v>
      </c>
      <c r="W33" s="23">
        <v>0</v>
      </c>
      <c r="X33" s="23">
        <f t="shared" si="38"/>
        <v>1</v>
      </c>
      <c r="Z33" s="23">
        <v>2</v>
      </c>
      <c r="AA33" s="23">
        <v>0</v>
      </c>
      <c r="AB33" s="23">
        <v>0</v>
      </c>
      <c r="AC33" s="23">
        <v>0</v>
      </c>
      <c r="AD33" s="23">
        <f t="shared" si="39"/>
        <v>2</v>
      </c>
      <c r="AF33" s="23">
        <v>1</v>
      </c>
      <c r="AG33" s="23">
        <v>0</v>
      </c>
      <c r="AH33" s="23">
        <v>0</v>
      </c>
      <c r="AI33" s="23">
        <v>0</v>
      </c>
      <c r="AJ33" s="23">
        <f t="shared" si="40"/>
        <v>1</v>
      </c>
      <c r="AL33" s="23">
        <v>0</v>
      </c>
      <c r="AM33" s="23">
        <v>0</v>
      </c>
      <c r="AN33" s="23">
        <v>0</v>
      </c>
      <c r="AO33" s="23">
        <v>0</v>
      </c>
      <c r="AP33" s="23">
        <f t="shared" si="41"/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f t="shared" si="42"/>
        <v>0</v>
      </c>
      <c r="AX33" s="23">
        <f t="shared" si="45"/>
        <v>9</v>
      </c>
      <c r="AY33" s="23">
        <f t="shared" si="43"/>
        <v>0</v>
      </c>
      <c r="AZ33" s="23">
        <f t="shared" si="43"/>
        <v>0</v>
      </c>
      <c r="BA33" s="23">
        <f t="shared" si="43"/>
        <v>0</v>
      </c>
      <c r="BB33" s="23">
        <f t="shared" si="44"/>
        <v>9</v>
      </c>
    </row>
    <row r="34" spans="1:54" x14ac:dyDescent="0.25">
      <c r="A34" s="24" t="s">
        <v>34</v>
      </c>
      <c r="B34" s="23">
        <v>0</v>
      </c>
      <c r="C34" s="23">
        <v>0</v>
      </c>
      <c r="D34" s="23">
        <v>0</v>
      </c>
      <c r="E34" s="23">
        <v>0</v>
      </c>
      <c r="F34" s="23">
        <f t="shared" si="35"/>
        <v>0</v>
      </c>
      <c r="H34" s="23">
        <v>0</v>
      </c>
      <c r="I34" s="23">
        <v>0</v>
      </c>
      <c r="J34" s="23">
        <v>0</v>
      </c>
      <c r="K34" s="23">
        <v>0</v>
      </c>
      <c r="L34" s="23">
        <f t="shared" si="36"/>
        <v>0</v>
      </c>
      <c r="N34" s="23">
        <v>0</v>
      </c>
      <c r="O34" s="23">
        <v>0</v>
      </c>
      <c r="P34" s="23">
        <v>0</v>
      </c>
      <c r="Q34" s="23">
        <v>0</v>
      </c>
      <c r="R34" s="23">
        <f t="shared" si="37"/>
        <v>0</v>
      </c>
      <c r="T34" s="23">
        <v>0</v>
      </c>
      <c r="U34" s="23">
        <v>0</v>
      </c>
      <c r="V34" s="23">
        <v>0</v>
      </c>
      <c r="W34" s="23">
        <v>0</v>
      </c>
      <c r="X34" s="23">
        <f t="shared" si="38"/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f t="shared" si="39"/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f t="shared" si="40"/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f t="shared" si="41"/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f t="shared" si="42"/>
        <v>0</v>
      </c>
      <c r="AX34" s="23">
        <f t="shared" si="45"/>
        <v>0</v>
      </c>
      <c r="AY34" s="23">
        <f t="shared" si="43"/>
        <v>0</v>
      </c>
      <c r="AZ34" s="23">
        <f t="shared" si="43"/>
        <v>0</v>
      </c>
      <c r="BA34" s="23">
        <f t="shared" si="43"/>
        <v>0</v>
      </c>
      <c r="BB34" s="23">
        <f t="shared" si="44"/>
        <v>0</v>
      </c>
    </row>
    <row r="35" spans="1:54" x14ac:dyDescent="0.25">
      <c r="A35" s="27" t="s">
        <v>35</v>
      </c>
      <c r="B35" s="23">
        <v>1</v>
      </c>
      <c r="C35" s="23">
        <v>0</v>
      </c>
      <c r="D35" s="23">
        <v>0</v>
      </c>
      <c r="E35" s="23">
        <v>0</v>
      </c>
      <c r="F35" s="23">
        <f t="shared" si="35"/>
        <v>1</v>
      </c>
      <c r="H35" s="23">
        <v>2</v>
      </c>
      <c r="I35" s="23">
        <v>0</v>
      </c>
      <c r="J35" s="23">
        <v>0</v>
      </c>
      <c r="K35" s="23">
        <v>0</v>
      </c>
      <c r="L35" s="23">
        <f t="shared" si="36"/>
        <v>2</v>
      </c>
      <c r="N35" s="23">
        <v>1</v>
      </c>
      <c r="O35" s="23">
        <v>0</v>
      </c>
      <c r="P35" s="23">
        <v>0</v>
      </c>
      <c r="Q35" s="23">
        <v>0</v>
      </c>
      <c r="R35" s="23">
        <f t="shared" si="37"/>
        <v>1</v>
      </c>
      <c r="T35" s="23">
        <v>1</v>
      </c>
      <c r="U35" s="23">
        <v>0</v>
      </c>
      <c r="V35" s="23">
        <v>0</v>
      </c>
      <c r="W35" s="23">
        <v>0</v>
      </c>
      <c r="X35" s="23">
        <f t="shared" si="38"/>
        <v>1</v>
      </c>
      <c r="Z35" s="23">
        <v>2</v>
      </c>
      <c r="AA35" s="23">
        <v>0</v>
      </c>
      <c r="AB35" s="23">
        <v>0</v>
      </c>
      <c r="AC35" s="23">
        <v>0</v>
      </c>
      <c r="AD35" s="23">
        <f t="shared" si="39"/>
        <v>2</v>
      </c>
      <c r="AF35" s="23">
        <v>1</v>
      </c>
      <c r="AG35" s="23">
        <v>0</v>
      </c>
      <c r="AH35" s="23">
        <v>0</v>
      </c>
      <c r="AI35" s="23">
        <v>0</v>
      </c>
      <c r="AJ35" s="23">
        <f t="shared" si="40"/>
        <v>1</v>
      </c>
      <c r="AL35" s="23">
        <v>0</v>
      </c>
      <c r="AM35" s="23">
        <v>0</v>
      </c>
      <c r="AN35" s="23">
        <v>0</v>
      </c>
      <c r="AO35" s="23">
        <v>0</v>
      </c>
      <c r="AP35" s="23">
        <f t="shared" si="41"/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f t="shared" si="42"/>
        <v>0</v>
      </c>
      <c r="AX35" s="23">
        <f t="shared" si="45"/>
        <v>8</v>
      </c>
      <c r="AY35" s="23">
        <f t="shared" si="43"/>
        <v>0</v>
      </c>
      <c r="AZ35" s="23">
        <f t="shared" si="43"/>
        <v>0</v>
      </c>
      <c r="BA35" s="23">
        <f t="shared" si="43"/>
        <v>0</v>
      </c>
      <c r="BB35" s="23">
        <f t="shared" si="44"/>
        <v>8</v>
      </c>
    </row>
    <row r="36" spans="1:54" x14ac:dyDescent="0.25">
      <c r="A36" s="28" t="s">
        <v>36</v>
      </c>
      <c r="B36" s="23">
        <v>0</v>
      </c>
      <c r="C36" s="23">
        <v>0</v>
      </c>
      <c r="D36" s="23">
        <v>0</v>
      </c>
      <c r="E36" s="23">
        <v>0</v>
      </c>
      <c r="F36" s="23">
        <f t="shared" si="35"/>
        <v>0</v>
      </c>
      <c r="H36" s="23">
        <v>0</v>
      </c>
      <c r="I36" s="23">
        <v>0</v>
      </c>
      <c r="J36" s="23">
        <v>0</v>
      </c>
      <c r="K36" s="23">
        <v>0</v>
      </c>
      <c r="L36" s="23">
        <f t="shared" si="36"/>
        <v>0</v>
      </c>
      <c r="N36" s="23">
        <v>0</v>
      </c>
      <c r="O36" s="23">
        <v>0</v>
      </c>
      <c r="P36" s="23">
        <v>0</v>
      </c>
      <c r="Q36" s="23">
        <v>0</v>
      </c>
      <c r="R36" s="23">
        <f t="shared" si="37"/>
        <v>0</v>
      </c>
      <c r="T36" s="23">
        <v>0</v>
      </c>
      <c r="U36" s="23">
        <v>0</v>
      </c>
      <c r="V36" s="23">
        <v>0</v>
      </c>
      <c r="W36" s="23">
        <v>0</v>
      </c>
      <c r="X36" s="23">
        <f t="shared" si="38"/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f t="shared" si="39"/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f t="shared" si="40"/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f t="shared" si="41"/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f t="shared" si="42"/>
        <v>0</v>
      </c>
      <c r="AX36" s="23">
        <f t="shared" si="45"/>
        <v>0</v>
      </c>
      <c r="AY36" s="23">
        <f t="shared" si="43"/>
        <v>0</v>
      </c>
      <c r="AZ36" s="23">
        <f t="shared" si="43"/>
        <v>0</v>
      </c>
      <c r="BA36" s="23">
        <f t="shared" si="43"/>
        <v>0</v>
      </c>
      <c r="BB36" s="23">
        <f t="shared" si="44"/>
        <v>0</v>
      </c>
    </row>
    <row r="37" spans="1:54" x14ac:dyDescent="0.25">
      <c r="A37" s="27" t="s">
        <v>37</v>
      </c>
      <c r="B37" s="23">
        <v>1</v>
      </c>
      <c r="C37" s="23">
        <v>0</v>
      </c>
      <c r="D37" s="23">
        <v>0</v>
      </c>
      <c r="E37" s="23">
        <v>0</v>
      </c>
      <c r="F37" s="23">
        <f t="shared" si="35"/>
        <v>1</v>
      </c>
      <c r="H37" s="23">
        <v>2</v>
      </c>
      <c r="I37" s="23">
        <v>0</v>
      </c>
      <c r="J37" s="23">
        <v>0</v>
      </c>
      <c r="K37" s="23">
        <v>0</v>
      </c>
      <c r="L37" s="23">
        <f t="shared" si="36"/>
        <v>2</v>
      </c>
      <c r="N37" s="23">
        <v>1</v>
      </c>
      <c r="O37" s="23">
        <v>0</v>
      </c>
      <c r="P37" s="23">
        <v>0</v>
      </c>
      <c r="Q37" s="23">
        <v>0</v>
      </c>
      <c r="R37" s="23">
        <f t="shared" si="37"/>
        <v>1</v>
      </c>
      <c r="T37" s="23">
        <v>1</v>
      </c>
      <c r="U37" s="23">
        <v>0</v>
      </c>
      <c r="V37" s="23">
        <v>0</v>
      </c>
      <c r="W37" s="23">
        <v>0</v>
      </c>
      <c r="X37" s="23">
        <f t="shared" si="38"/>
        <v>1</v>
      </c>
      <c r="Z37" s="23">
        <v>1</v>
      </c>
      <c r="AA37" s="23">
        <v>0</v>
      </c>
      <c r="AB37" s="23">
        <v>0</v>
      </c>
      <c r="AC37" s="23">
        <v>0</v>
      </c>
      <c r="AD37" s="23">
        <f t="shared" si="39"/>
        <v>1</v>
      </c>
      <c r="AF37" s="23">
        <v>1</v>
      </c>
      <c r="AG37" s="23">
        <v>0</v>
      </c>
      <c r="AH37" s="23">
        <v>0</v>
      </c>
      <c r="AI37" s="23">
        <v>0</v>
      </c>
      <c r="AJ37" s="23">
        <f t="shared" si="40"/>
        <v>1</v>
      </c>
      <c r="AL37" s="23">
        <v>0</v>
      </c>
      <c r="AM37" s="23">
        <v>0</v>
      </c>
      <c r="AN37" s="23">
        <v>0</v>
      </c>
      <c r="AO37" s="23">
        <v>0</v>
      </c>
      <c r="AP37" s="23">
        <f t="shared" si="41"/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f t="shared" si="42"/>
        <v>0</v>
      </c>
      <c r="AX37" s="23">
        <f t="shared" si="45"/>
        <v>7</v>
      </c>
      <c r="AY37" s="23">
        <f t="shared" si="43"/>
        <v>0</v>
      </c>
      <c r="AZ37" s="23">
        <f t="shared" si="43"/>
        <v>0</v>
      </c>
      <c r="BA37" s="23">
        <f t="shared" si="43"/>
        <v>0</v>
      </c>
      <c r="BB37" s="23">
        <f t="shared" si="44"/>
        <v>7</v>
      </c>
    </row>
    <row r="38" spans="1:54" x14ac:dyDescent="0.25">
      <c r="A38" s="27" t="s">
        <v>38</v>
      </c>
      <c r="B38" s="23">
        <v>0.5</v>
      </c>
      <c r="C38" s="23">
        <v>0</v>
      </c>
      <c r="D38" s="23">
        <v>0</v>
      </c>
      <c r="E38" s="23">
        <v>0</v>
      </c>
      <c r="F38" s="23">
        <f t="shared" si="35"/>
        <v>0.5</v>
      </c>
      <c r="H38" s="23">
        <v>3</v>
      </c>
      <c r="I38" s="23">
        <v>0</v>
      </c>
      <c r="J38" s="23">
        <v>0</v>
      </c>
      <c r="K38" s="23">
        <v>0</v>
      </c>
      <c r="L38" s="23">
        <f t="shared" si="36"/>
        <v>3</v>
      </c>
      <c r="N38" s="23">
        <v>2</v>
      </c>
      <c r="O38" s="23">
        <v>0</v>
      </c>
      <c r="P38" s="23">
        <v>0</v>
      </c>
      <c r="Q38" s="23">
        <v>0</v>
      </c>
      <c r="R38" s="23">
        <f t="shared" si="37"/>
        <v>2</v>
      </c>
      <c r="T38" s="23">
        <v>3</v>
      </c>
      <c r="U38" s="23">
        <v>0</v>
      </c>
      <c r="V38" s="23">
        <v>0</v>
      </c>
      <c r="W38" s="23">
        <v>0</v>
      </c>
      <c r="X38" s="23">
        <f t="shared" si="38"/>
        <v>3</v>
      </c>
      <c r="Z38" s="23">
        <v>3.5</v>
      </c>
      <c r="AA38" s="23">
        <v>0</v>
      </c>
      <c r="AB38" s="23">
        <v>0</v>
      </c>
      <c r="AC38" s="23">
        <v>0</v>
      </c>
      <c r="AD38" s="23">
        <f t="shared" si="39"/>
        <v>3.5</v>
      </c>
      <c r="AF38" s="23">
        <v>0</v>
      </c>
      <c r="AG38" s="23">
        <v>0</v>
      </c>
      <c r="AH38" s="23">
        <v>0</v>
      </c>
      <c r="AI38" s="23">
        <v>0</v>
      </c>
      <c r="AJ38" s="23">
        <f t="shared" si="40"/>
        <v>0</v>
      </c>
      <c r="AL38" s="23">
        <v>0</v>
      </c>
      <c r="AM38" s="23">
        <v>0</v>
      </c>
      <c r="AN38" s="23">
        <v>0</v>
      </c>
      <c r="AO38" s="23">
        <v>0</v>
      </c>
      <c r="AP38" s="23">
        <f t="shared" si="41"/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f t="shared" si="42"/>
        <v>0</v>
      </c>
      <c r="AX38" s="23">
        <f t="shared" si="45"/>
        <v>12</v>
      </c>
      <c r="AY38" s="23">
        <f t="shared" si="43"/>
        <v>0</v>
      </c>
      <c r="AZ38" s="23">
        <f t="shared" si="43"/>
        <v>0</v>
      </c>
      <c r="BA38" s="23">
        <f t="shared" si="43"/>
        <v>0</v>
      </c>
      <c r="BB38" s="23">
        <f t="shared" si="44"/>
        <v>12</v>
      </c>
    </row>
    <row r="39" spans="1:54" x14ac:dyDescent="0.25">
      <c r="A39" s="29" t="s">
        <v>39</v>
      </c>
      <c r="B39" s="30">
        <f>SUM(B29:B38)</f>
        <v>41.5</v>
      </c>
      <c r="C39" s="30">
        <f>SUM(C29:C38)</f>
        <v>0</v>
      </c>
      <c r="D39" s="30">
        <f t="shared" ref="D39:F39" si="46">SUM(D29:D38)</f>
        <v>4</v>
      </c>
      <c r="E39" s="30">
        <f t="shared" si="46"/>
        <v>0</v>
      </c>
      <c r="F39" s="30">
        <f t="shared" si="46"/>
        <v>45.5</v>
      </c>
      <c r="H39" s="30">
        <f>SUM(H29:H38)</f>
        <v>99</v>
      </c>
      <c r="I39" s="30">
        <f>SUM(I29:I38)</f>
        <v>0</v>
      </c>
      <c r="J39" s="30">
        <f t="shared" ref="J39:L39" si="47">SUM(J29:J38)</f>
        <v>13</v>
      </c>
      <c r="K39" s="30">
        <f t="shared" si="47"/>
        <v>0</v>
      </c>
      <c r="L39" s="30">
        <f t="shared" si="47"/>
        <v>112</v>
      </c>
      <c r="N39" s="30">
        <f>SUM(N29:N38)</f>
        <v>43</v>
      </c>
      <c r="O39" s="30">
        <f>SUM(O29:O38)</f>
        <v>0</v>
      </c>
      <c r="P39" s="30">
        <f t="shared" ref="P39:R39" si="48">SUM(P29:P38)</f>
        <v>4</v>
      </c>
      <c r="Q39" s="30">
        <f t="shared" si="48"/>
        <v>0</v>
      </c>
      <c r="R39" s="30">
        <f t="shared" si="48"/>
        <v>47</v>
      </c>
      <c r="T39" s="30">
        <f>SUM(T29:T38)</f>
        <v>53</v>
      </c>
      <c r="U39" s="30">
        <f>SUM(U29:U38)</f>
        <v>0</v>
      </c>
      <c r="V39" s="30">
        <f t="shared" ref="V39:X39" si="49">SUM(V29:V38)</f>
        <v>5</v>
      </c>
      <c r="W39" s="30">
        <f t="shared" si="49"/>
        <v>0</v>
      </c>
      <c r="X39" s="30">
        <f t="shared" si="49"/>
        <v>58</v>
      </c>
      <c r="Z39" s="30">
        <f>SUM(Z29:Z38)</f>
        <v>97.5</v>
      </c>
      <c r="AA39" s="30">
        <f>SUM(AA29:AA38)</f>
        <v>0</v>
      </c>
      <c r="AB39" s="30">
        <f t="shared" ref="AB39:AD39" si="50">SUM(AB29:AB38)</f>
        <v>10</v>
      </c>
      <c r="AC39" s="30">
        <f t="shared" si="50"/>
        <v>0</v>
      </c>
      <c r="AD39" s="30">
        <f t="shared" si="50"/>
        <v>107.5</v>
      </c>
      <c r="AF39" s="30">
        <f>SUM(AF29:AF38)</f>
        <v>41</v>
      </c>
      <c r="AG39" s="30">
        <f>SUM(AG29:AG38)</f>
        <v>0</v>
      </c>
      <c r="AH39" s="30">
        <f t="shared" ref="AH39:AJ39" si="51">SUM(AH29:AH38)</f>
        <v>4</v>
      </c>
      <c r="AI39" s="30">
        <f t="shared" si="51"/>
        <v>0</v>
      </c>
      <c r="AJ39" s="30">
        <f t="shared" si="51"/>
        <v>45</v>
      </c>
      <c r="AL39" s="30">
        <f>SUM(AL29:AL38)</f>
        <v>0</v>
      </c>
      <c r="AM39" s="30">
        <f>SUM(AM29:AM38)</f>
        <v>0</v>
      </c>
      <c r="AN39" s="30">
        <f t="shared" ref="AN39:AP39" si="52">SUM(AN29:AN38)</f>
        <v>0</v>
      </c>
      <c r="AO39" s="30">
        <f t="shared" si="52"/>
        <v>0</v>
      </c>
      <c r="AP39" s="30">
        <f t="shared" si="52"/>
        <v>0</v>
      </c>
      <c r="AR39" s="30">
        <f>SUM(AR29:AR38)</f>
        <v>0</v>
      </c>
      <c r="AS39" s="30">
        <f>SUM(AS29:AS38)</f>
        <v>0</v>
      </c>
      <c r="AT39" s="30">
        <f t="shared" ref="AT39:AV39" si="53">SUM(AT29:AT38)</f>
        <v>1</v>
      </c>
      <c r="AU39" s="30">
        <f t="shared" si="53"/>
        <v>0</v>
      </c>
      <c r="AV39" s="30">
        <f t="shared" si="53"/>
        <v>1</v>
      </c>
      <c r="AX39" s="30">
        <f>SUM(AX29:AX38)</f>
        <v>375</v>
      </c>
      <c r="AY39" s="30">
        <f>SUM(AY29:AY38)</f>
        <v>0</v>
      </c>
      <c r="AZ39" s="30">
        <f t="shared" ref="AZ39:BB39" si="54">SUM(AZ29:AZ38)</f>
        <v>41</v>
      </c>
      <c r="BA39" s="30">
        <f t="shared" si="54"/>
        <v>0</v>
      </c>
      <c r="BB39" s="30">
        <f t="shared" si="54"/>
        <v>416</v>
      </c>
    </row>
    <row r="40" spans="1:54" x14ac:dyDescent="0.25">
      <c r="A40" s="31"/>
      <c r="B40" s="23"/>
      <c r="C40" s="23"/>
      <c r="D40" s="23"/>
      <c r="E40" s="23"/>
      <c r="F40" s="23"/>
      <c r="H40" s="23"/>
      <c r="I40" s="23"/>
      <c r="J40" s="23"/>
      <c r="K40" s="23"/>
      <c r="L40" s="23"/>
      <c r="N40" s="23"/>
      <c r="O40" s="23"/>
      <c r="P40" s="23"/>
      <c r="Q40" s="23"/>
      <c r="R40" s="23"/>
      <c r="T40" s="23"/>
      <c r="U40" s="23"/>
      <c r="V40" s="23"/>
      <c r="W40" s="23"/>
      <c r="X40" s="23"/>
      <c r="Z40" s="23"/>
      <c r="AA40" s="23"/>
      <c r="AB40" s="23"/>
      <c r="AC40" s="23"/>
      <c r="AD40" s="23"/>
      <c r="AF40" s="23"/>
      <c r="AG40" s="23"/>
      <c r="AH40" s="23"/>
      <c r="AI40" s="23"/>
      <c r="AJ40" s="23"/>
      <c r="AL40" s="23"/>
      <c r="AM40" s="23"/>
      <c r="AN40" s="23"/>
      <c r="AO40" s="23"/>
      <c r="AP40" s="23"/>
      <c r="AR40" s="23"/>
      <c r="AS40" s="23"/>
      <c r="AT40" s="23"/>
      <c r="AU40" s="23"/>
      <c r="AV40" s="23"/>
      <c r="AX40" s="23"/>
      <c r="AY40" s="23"/>
      <c r="AZ40" s="23"/>
      <c r="BA40" s="23"/>
      <c r="BB40" s="23"/>
    </row>
    <row r="41" spans="1:54" x14ac:dyDescent="0.25">
      <c r="A41" s="17" t="s">
        <v>40</v>
      </c>
      <c r="B41" s="32" t="str">
        <f>B1</f>
        <v>Operating</v>
      </c>
      <c r="C41" s="32" t="str">
        <f t="shared" ref="C41:F41" si="55">C1</f>
        <v>Weights</v>
      </c>
      <c r="D41" s="32" t="str">
        <f t="shared" si="55"/>
        <v>SPED</v>
      </c>
      <c r="E41" s="32" t="str">
        <f t="shared" si="55"/>
        <v>NSLP</v>
      </c>
      <c r="F41" s="32" t="str">
        <f t="shared" si="55"/>
        <v>Horizon</v>
      </c>
      <c r="H41" s="32" t="str">
        <f>H1</f>
        <v>Operating</v>
      </c>
      <c r="I41" s="32" t="str">
        <f t="shared" ref="I41:L41" si="56">I1</f>
        <v>Weights</v>
      </c>
      <c r="J41" s="32" t="str">
        <f t="shared" si="56"/>
        <v>SPED</v>
      </c>
      <c r="K41" s="32" t="str">
        <f t="shared" si="56"/>
        <v>NSLP</v>
      </c>
      <c r="L41" s="32" t="str">
        <f t="shared" si="56"/>
        <v>Cadence</v>
      </c>
      <c r="N41" s="32" t="str">
        <f>N1</f>
        <v>Operating</v>
      </c>
      <c r="O41" s="32" t="str">
        <f t="shared" ref="O41:R41" si="57">O1</f>
        <v>Weights</v>
      </c>
      <c r="P41" s="32" t="str">
        <f t="shared" si="57"/>
        <v>SPED</v>
      </c>
      <c r="Q41" s="32" t="str">
        <f t="shared" si="57"/>
        <v>NSLP</v>
      </c>
      <c r="R41" s="32" t="str">
        <f t="shared" si="57"/>
        <v>St. Rose</v>
      </c>
      <c r="T41" s="32" t="str">
        <f>T1</f>
        <v>Operating</v>
      </c>
      <c r="U41" s="32" t="str">
        <f t="shared" ref="U41:X41" si="58">U1</f>
        <v>Weights</v>
      </c>
      <c r="V41" s="32" t="str">
        <f t="shared" si="58"/>
        <v>SPED</v>
      </c>
      <c r="W41" s="32" t="str">
        <f t="shared" si="58"/>
        <v>NSLP</v>
      </c>
      <c r="X41" s="32" t="str">
        <f t="shared" si="58"/>
        <v>Inspirada</v>
      </c>
      <c r="Z41" s="32" t="str">
        <f>Z1</f>
        <v>Operating</v>
      </c>
      <c r="AA41" s="32" t="str">
        <f t="shared" ref="AA41:AD41" si="59">AA1</f>
        <v>Weights</v>
      </c>
      <c r="AB41" s="32" t="str">
        <f t="shared" si="59"/>
        <v>SPED</v>
      </c>
      <c r="AC41" s="32" t="str">
        <f t="shared" si="59"/>
        <v>NSLP</v>
      </c>
      <c r="AD41" s="32" t="str">
        <f t="shared" si="59"/>
        <v>Sloan Canyon</v>
      </c>
      <c r="AF41" s="32" t="str">
        <f>AF1</f>
        <v>Operating</v>
      </c>
      <c r="AG41" s="32" t="str">
        <f t="shared" ref="AG41:AJ41" si="60">AG1</f>
        <v>Weights</v>
      </c>
      <c r="AH41" s="32" t="str">
        <f t="shared" si="60"/>
        <v>SPED</v>
      </c>
      <c r="AI41" s="32" t="str">
        <f t="shared" si="60"/>
        <v>NSLP</v>
      </c>
      <c r="AJ41" s="32" t="str">
        <f t="shared" si="60"/>
        <v>Springs</v>
      </c>
      <c r="AL41" s="32" t="str">
        <f>AL1</f>
        <v>Operating</v>
      </c>
      <c r="AM41" s="32" t="str">
        <f t="shared" ref="AM41:AP41" si="61">AM1</f>
        <v>Weights</v>
      </c>
      <c r="AN41" s="32" t="str">
        <f t="shared" si="61"/>
        <v>SPED</v>
      </c>
      <c r="AO41" s="32" t="str">
        <f t="shared" si="61"/>
        <v>NSLP</v>
      </c>
      <c r="AP41" s="32" t="str">
        <f t="shared" si="61"/>
        <v>System Wide</v>
      </c>
      <c r="AR41" s="32" t="str">
        <f>AR1</f>
        <v>Operating</v>
      </c>
      <c r="AS41" s="32" t="str">
        <f t="shared" ref="AS41:AV41" si="62">AS1</f>
        <v>Weights</v>
      </c>
      <c r="AT41" s="32" t="str">
        <f t="shared" si="62"/>
        <v>SPED</v>
      </c>
      <c r="AU41" s="32" t="str">
        <f t="shared" si="62"/>
        <v>NSLP</v>
      </c>
      <c r="AV41" s="32" t="str">
        <f t="shared" si="62"/>
        <v>Virtual</v>
      </c>
      <c r="AX41" s="32" t="str">
        <f>AX1</f>
        <v>Operating</v>
      </c>
      <c r="AY41" s="32" t="str">
        <f t="shared" ref="AY41:BB41" si="63">AY1</f>
        <v>Weights</v>
      </c>
      <c r="AZ41" s="32" t="str">
        <f t="shared" si="63"/>
        <v>SPED</v>
      </c>
      <c r="BA41" s="32" t="str">
        <f t="shared" si="63"/>
        <v>NSLP</v>
      </c>
      <c r="BB41" s="32" t="str">
        <f t="shared" si="63"/>
        <v>Pinecrest System</v>
      </c>
    </row>
    <row r="42" spans="1:54" x14ac:dyDescent="0.25">
      <c r="A42" s="21" t="s">
        <v>41</v>
      </c>
      <c r="B42" s="23">
        <v>1</v>
      </c>
      <c r="C42" s="23">
        <v>0</v>
      </c>
      <c r="D42" s="23">
        <v>0</v>
      </c>
      <c r="E42" s="23">
        <v>0</v>
      </c>
      <c r="F42" s="23">
        <f>SUM(B42:E42)</f>
        <v>1</v>
      </c>
      <c r="H42" s="328">
        <v>1</v>
      </c>
      <c r="I42" s="328"/>
      <c r="J42" s="328"/>
      <c r="K42" s="328"/>
      <c r="L42" s="23">
        <f>SUM(H42:K42)</f>
        <v>1</v>
      </c>
      <c r="N42" s="328">
        <v>1</v>
      </c>
      <c r="O42" s="328"/>
      <c r="P42" s="328"/>
      <c r="Q42" s="328"/>
      <c r="R42" s="23">
        <f>SUM(N42:Q42)</f>
        <v>1</v>
      </c>
      <c r="T42" s="328">
        <v>1</v>
      </c>
      <c r="U42" s="328"/>
      <c r="V42" s="328"/>
      <c r="W42" s="328"/>
      <c r="X42" s="23">
        <f>SUM(T42:W42)</f>
        <v>1</v>
      </c>
      <c r="Z42" s="328">
        <v>1</v>
      </c>
      <c r="AA42" s="328"/>
      <c r="AB42" s="328"/>
      <c r="AC42" s="328"/>
      <c r="AD42" s="23">
        <f>SUM(Z42:AC42)</f>
        <v>1</v>
      </c>
      <c r="AF42" s="328">
        <v>1</v>
      </c>
      <c r="AG42" s="328"/>
      <c r="AH42" s="328"/>
      <c r="AI42" s="328"/>
      <c r="AJ42" s="23">
        <f>SUM(AF42:AI42)</f>
        <v>1</v>
      </c>
      <c r="AL42" s="23">
        <v>0</v>
      </c>
      <c r="AM42" s="23">
        <v>0</v>
      </c>
      <c r="AN42" s="23">
        <v>0</v>
      </c>
      <c r="AO42" s="23">
        <v>0</v>
      </c>
      <c r="AP42" s="23">
        <f>SUM(AL42:AO42)</f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f>SUM(AR42:AU42)</f>
        <v>0</v>
      </c>
      <c r="AX42" s="23">
        <f>B42+H42+N42+T42+Z42+AF42+AL42+AR42</f>
        <v>6</v>
      </c>
      <c r="AY42" s="23">
        <f t="shared" ref="AY42:BA57" si="64">C42+I42+O42+U42+AA42+AG42+AM42+AS42</f>
        <v>0</v>
      </c>
      <c r="AZ42" s="23">
        <f t="shared" si="64"/>
        <v>0</v>
      </c>
      <c r="BA42" s="23">
        <f t="shared" si="64"/>
        <v>0</v>
      </c>
      <c r="BB42" s="23">
        <f>SUM(AX42:BA42)</f>
        <v>6</v>
      </c>
    </row>
    <row r="43" spans="1:54" x14ac:dyDescent="0.25">
      <c r="A43" s="21" t="s">
        <v>42</v>
      </c>
      <c r="B43" s="23">
        <v>2</v>
      </c>
      <c r="C43" s="23">
        <v>1</v>
      </c>
      <c r="D43" s="23">
        <v>0</v>
      </c>
      <c r="E43" s="23">
        <v>0</v>
      </c>
      <c r="F43" s="23">
        <f t="shared" ref="F43:F61" si="65">SUM(B43:E43)</f>
        <v>3</v>
      </c>
      <c r="H43" s="328">
        <v>4</v>
      </c>
      <c r="I43" s="328"/>
      <c r="J43" s="328"/>
      <c r="K43" s="328"/>
      <c r="L43" s="23">
        <f t="shared" ref="L43:L61" si="66">SUM(H43:K43)</f>
        <v>4</v>
      </c>
      <c r="N43" s="328">
        <v>2</v>
      </c>
      <c r="O43" s="328"/>
      <c r="P43" s="328"/>
      <c r="Q43" s="328"/>
      <c r="R43" s="23">
        <f t="shared" ref="R43:R61" si="67">SUM(N43:Q43)</f>
        <v>2</v>
      </c>
      <c r="T43" s="328">
        <v>2</v>
      </c>
      <c r="U43" s="328"/>
      <c r="V43" s="328"/>
      <c r="W43" s="328"/>
      <c r="X43" s="23">
        <f t="shared" ref="X43:X61" si="68">SUM(T43:W43)</f>
        <v>2</v>
      </c>
      <c r="Z43" s="328">
        <v>3</v>
      </c>
      <c r="AA43" s="328"/>
      <c r="AB43" s="328">
        <v>1</v>
      </c>
      <c r="AC43" s="328"/>
      <c r="AD43" s="23">
        <f t="shared" ref="AD43:AD61" si="69">SUM(Z43:AC43)</f>
        <v>4</v>
      </c>
      <c r="AF43" s="328">
        <v>2</v>
      </c>
      <c r="AG43" s="328"/>
      <c r="AH43" s="328">
        <v>0</v>
      </c>
      <c r="AI43" s="328"/>
      <c r="AJ43" s="23">
        <f t="shared" ref="AJ43:AJ61" si="70">SUM(AF43:AI43)</f>
        <v>2</v>
      </c>
      <c r="AL43" s="23">
        <v>0</v>
      </c>
      <c r="AM43" s="23">
        <v>0</v>
      </c>
      <c r="AN43" s="23">
        <v>0</v>
      </c>
      <c r="AO43" s="23">
        <v>0</v>
      </c>
      <c r="AP43" s="23">
        <f t="shared" ref="AP43:AP61" si="71">SUM(AL43:AO43)</f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f t="shared" ref="AV43:AV61" si="72">SUM(AR43:AU43)</f>
        <v>0</v>
      </c>
      <c r="AX43" s="23">
        <f t="shared" ref="AX43:BA61" si="73">B43+H43+N43+T43+Z43+AF43+AL43+AR43</f>
        <v>15</v>
      </c>
      <c r="AY43" s="23">
        <f t="shared" si="64"/>
        <v>1</v>
      </c>
      <c r="AZ43" s="23">
        <f t="shared" si="64"/>
        <v>1</v>
      </c>
      <c r="BA43" s="23">
        <f t="shared" si="64"/>
        <v>0</v>
      </c>
      <c r="BB43" s="23">
        <f t="shared" ref="BB43:BB61" si="74">SUM(AX43:BA43)</f>
        <v>17</v>
      </c>
    </row>
    <row r="44" spans="1:54" x14ac:dyDescent="0.25">
      <c r="A44" s="34" t="s">
        <v>43</v>
      </c>
      <c r="B44" s="23">
        <v>0</v>
      </c>
      <c r="C44" s="23">
        <v>0</v>
      </c>
      <c r="D44" s="23">
        <v>0</v>
      </c>
      <c r="E44" s="23">
        <v>0</v>
      </c>
      <c r="F44" s="23">
        <f t="shared" si="65"/>
        <v>0</v>
      </c>
      <c r="H44" s="328">
        <v>0</v>
      </c>
      <c r="I44" s="328"/>
      <c r="J44" s="328"/>
      <c r="K44" s="328"/>
      <c r="L44" s="23">
        <f t="shared" si="66"/>
        <v>0</v>
      </c>
      <c r="N44" s="328">
        <v>0</v>
      </c>
      <c r="O44" s="328"/>
      <c r="P44" s="328"/>
      <c r="Q44" s="328"/>
      <c r="R44" s="23">
        <f t="shared" si="67"/>
        <v>0</v>
      </c>
      <c r="T44" s="328">
        <v>0</v>
      </c>
      <c r="U44" s="328"/>
      <c r="V44" s="328"/>
      <c r="W44" s="328"/>
      <c r="X44" s="23">
        <f t="shared" si="68"/>
        <v>0</v>
      </c>
      <c r="Z44" s="328">
        <v>0</v>
      </c>
      <c r="AA44" s="328"/>
      <c r="AB44" s="328"/>
      <c r="AC44" s="328"/>
      <c r="AD44" s="23">
        <f t="shared" si="69"/>
        <v>0</v>
      </c>
      <c r="AF44" s="328">
        <v>0</v>
      </c>
      <c r="AG44" s="328">
        <v>1.5</v>
      </c>
      <c r="AH44" s="328"/>
      <c r="AI44" s="328"/>
      <c r="AJ44" s="23">
        <f t="shared" si="70"/>
        <v>1.5</v>
      </c>
      <c r="AL44" s="23">
        <v>0</v>
      </c>
      <c r="AM44" s="23">
        <v>0</v>
      </c>
      <c r="AN44" s="23">
        <v>0</v>
      </c>
      <c r="AO44" s="23">
        <v>0</v>
      </c>
      <c r="AP44" s="23">
        <f t="shared" si="71"/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f t="shared" si="72"/>
        <v>0</v>
      </c>
      <c r="AX44" s="23">
        <f t="shared" si="73"/>
        <v>0</v>
      </c>
      <c r="AY44" s="23">
        <f t="shared" si="64"/>
        <v>1.5</v>
      </c>
      <c r="AZ44" s="23">
        <f t="shared" si="64"/>
        <v>0</v>
      </c>
      <c r="BA44" s="23">
        <f t="shared" si="64"/>
        <v>0</v>
      </c>
      <c r="BB44" s="23">
        <f t="shared" si="74"/>
        <v>1.5</v>
      </c>
    </row>
    <row r="45" spans="1:54" x14ac:dyDescent="0.25">
      <c r="A45" s="33" t="s">
        <v>44</v>
      </c>
      <c r="B45" s="23">
        <v>1</v>
      </c>
      <c r="C45" s="23">
        <v>0</v>
      </c>
      <c r="D45" s="23">
        <v>0</v>
      </c>
      <c r="E45" s="23">
        <v>0</v>
      </c>
      <c r="F45" s="23">
        <f t="shared" si="65"/>
        <v>1</v>
      </c>
      <c r="H45" s="328">
        <v>5</v>
      </c>
      <c r="I45" s="328"/>
      <c r="J45" s="328"/>
      <c r="K45" s="328"/>
      <c r="L45" s="23">
        <f t="shared" si="66"/>
        <v>5</v>
      </c>
      <c r="N45" s="328">
        <v>1</v>
      </c>
      <c r="O45" s="328"/>
      <c r="P45" s="328"/>
      <c r="Q45" s="328"/>
      <c r="R45" s="23">
        <f t="shared" si="67"/>
        <v>1</v>
      </c>
      <c r="T45" s="328">
        <v>1</v>
      </c>
      <c r="U45" s="328"/>
      <c r="V45" s="328"/>
      <c r="W45" s="328"/>
      <c r="X45" s="23">
        <f t="shared" si="68"/>
        <v>1</v>
      </c>
      <c r="Z45" s="328">
        <v>2</v>
      </c>
      <c r="AA45" s="328"/>
      <c r="AB45" s="328"/>
      <c r="AC45" s="328"/>
      <c r="AD45" s="23">
        <f t="shared" si="69"/>
        <v>2</v>
      </c>
      <c r="AF45" s="328">
        <v>0</v>
      </c>
      <c r="AG45" s="328">
        <v>1</v>
      </c>
      <c r="AH45" s="328"/>
      <c r="AI45" s="328"/>
      <c r="AJ45" s="23">
        <f t="shared" si="70"/>
        <v>1</v>
      </c>
      <c r="AL45" s="23">
        <v>0</v>
      </c>
      <c r="AM45" s="23">
        <v>0</v>
      </c>
      <c r="AN45" s="23">
        <v>0</v>
      </c>
      <c r="AO45" s="23">
        <v>0</v>
      </c>
      <c r="AP45" s="23">
        <f t="shared" si="71"/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f t="shared" si="72"/>
        <v>0</v>
      </c>
      <c r="AX45" s="23">
        <f t="shared" si="73"/>
        <v>10</v>
      </c>
      <c r="AY45" s="23">
        <f t="shared" si="64"/>
        <v>1</v>
      </c>
      <c r="AZ45" s="23">
        <f t="shared" si="64"/>
        <v>0</v>
      </c>
      <c r="BA45" s="23">
        <f t="shared" si="64"/>
        <v>0</v>
      </c>
      <c r="BB45" s="23">
        <f t="shared" si="74"/>
        <v>11</v>
      </c>
    </row>
    <row r="46" spans="1:54" x14ac:dyDescent="0.25">
      <c r="A46" s="33" t="s">
        <v>45</v>
      </c>
      <c r="B46" s="23">
        <v>0</v>
      </c>
      <c r="C46" s="23">
        <v>0</v>
      </c>
      <c r="D46" s="23">
        <v>0</v>
      </c>
      <c r="E46" s="23">
        <v>0</v>
      </c>
      <c r="F46" s="23">
        <f t="shared" si="65"/>
        <v>0</v>
      </c>
      <c r="H46" s="328">
        <v>1</v>
      </c>
      <c r="I46" s="328">
        <v>1</v>
      </c>
      <c r="J46" s="328"/>
      <c r="K46" s="328"/>
      <c r="L46" s="23">
        <f t="shared" si="66"/>
        <v>2</v>
      </c>
      <c r="N46" s="328">
        <v>1</v>
      </c>
      <c r="O46" s="328"/>
      <c r="P46" s="328"/>
      <c r="Q46" s="328"/>
      <c r="R46" s="23">
        <f t="shared" si="67"/>
        <v>1</v>
      </c>
      <c r="T46" s="328">
        <v>2</v>
      </c>
      <c r="U46" s="328"/>
      <c r="V46" s="328"/>
      <c r="W46" s="328"/>
      <c r="X46" s="23">
        <f t="shared" si="68"/>
        <v>2</v>
      </c>
      <c r="Z46" s="328">
        <v>2</v>
      </c>
      <c r="AA46" s="328"/>
      <c r="AB46" s="328"/>
      <c r="AC46" s="328"/>
      <c r="AD46" s="23">
        <f t="shared" si="69"/>
        <v>2</v>
      </c>
      <c r="AF46" s="328">
        <v>0</v>
      </c>
      <c r="AG46" s="328"/>
      <c r="AH46" s="328"/>
      <c r="AI46" s="328"/>
      <c r="AJ46" s="23">
        <f t="shared" si="70"/>
        <v>0</v>
      </c>
      <c r="AL46" s="23">
        <v>1</v>
      </c>
      <c r="AM46" s="23">
        <v>0</v>
      </c>
      <c r="AN46" s="23">
        <v>0</v>
      </c>
      <c r="AO46" s="23">
        <v>0</v>
      </c>
      <c r="AP46" s="23">
        <f t="shared" si="71"/>
        <v>1</v>
      </c>
      <c r="AR46" s="23">
        <v>0</v>
      </c>
      <c r="AS46" s="23">
        <v>0</v>
      </c>
      <c r="AT46" s="23">
        <v>0</v>
      </c>
      <c r="AU46" s="23">
        <v>0</v>
      </c>
      <c r="AV46" s="23">
        <f t="shared" si="72"/>
        <v>0</v>
      </c>
      <c r="AX46" s="23">
        <f t="shared" si="73"/>
        <v>7</v>
      </c>
      <c r="AY46" s="23">
        <f t="shared" si="64"/>
        <v>1</v>
      </c>
      <c r="AZ46" s="23">
        <f t="shared" si="64"/>
        <v>0</v>
      </c>
      <c r="BA46" s="23">
        <f t="shared" si="64"/>
        <v>0</v>
      </c>
      <c r="BB46" s="23">
        <f t="shared" si="74"/>
        <v>8</v>
      </c>
    </row>
    <row r="47" spans="1:54" x14ac:dyDescent="0.25">
      <c r="A47" s="21" t="s">
        <v>200</v>
      </c>
      <c r="B47" s="23">
        <v>1</v>
      </c>
      <c r="C47" s="23">
        <v>0</v>
      </c>
      <c r="D47" s="23">
        <v>0</v>
      </c>
      <c r="E47" s="23">
        <v>0</v>
      </c>
      <c r="F47" s="23">
        <f t="shared" si="65"/>
        <v>1</v>
      </c>
      <c r="H47" s="328">
        <v>2</v>
      </c>
      <c r="I47" s="328"/>
      <c r="J47" s="328"/>
      <c r="K47" s="328"/>
      <c r="L47" s="23">
        <f t="shared" si="66"/>
        <v>2</v>
      </c>
      <c r="N47" s="328">
        <v>1</v>
      </c>
      <c r="O47" s="328"/>
      <c r="P47" s="328"/>
      <c r="Q47" s="328"/>
      <c r="R47" s="23">
        <f t="shared" si="67"/>
        <v>1</v>
      </c>
      <c r="T47" s="328">
        <v>1</v>
      </c>
      <c r="U47" s="328"/>
      <c r="V47" s="328"/>
      <c r="W47" s="328"/>
      <c r="X47" s="23">
        <f t="shared" si="68"/>
        <v>1</v>
      </c>
      <c r="Z47" s="328">
        <v>2</v>
      </c>
      <c r="AA47" s="328"/>
      <c r="AB47" s="328"/>
      <c r="AC47" s="328"/>
      <c r="AD47" s="23">
        <f t="shared" si="69"/>
        <v>2</v>
      </c>
      <c r="AF47" s="328">
        <v>1</v>
      </c>
      <c r="AG47" s="328"/>
      <c r="AH47" s="328"/>
      <c r="AI47" s="328"/>
      <c r="AJ47" s="23">
        <f t="shared" si="70"/>
        <v>1</v>
      </c>
      <c r="AL47" s="23">
        <v>1</v>
      </c>
      <c r="AM47" s="23">
        <v>0</v>
      </c>
      <c r="AN47" s="23">
        <v>0</v>
      </c>
      <c r="AO47" s="23">
        <v>0</v>
      </c>
      <c r="AP47" s="23">
        <f t="shared" si="71"/>
        <v>1</v>
      </c>
      <c r="AR47" s="23">
        <v>0</v>
      </c>
      <c r="AS47" s="23">
        <v>0</v>
      </c>
      <c r="AT47" s="23">
        <v>0</v>
      </c>
      <c r="AU47" s="23">
        <v>0</v>
      </c>
      <c r="AV47" s="23">
        <f t="shared" si="72"/>
        <v>0</v>
      </c>
      <c r="AX47" s="23">
        <f t="shared" si="73"/>
        <v>9</v>
      </c>
      <c r="AY47" s="23">
        <f t="shared" si="64"/>
        <v>0</v>
      </c>
      <c r="AZ47" s="23">
        <f t="shared" si="64"/>
        <v>0</v>
      </c>
      <c r="BA47" s="23">
        <f t="shared" si="64"/>
        <v>0</v>
      </c>
      <c r="BB47" s="23">
        <f t="shared" si="74"/>
        <v>9</v>
      </c>
    </row>
    <row r="48" spans="1:54" x14ac:dyDescent="0.25">
      <c r="A48" s="21" t="s">
        <v>47</v>
      </c>
      <c r="B48" s="23">
        <v>1</v>
      </c>
      <c r="C48" s="23">
        <v>0</v>
      </c>
      <c r="D48" s="23">
        <v>0</v>
      </c>
      <c r="E48" s="23">
        <v>0</v>
      </c>
      <c r="F48" s="23">
        <f t="shared" si="65"/>
        <v>1</v>
      </c>
      <c r="H48" s="328">
        <v>2</v>
      </c>
      <c r="I48" s="328"/>
      <c r="J48" s="328"/>
      <c r="K48" s="328"/>
      <c r="L48" s="23">
        <f t="shared" si="66"/>
        <v>2</v>
      </c>
      <c r="N48" s="328">
        <v>1</v>
      </c>
      <c r="O48" s="328"/>
      <c r="P48" s="328"/>
      <c r="Q48" s="328"/>
      <c r="R48" s="23">
        <f t="shared" si="67"/>
        <v>1</v>
      </c>
      <c r="T48" s="328">
        <v>1</v>
      </c>
      <c r="U48" s="328"/>
      <c r="V48" s="328"/>
      <c r="W48" s="328"/>
      <c r="X48" s="23">
        <f t="shared" si="68"/>
        <v>1</v>
      </c>
      <c r="Z48" s="328">
        <v>1.5</v>
      </c>
      <c r="AA48" s="328"/>
      <c r="AB48" s="328"/>
      <c r="AC48" s="328"/>
      <c r="AD48" s="23">
        <f t="shared" si="69"/>
        <v>1.5</v>
      </c>
      <c r="AF48" s="328">
        <v>1</v>
      </c>
      <c r="AG48" s="328"/>
      <c r="AH48" s="328"/>
      <c r="AI48" s="328"/>
      <c r="AJ48" s="23">
        <f t="shared" si="70"/>
        <v>1</v>
      </c>
      <c r="AL48" s="23">
        <v>0</v>
      </c>
      <c r="AM48" s="23">
        <v>0</v>
      </c>
      <c r="AN48" s="23">
        <v>0</v>
      </c>
      <c r="AO48" s="23">
        <v>0</v>
      </c>
      <c r="AP48" s="23">
        <f t="shared" si="71"/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f t="shared" si="72"/>
        <v>0</v>
      </c>
      <c r="AX48" s="23">
        <f t="shared" si="73"/>
        <v>7.5</v>
      </c>
      <c r="AY48" s="23">
        <f t="shared" si="64"/>
        <v>0</v>
      </c>
      <c r="AZ48" s="23">
        <f t="shared" si="64"/>
        <v>0</v>
      </c>
      <c r="BA48" s="23">
        <f t="shared" si="64"/>
        <v>0</v>
      </c>
      <c r="BB48" s="23">
        <f t="shared" si="74"/>
        <v>7.5</v>
      </c>
    </row>
    <row r="49" spans="1:54" x14ac:dyDescent="0.25">
      <c r="A49" s="21" t="s">
        <v>48</v>
      </c>
      <c r="B49" s="23">
        <v>1</v>
      </c>
      <c r="C49" s="23">
        <v>0</v>
      </c>
      <c r="D49" s="23">
        <v>0</v>
      </c>
      <c r="E49" s="23">
        <v>0</v>
      </c>
      <c r="F49" s="23">
        <f t="shared" si="65"/>
        <v>1</v>
      </c>
      <c r="H49" s="328">
        <v>2</v>
      </c>
      <c r="I49" s="328"/>
      <c r="J49" s="328"/>
      <c r="K49" s="328"/>
      <c r="L49" s="23">
        <f t="shared" si="66"/>
        <v>2</v>
      </c>
      <c r="N49" s="328">
        <v>1</v>
      </c>
      <c r="O49" s="328"/>
      <c r="P49" s="328"/>
      <c r="Q49" s="328"/>
      <c r="R49" s="23">
        <f t="shared" si="67"/>
        <v>1</v>
      </c>
      <c r="T49" s="328">
        <v>1</v>
      </c>
      <c r="U49" s="328"/>
      <c r="V49" s="328"/>
      <c r="W49" s="328"/>
      <c r="X49" s="23">
        <f t="shared" si="68"/>
        <v>1</v>
      </c>
      <c r="Z49" s="328">
        <v>2</v>
      </c>
      <c r="AA49" s="328"/>
      <c r="AB49" s="328"/>
      <c r="AC49" s="328"/>
      <c r="AD49" s="23">
        <f t="shared" si="69"/>
        <v>2</v>
      </c>
      <c r="AF49" s="328">
        <v>1</v>
      </c>
      <c r="AG49" s="328"/>
      <c r="AH49" s="328"/>
      <c r="AI49" s="328"/>
      <c r="AJ49" s="23">
        <f t="shared" si="70"/>
        <v>1</v>
      </c>
      <c r="AL49" s="23">
        <v>0</v>
      </c>
      <c r="AM49" s="23">
        <v>0</v>
      </c>
      <c r="AN49" s="23">
        <v>0</v>
      </c>
      <c r="AO49" s="23">
        <v>0</v>
      </c>
      <c r="AP49" s="23">
        <f t="shared" si="71"/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f t="shared" si="72"/>
        <v>0</v>
      </c>
      <c r="AX49" s="23">
        <f t="shared" si="73"/>
        <v>8</v>
      </c>
      <c r="AY49" s="23">
        <f t="shared" si="64"/>
        <v>0</v>
      </c>
      <c r="AZ49" s="23">
        <f t="shared" si="64"/>
        <v>0</v>
      </c>
      <c r="BA49" s="23">
        <f t="shared" si="64"/>
        <v>0</v>
      </c>
      <c r="BB49" s="23">
        <f t="shared" si="74"/>
        <v>8</v>
      </c>
    </row>
    <row r="50" spans="1:54" x14ac:dyDescent="0.25">
      <c r="A50" s="21" t="s">
        <v>49</v>
      </c>
      <c r="B50" s="23">
        <v>1</v>
      </c>
      <c r="C50" s="23">
        <v>0</v>
      </c>
      <c r="D50" s="23">
        <v>0</v>
      </c>
      <c r="E50" s="23">
        <v>0</v>
      </c>
      <c r="F50" s="23">
        <f t="shared" si="65"/>
        <v>1</v>
      </c>
      <c r="H50" s="328">
        <v>2</v>
      </c>
      <c r="I50" s="328"/>
      <c r="J50" s="328"/>
      <c r="K50" s="328"/>
      <c r="L50" s="23">
        <f t="shared" si="66"/>
        <v>2</v>
      </c>
      <c r="N50" s="328">
        <v>1</v>
      </c>
      <c r="O50" s="328"/>
      <c r="P50" s="328"/>
      <c r="Q50" s="328"/>
      <c r="R50" s="23">
        <f t="shared" si="67"/>
        <v>1</v>
      </c>
      <c r="T50" s="328">
        <v>1</v>
      </c>
      <c r="U50" s="328"/>
      <c r="V50" s="328"/>
      <c r="W50" s="328"/>
      <c r="X50" s="23">
        <f t="shared" si="68"/>
        <v>1</v>
      </c>
      <c r="Z50" s="328">
        <v>2</v>
      </c>
      <c r="AA50" s="328"/>
      <c r="AB50" s="328"/>
      <c r="AC50" s="328"/>
      <c r="AD50" s="23">
        <f t="shared" si="69"/>
        <v>2</v>
      </c>
      <c r="AF50" s="328">
        <v>1</v>
      </c>
      <c r="AG50" s="328"/>
      <c r="AH50" s="328"/>
      <c r="AI50" s="328"/>
      <c r="AJ50" s="23">
        <f t="shared" si="70"/>
        <v>1</v>
      </c>
      <c r="AL50" s="23">
        <v>0</v>
      </c>
      <c r="AM50" s="23">
        <v>0</v>
      </c>
      <c r="AN50" s="23">
        <v>0</v>
      </c>
      <c r="AO50" s="23">
        <v>0</v>
      </c>
      <c r="AP50" s="23">
        <f t="shared" si="71"/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f t="shared" si="72"/>
        <v>0</v>
      </c>
      <c r="AX50" s="23">
        <f t="shared" si="73"/>
        <v>8</v>
      </c>
      <c r="AY50" s="23">
        <f t="shared" si="64"/>
        <v>0</v>
      </c>
      <c r="AZ50" s="23">
        <f t="shared" si="64"/>
        <v>0</v>
      </c>
      <c r="BA50" s="23">
        <f t="shared" si="64"/>
        <v>0</v>
      </c>
      <c r="BB50" s="23">
        <f t="shared" si="74"/>
        <v>8</v>
      </c>
    </row>
    <row r="51" spans="1:54" x14ac:dyDescent="0.25">
      <c r="A51" s="21" t="s">
        <v>50</v>
      </c>
      <c r="B51" s="23">
        <v>0</v>
      </c>
      <c r="C51" s="23">
        <v>1.5</v>
      </c>
      <c r="D51" s="23">
        <v>4</v>
      </c>
      <c r="E51" s="23">
        <v>0</v>
      </c>
      <c r="F51" s="23">
        <f t="shared" si="65"/>
        <v>5.5</v>
      </c>
      <c r="H51" s="328">
        <v>0</v>
      </c>
      <c r="I51" s="328">
        <v>8</v>
      </c>
      <c r="J51" s="328">
        <v>13</v>
      </c>
      <c r="K51" s="328">
        <v>0</v>
      </c>
      <c r="L51" s="23">
        <f t="shared" si="66"/>
        <v>21</v>
      </c>
      <c r="N51" s="328">
        <v>0</v>
      </c>
      <c r="O51" s="328">
        <v>4.5</v>
      </c>
      <c r="P51" s="328">
        <v>4</v>
      </c>
      <c r="Q51" s="328">
        <v>0</v>
      </c>
      <c r="R51" s="23">
        <f t="shared" si="67"/>
        <v>8.5</v>
      </c>
      <c r="T51" s="328">
        <v>1.5</v>
      </c>
      <c r="U51" s="328">
        <v>2</v>
      </c>
      <c r="V51" s="328">
        <v>5</v>
      </c>
      <c r="W51" s="328">
        <v>0</v>
      </c>
      <c r="X51" s="23">
        <f t="shared" si="68"/>
        <v>8.5</v>
      </c>
      <c r="Z51" s="328">
        <v>0</v>
      </c>
      <c r="AA51" s="328">
        <v>4</v>
      </c>
      <c r="AB51" s="328">
        <v>10</v>
      </c>
      <c r="AC51" s="328">
        <v>0</v>
      </c>
      <c r="AD51" s="23">
        <f t="shared" si="69"/>
        <v>14</v>
      </c>
      <c r="AF51" s="328">
        <v>0</v>
      </c>
      <c r="AG51" s="359">
        <v>0</v>
      </c>
      <c r="AH51" s="359">
        <v>5</v>
      </c>
      <c r="AI51" s="359">
        <v>0</v>
      </c>
      <c r="AJ51" s="23">
        <f t="shared" si="70"/>
        <v>5</v>
      </c>
      <c r="AL51" s="23">
        <v>1</v>
      </c>
      <c r="AM51" s="23">
        <v>0</v>
      </c>
      <c r="AN51" s="23">
        <v>0</v>
      </c>
      <c r="AO51" s="23">
        <v>0</v>
      </c>
      <c r="AP51" s="23">
        <f t="shared" si="71"/>
        <v>1</v>
      </c>
      <c r="AR51" s="23">
        <v>0</v>
      </c>
      <c r="AS51" s="23">
        <v>0</v>
      </c>
      <c r="AT51" s="23">
        <v>1</v>
      </c>
      <c r="AU51" s="23">
        <v>0</v>
      </c>
      <c r="AV51" s="23">
        <f t="shared" si="72"/>
        <v>1</v>
      </c>
      <c r="AX51" s="23">
        <f t="shared" si="73"/>
        <v>2.5</v>
      </c>
      <c r="AY51" s="23">
        <f t="shared" si="64"/>
        <v>20</v>
      </c>
      <c r="AZ51" s="23">
        <f t="shared" si="64"/>
        <v>42</v>
      </c>
      <c r="BA51" s="23">
        <f t="shared" si="64"/>
        <v>0</v>
      </c>
      <c r="BB51" s="23">
        <f t="shared" si="74"/>
        <v>64.5</v>
      </c>
    </row>
    <row r="52" spans="1:54" x14ac:dyDescent="0.25">
      <c r="A52" s="21" t="s">
        <v>51</v>
      </c>
      <c r="B52" s="23">
        <v>1</v>
      </c>
      <c r="C52" s="23">
        <v>0</v>
      </c>
      <c r="D52" s="23">
        <v>0</v>
      </c>
      <c r="E52" s="23">
        <v>0</v>
      </c>
      <c r="F52" s="23">
        <f t="shared" si="65"/>
        <v>1</v>
      </c>
      <c r="H52" s="328">
        <v>5</v>
      </c>
      <c r="I52" s="328"/>
      <c r="J52" s="328"/>
      <c r="K52" s="328"/>
      <c r="L52" s="23">
        <f t="shared" si="66"/>
        <v>5</v>
      </c>
      <c r="N52" s="328">
        <v>2</v>
      </c>
      <c r="O52" s="328"/>
      <c r="P52" s="328"/>
      <c r="Q52" s="328"/>
      <c r="R52" s="23">
        <f t="shared" si="67"/>
        <v>2</v>
      </c>
      <c r="T52" s="328">
        <v>2</v>
      </c>
      <c r="U52" s="328"/>
      <c r="V52" s="328"/>
      <c r="W52" s="328"/>
      <c r="X52" s="23">
        <f t="shared" si="68"/>
        <v>2</v>
      </c>
      <c r="Z52" s="328">
        <v>4</v>
      </c>
      <c r="AA52" s="328"/>
      <c r="AB52" s="328"/>
      <c r="AC52" s="328"/>
      <c r="AD52" s="23">
        <f t="shared" si="69"/>
        <v>4</v>
      </c>
      <c r="AF52" s="359">
        <v>2</v>
      </c>
      <c r="AG52" s="328"/>
      <c r="AH52" s="328"/>
      <c r="AI52" s="328"/>
      <c r="AJ52" s="23">
        <f t="shared" si="70"/>
        <v>2</v>
      </c>
      <c r="AL52" s="23">
        <v>0</v>
      </c>
      <c r="AM52" s="23">
        <v>0</v>
      </c>
      <c r="AN52" s="23">
        <v>0</v>
      </c>
      <c r="AO52" s="23">
        <v>0</v>
      </c>
      <c r="AP52" s="23">
        <f t="shared" si="71"/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f t="shared" si="72"/>
        <v>0</v>
      </c>
      <c r="AX52" s="23">
        <f t="shared" si="73"/>
        <v>16</v>
      </c>
      <c r="AY52" s="23">
        <f t="shared" si="64"/>
        <v>0</v>
      </c>
      <c r="AZ52" s="23">
        <f t="shared" si="64"/>
        <v>0</v>
      </c>
      <c r="BA52" s="23">
        <f t="shared" si="64"/>
        <v>0</v>
      </c>
      <c r="BB52" s="23">
        <f t="shared" si="74"/>
        <v>16</v>
      </c>
    </row>
    <row r="53" spans="1:54" x14ac:dyDescent="0.25">
      <c r="A53" s="21" t="s">
        <v>52</v>
      </c>
      <c r="B53" s="23">
        <v>0</v>
      </c>
      <c r="C53" s="23">
        <v>0</v>
      </c>
      <c r="D53" s="23">
        <v>0</v>
      </c>
      <c r="E53" s="23">
        <v>1</v>
      </c>
      <c r="F53" s="23">
        <f t="shared" si="65"/>
        <v>1</v>
      </c>
      <c r="H53" s="328">
        <v>0</v>
      </c>
      <c r="I53" s="328"/>
      <c r="J53" s="328"/>
      <c r="K53" s="328">
        <v>3</v>
      </c>
      <c r="L53" s="23">
        <f t="shared" si="66"/>
        <v>3</v>
      </c>
      <c r="N53" s="328"/>
      <c r="O53" s="328"/>
      <c r="P53" s="328"/>
      <c r="Q53" s="328">
        <v>1</v>
      </c>
      <c r="R53" s="23">
        <f t="shared" si="67"/>
        <v>1</v>
      </c>
      <c r="T53" s="328"/>
      <c r="U53" s="328"/>
      <c r="V53" s="328"/>
      <c r="W53" s="328">
        <v>1</v>
      </c>
      <c r="X53" s="23">
        <f t="shared" si="68"/>
        <v>1</v>
      </c>
      <c r="Z53" s="328"/>
      <c r="AA53" s="328"/>
      <c r="AB53" s="328"/>
      <c r="AC53" s="328">
        <v>2</v>
      </c>
      <c r="AD53" s="23">
        <f t="shared" si="69"/>
        <v>2</v>
      </c>
      <c r="AF53" s="328"/>
      <c r="AG53" s="328"/>
      <c r="AH53" s="328"/>
      <c r="AI53" s="328">
        <v>1</v>
      </c>
      <c r="AJ53" s="23">
        <f t="shared" si="70"/>
        <v>1</v>
      </c>
      <c r="AL53" s="23">
        <v>0</v>
      </c>
      <c r="AM53" s="23">
        <v>0</v>
      </c>
      <c r="AN53" s="23">
        <v>0</v>
      </c>
      <c r="AO53" s="23">
        <v>0</v>
      </c>
      <c r="AP53" s="23">
        <f t="shared" si="71"/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f t="shared" si="72"/>
        <v>0</v>
      </c>
      <c r="AX53" s="23">
        <f t="shared" si="73"/>
        <v>0</v>
      </c>
      <c r="AY53" s="23">
        <f t="shared" si="64"/>
        <v>0</v>
      </c>
      <c r="AZ53" s="23">
        <f t="shared" si="64"/>
        <v>0</v>
      </c>
      <c r="BA53" s="23">
        <f t="shared" si="64"/>
        <v>9</v>
      </c>
      <c r="BB53" s="23">
        <f t="shared" si="74"/>
        <v>9</v>
      </c>
    </row>
    <row r="54" spans="1:54" x14ac:dyDescent="0.25">
      <c r="A54" s="21" t="s">
        <v>244</v>
      </c>
      <c r="B54" s="23">
        <v>0</v>
      </c>
      <c r="C54" s="23">
        <v>0</v>
      </c>
      <c r="D54" s="23">
        <v>0</v>
      </c>
      <c r="E54" s="23">
        <v>0</v>
      </c>
      <c r="F54" s="23">
        <f t="shared" si="65"/>
        <v>0</v>
      </c>
      <c r="H54" s="328">
        <v>0</v>
      </c>
      <c r="I54" s="328">
        <v>0</v>
      </c>
      <c r="J54" s="328"/>
      <c r="K54" s="328"/>
      <c r="L54" s="23">
        <f t="shared" si="66"/>
        <v>0</v>
      </c>
      <c r="N54" s="328">
        <v>0</v>
      </c>
      <c r="O54" s="328">
        <v>0</v>
      </c>
      <c r="P54" s="328"/>
      <c r="Q54" s="328"/>
      <c r="R54" s="23">
        <f t="shared" si="67"/>
        <v>0</v>
      </c>
      <c r="T54" s="328">
        <v>0</v>
      </c>
      <c r="U54" s="328">
        <v>0</v>
      </c>
      <c r="V54" s="328"/>
      <c r="W54" s="328"/>
      <c r="X54" s="23">
        <f t="shared" si="68"/>
        <v>0</v>
      </c>
      <c r="Z54" s="328">
        <v>0</v>
      </c>
      <c r="AA54" s="328">
        <v>0</v>
      </c>
      <c r="AB54" s="328"/>
      <c r="AC54" s="328"/>
      <c r="AD54" s="23">
        <f t="shared" si="69"/>
        <v>0</v>
      </c>
      <c r="AF54" s="328">
        <v>0</v>
      </c>
      <c r="AG54" s="328">
        <v>0</v>
      </c>
      <c r="AH54" s="328"/>
      <c r="AI54" s="328"/>
      <c r="AJ54" s="23">
        <f t="shared" si="70"/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f t="shared" si="71"/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f t="shared" si="72"/>
        <v>0</v>
      </c>
      <c r="AX54" s="23">
        <f t="shared" si="73"/>
        <v>0</v>
      </c>
      <c r="AY54" s="23">
        <f t="shared" si="64"/>
        <v>0</v>
      </c>
      <c r="AZ54" s="23">
        <f t="shared" si="64"/>
        <v>0</v>
      </c>
      <c r="BA54" s="23">
        <f t="shared" si="64"/>
        <v>0</v>
      </c>
      <c r="BB54" s="23">
        <f t="shared" si="74"/>
        <v>0</v>
      </c>
    </row>
    <row r="55" spans="1:54" x14ac:dyDescent="0.25">
      <c r="A55" s="34" t="s">
        <v>54</v>
      </c>
      <c r="B55" s="23">
        <v>0</v>
      </c>
      <c r="C55" s="23">
        <v>0</v>
      </c>
      <c r="D55" s="23">
        <v>1</v>
      </c>
      <c r="E55" s="23">
        <v>0</v>
      </c>
      <c r="F55" s="23">
        <f t="shared" si="65"/>
        <v>1</v>
      </c>
      <c r="H55" s="328">
        <v>0</v>
      </c>
      <c r="I55" s="328"/>
      <c r="J55" s="328">
        <v>1</v>
      </c>
      <c r="K55" s="328"/>
      <c r="L55" s="23">
        <f t="shared" si="66"/>
        <v>1</v>
      </c>
      <c r="N55" s="328">
        <v>0</v>
      </c>
      <c r="O55" s="328"/>
      <c r="P55" s="328">
        <v>0.33</v>
      </c>
      <c r="Q55" s="328"/>
      <c r="R55" s="23">
        <f t="shared" si="67"/>
        <v>0.33</v>
      </c>
      <c r="T55" s="328">
        <v>0</v>
      </c>
      <c r="U55" s="328"/>
      <c r="V55" s="328">
        <v>1</v>
      </c>
      <c r="W55" s="328"/>
      <c r="X55" s="23">
        <f t="shared" si="68"/>
        <v>1</v>
      </c>
      <c r="Z55" s="328">
        <v>0</v>
      </c>
      <c r="AA55" s="328"/>
      <c r="AB55" s="328">
        <v>0</v>
      </c>
      <c r="AC55" s="328"/>
      <c r="AD55" s="23">
        <f t="shared" si="69"/>
        <v>0</v>
      </c>
      <c r="AF55" s="328">
        <v>0</v>
      </c>
      <c r="AG55" s="328"/>
      <c r="AH55" s="328">
        <v>0</v>
      </c>
      <c r="AI55" s="328"/>
      <c r="AJ55" s="23">
        <f t="shared" si="70"/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f t="shared" si="71"/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f t="shared" si="72"/>
        <v>0</v>
      </c>
      <c r="AX55" s="23">
        <f t="shared" si="73"/>
        <v>0</v>
      </c>
      <c r="AY55" s="23">
        <f t="shared" si="64"/>
        <v>0</v>
      </c>
      <c r="AZ55" s="23">
        <f t="shared" si="64"/>
        <v>3.33</v>
      </c>
      <c r="BA55" s="23">
        <f t="shared" si="64"/>
        <v>0</v>
      </c>
      <c r="BB55" s="23">
        <f t="shared" si="74"/>
        <v>3.33</v>
      </c>
    </row>
    <row r="56" spans="1:54" x14ac:dyDescent="0.25">
      <c r="A56" s="34" t="s">
        <v>55</v>
      </c>
      <c r="B56" s="23">
        <v>0</v>
      </c>
      <c r="C56" s="23">
        <v>0</v>
      </c>
      <c r="D56" s="23">
        <v>0</v>
      </c>
      <c r="E56" s="23">
        <v>0</v>
      </c>
      <c r="F56" s="23">
        <f t="shared" si="65"/>
        <v>0</v>
      </c>
      <c r="H56" s="328">
        <v>0</v>
      </c>
      <c r="I56" s="328">
        <v>0</v>
      </c>
      <c r="J56" s="328">
        <v>1</v>
      </c>
      <c r="K56" s="328"/>
      <c r="L56" s="23">
        <f t="shared" si="66"/>
        <v>1</v>
      </c>
      <c r="N56" s="328">
        <v>0</v>
      </c>
      <c r="O56" s="328">
        <v>0</v>
      </c>
      <c r="P56" s="328"/>
      <c r="Q56" s="328"/>
      <c r="R56" s="23">
        <f t="shared" si="67"/>
        <v>0</v>
      </c>
      <c r="T56" s="328">
        <v>0</v>
      </c>
      <c r="U56" s="328">
        <v>0</v>
      </c>
      <c r="V56" s="328">
        <v>1</v>
      </c>
      <c r="W56" s="328"/>
      <c r="X56" s="23">
        <f t="shared" si="68"/>
        <v>1</v>
      </c>
      <c r="Z56" s="328">
        <v>0</v>
      </c>
      <c r="AA56" s="328">
        <v>0</v>
      </c>
      <c r="AB56" s="328">
        <v>0</v>
      </c>
      <c r="AC56" s="328"/>
      <c r="AD56" s="23">
        <f t="shared" si="69"/>
        <v>0</v>
      </c>
      <c r="AF56" s="328">
        <v>0</v>
      </c>
      <c r="AG56" s="328">
        <v>0</v>
      </c>
      <c r="AH56" s="328">
        <v>0</v>
      </c>
      <c r="AI56" s="328"/>
      <c r="AJ56" s="23">
        <f t="shared" si="70"/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f t="shared" si="71"/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f t="shared" si="72"/>
        <v>0</v>
      </c>
      <c r="AX56" s="23">
        <f t="shared" si="73"/>
        <v>0</v>
      </c>
      <c r="AY56" s="23">
        <f t="shared" si="64"/>
        <v>0</v>
      </c>
      <c r="AZ56" s="23">
        <f t="shared" si="64"/>
        <v>2</v>
      </c>
      <c r="BA56" s="23">
        <f t="shared" si="64"/>
        <v>0</v>
      </c>
      <c r="BB56" s="23">
        <f t="shared" si="74"/>
        <v>2</v>
      </c>
    </row>
    <row r="57" spans="1:54" x14ac:dyDescent="0.25">
      <c r="A57" s="34" t="s">
        <v>56</v>
      </c>
      <c r="B57" s="23">
        <v>0</v>
      </c>
      <c r="C57" s="23">
        <v>0</v>
      </c>
      <c r="D57" s="23">
        <v>0</v>
      </c>
      <c r="E57" s="23">
        <v>0</v>
      </c>
      <c r="F57" s="23">
        <f t="shared" si="65"/>
        <v>0</v>
      </c>
      <c r="H57" s="328">
        <v>0</v>
      </c>
      <c r="I57" s="328">
        <v>0</v>
      </c>
      <c r="J57" s="328">
        <v>0</v>
      </c>
      <c r="K57" s="328"/>
      <c r="L57" s="23">
        <f t="shared" si="66"/>
        <v>0</v>
      </c>
      <c r="N57" s="328">
        <v>0</v>
      </c>
      <c r="O57" s="328">
        <v>0</v>
      </c>
      <c r="P57" s="328"/>
      <c r="Q57" s="328"/>
      <c r="R57" s="23">
        <f t="shared" si="67"/>
        <v>0</v>
      </c>
      <c r="T57" s="328">
        <v>0</v>
      </c>
      <c r="U57" s="328">
        <v>0</v>
      </c>
      <c r="V57" s="328">
        <v>1</v>
      </c>
      <c r="W57" s="328"/>
      <c r="X57" s="23">
        <f t="shared" si="68"/>
        <v>1</v>
      </c>
      <c r="Z57" s="328">
        <v>0</v>
      </c>
      <c r="AA57" s="328">
        <v>0</v>
      </c>
      <c r="AB57" s="328">
        <v>0.5</v>
      </c>
      <c r="AC57" s="328"/>
      <c r="AD57" s="23">
        <f t="shared" si="69"/>
        <v>0.5</v>
      </c>
      <c r="AF57" s="328">
        <v>0</v>
      </c>
      <c r="AG57" s="328">
        <v>0</v>
      </c>
      <c r="AH57" s="328">
        <v>0</v>
      </c>
      <c r="AI57" s="328"/>
      <c r="AJ57" s="23">
        <f t="shared" si="70"/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f t="shared" si="71"/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f t="shared" si="72"/>
        <v>0</v>
      </c>
      <c r="AX57" s="23">
        <f t="shared" si="73"/>
        <v>0</v>
      </c>
      <c r="AY57" s="23">
        <f t="shared" si="64"/>
        <v>0</v>
      </c>
      <c r="AZ57" s="23">
        <f t="shared" si="64"/>
        <v>1.5</v>
      </c>
      <c r="BA57" s="23">
        <f t="shared" si="64"/>
        <v>0</v>
      </c>
      <c r="BB57" s="23">
        <f t="shared" si="74"/>
        <v>1.5</v>
      </c>
    </row>
    <row r="58" spans="1:54" x14ac:dyDescent="0.25">
      <c r="A58" s="34" t="s">
        <v>57</v>
      </c>
      <c r="B58" s="23">
        <v>0</v>
      </c>
      <c r="C58" s="23">
        <v>0</v>
      </c>
      <c r="D58" s="23">
        <v>0</v>
      </c>
      <c r="E58" s="23">
        <v>0</v>
      </c>
      <c r="F58" s="23">
        <f t="shared" si="65"/>
        <v>0</v>
      </c>
      <c r="H58" s="328">
        <v>0</v>
      </c>
      <c r="I58" s="328">
        <v>0</v>
      </c>
      <c r="J58" s="328"/>
      <c r="K58" s="328"/>
      <c r="L58" s="23">
        <f t="shared" si="66"/>
        <v>0</v>
      </c>
      <c r="N58" s="328">
        <v>0</v>
      </c>
      <c r="O58" s="328">
        <v>0</v>
      </c>
      <c r="P58" s="328"/>
      <c r="Q58" s="328"/>
      <c r="R58" s="23">
        <f t="shared" si="67"/>
        <v>0</v>
      </c>
      <c r="T58" s="328">
        <v>0</v>
      </c>
      <c r="U58" s="328">
        <v>0</v>
      </c>
      <c r="V58" s="328">
        <v>0.34</v>
      </c>
      <c r="W58" s="328"/>
      <c r="X58" s="23">
        <f t="shared" si="68"/>
        <v>0.34</v>
      </c>
      <c r="Z58" s="328">
        <v>0</v>
      </c>
      <c r="AA58" s="328">
        <v>0</v>
      </c>
      <c r="AB58" s="328">
        <v>0.33</v>
      </c>
      <c r="AC58" s="328"/>
      <c r="AD58" s="23">
        <f t="shared" si="69"/>
        <v>0.33</v>
      </c>
      <c r="AF58" s="328">
        <v>0</v>
      </c>
      <c r="AG58" s="328">
        <v>0</v>
      </c>
      <c r="AH58" s="328">
        <v>0</v>
      </c>
      <c r="AI58" s="328"/>
      <c r="AJ58" s="23">
        <f t="shared" si="70"/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f t="shared" si="71"/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f t="shared" si="72"/>
        <v>0</v>
      </c>
      <c r="AX58" s="23">
        <f t="shared" si="73"/>
        <v>0</v>
      </c>
      <c r="AY58" s="23">
        <f t="shared" si="73"/>
        <v>0</v>
      </c>
      <c r="AZ58" s="23">
        <f t="shared" si="73"/>
        <v>0.67</v>
      </c>
      <c r="BA58" s="23">
        <f t="shared" si="73"/>
        <v>0</v>
      </c>
      <c r="BB58" s="23">
        <f t="shared" si="74"/>
        <v>0.67</v>
      </c>
    </row>
    <row r="59" spans="1:54" x14ac:dyDescent="0.25">
      <c r="A59" s="34" t="s">
        <v>58</v>
      </c>
      <c r="B59" s="23">
        <v>0</v>
      </c>
      <c r="C59" s="23">
        <v>0</v>
      </c>
      <c r="D59" s="23">
        <v>0</v>
      </c>
      <c r="E59" s="23">
        <v>0</v>
      </c>
      <c r="F59" s="23">
        <f t="shared" si="65"/>
        <v>0</v>
      </c>
      <c r="H59" s="328">
        <v>0</v>
      </c>
      <c r="I59" s="328">
        <v>0</v>
      </c>
      <c r="J59" s="328">
        <v>1</v>
      </c>
      <c r="K59" s="328"/>
      <c r="L59" s="23">
        <f t="shared" si="66"/>
        <v>1</v>
      </c>
      <c r="N59" s="328">
        <v>0</v>
      </c>
      <c r="O59" s="328">
        <v>0</v>
      </c>
      <c r="P59" s="328"/>
      <c r="Q59" s="328"/>
      <c r="R59" s="23">
        <f t="shared" si="67"/>
        <v>0</v>
      </c>
      <c r="T59" s="328">
        <v>0</v>
      </c>
      <c r="U59" s="328">
        <v>0</v>
      </c>
      <c r="V59" s="328"/>
      <c r="W59" s="328"/>
      <c r="X59" s="23">
        <f t="shared" si="68"/>
        <v>0</v>
      </c>
      <c r="Z59" s="328">
        <v>0</v>
      </c>
      <c r="AA59" s="328">
        <v>0</v>
      </c>
      <c r="AB59" s="328">
        <v>1</v>
      </c>
      <c r="AC59" s="328"/>
      <c r="AD59" s="23">
        <f t="shared" si="69"/>
        <v>1</v>
      </c>
      <c r="AF59" s="328">
        <v>0</v>
      </c>
      <c r="AG59" s="328">
        <v>0</v>
      </c>
      <c r="AH59" s="328">
        <v>0</v>
      </c>
      <c r="AI59" s="328"/>
      <c r="AJ59" s="23">
        <f t="shared" si="70"/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f t="shared" si="71"/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f t="shared" si="72"/>
        <v>0</v>
      </c>
      <c r="AX59" s="23">
        <f t="shared" si="73"/>
        <v>0</v>
      </c>
      <c r="AY59" s="23">
        <f t="shared" si="73"/>
        <v>0</v>
      </c>
      <c r="AZ59" s="23">
        <f t="shared" si="73"/>
        <v>2</v>
      </c>
      <c r="BA59" s="23">
        <f t="shared" si="73"/>
        <v>0</v>
      </c>
      <c r="BB59" s="23">
        <f t="shared" si="74"/>
        <v>2</v>
      </c>
    </row>
    <row r="60" spans="1:54" x14ac:dyDescent="0.25">
      <c r="A60" s="34" t="s">
        <v>59</v>
      </c>
      <c r="B60" s="23">
        <v>0</v>
      </c>
      <c r="C60" s="23">
        <v>0.5</v>
      </c>
      <c r="D60" s="23">
        <v>0</v>
      </c>
      <c r="E60" s="23">
        <v>0</v>
      </c>
      <c r="F60" s="23">
        <f t="shared" si="65"/>
        <v>0.5</v>
      </c>
      <c r="H60" s="328">
        <v>0</v>
      </c>
      <c r="I60" s="328">
        <v>1</v>
      </c>
      <c r="J60" s="328"/>
      <c r="K60" s="328"/>
      <c r="L60" s="23">
        <f t="shared" si="66"/>
        <v>1</v>
      </c>
      <c r="N60" s="328">
        <v>0</v>
      </c>
      <c r="O60" s="328">
        <v>0.5</v>
      </c>
      <c r="P60" s="328"/>
      <c r="Q60" s="328"/>
      <c r="R60" s="23">
        <f t="shared" si="67"/>
        <v>0.5</v>
      </c>
      <c r="T60" s="328">
        <v>0</v>
      </c>
      <c r="U60" s="328">
        <v>1.5</v>
      </c>
      <c r="V60" s="328"/>
      <c r="W60" s="328"/>
      <c r="X60" s="23">
        <f t="shared" si="68"/>
        <v>1.5</v>
      </c>
      <c r="Z60" s="328">
        <v>0</v>
      </c>
      <c r="AA60" s="328">
        <v>1.5</v>
      </c>
      <c r="AB60" s="328"/>
      <c r="AC60" s="328"/>
      <c r="AD60" s="23">
        <f t="shared" si="69"/>
        <v>1.5</v>
      </c>
      <c r="AF60" s="328">
        <v>0</v>
      </c>
      <c r="AG60" s="328">
        <v>0.5</v>
      </c>
      <c r="AH60" s="328"/>
      <c r="AI60" s="328"/>
      <c r="AJ60" s="23">
        <f t="shared" si="70"/>
        <v>0.5</v>
      </c>
      <c r="AL60" s="23">
        <v>0</v>
      </c>
      <c r="AM60" s="23">
        <v>0.5</v>
      </c>
      <c r="AN60" s="23">
        <v>0</v>
      </c>
      <c r="AO60" s="23">
        <v>0</v>
      </c>
      <c r="AP60" s="23">
        <f t="shared" si="71"/>
        <v>0.5</v>
      </c>
      <c r="AR60" s="23">
        <v>0</v>
      </c>
      <c r="AS60" s="23">
        <v>0</v>
      </c>
      <c r="AT60" s="23">
        <v>0</v>
      </c>
      <c r="AU60" s="23">
        <v>0</v>
      </c>
      <c r="AV60" s="23">
        <f t="shared" si="72"/>
        <v>0</v>
      </c>
      <c r="AX60" s="23">
        <f t="shared" si="73"/>
        <v>0</v>
      </c>
      <c r="AY60" s="23">
        <f t="shared" si="73"/>
        <v>6</v>
      </c>
      <c r="AZ60" s="23">
        <f t="shared" si="73"/>
        <v>0</v>
      </c>
      <c r="BA60" s="23">
        <f t="shared" si="73"/>
        <v>0</v>
      </c>
      <c r="BB60" s="23">
        <f t="shared" si="74"/>
        <v>6</v>
      </c>
    </row>
    <row r="61" spans="1:54" x14ac:dyDescent="0.25">
      <c r="A61" s="35" t="s">
        <v>245</v>
      </c>
      <c r="B61" s="23">
        <v>0</v>
      </c>
      <c r="C61" s="23">
        <v>0</v>
      </c>
      <c r="D61" s="23">
        <v>0</v>
      </c>
      <c r="E61" s="23">
        <v>0</v>
      </c>
      <c r="F61" s="23">
        <f t="shared" si="65"/>
        <v>0</v>
      </c>
      <c r="H61" s="23">
        <v>0</v>
      </c>
      <c r="I61" s="23">
        <v>0</v>
      </c>
      <c r="J61" s="23">
        <v>0</v>
      </c>
      <c r="K61" s="23">
        <v>0</v>
      </c>
      <c r="L61" s="23">
        <f t="shared" si="66"/>
        <v>0</v>
      </c>
      <c r="N61" s="23">
        <v>0</v>
      </c>
      <c r="O61" s="23">
        <v>0</v>
      </c>
      <c r="P61" s="23">
        <v>0</v>
      </c>
      <c r="Q61" s="23">
        <v>0</v>
      </c>
      <c r="R61" s="23">
        <f t="shared" si="67"/>
        <v>0</v>
      </c>
      <c r="T61" s="328">
        <v>0</v>
      </c>
      <c r="U61" s="328">
        <v>0</v>
      </c>
      <c r="V61" s="328"/>
      <c r="W61" s="328"/>
      <c r="X61" s="23">
        <f t="shared" si="68"/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f t="shared" si="69"/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f t="shared" si="70"/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f t="shared" si="71"/>
        <v>0</v>
      </c>
      <c r="AR61" s="23">
        <v>1</v>
      </c>
      <c r="AS61" s="23">
        <v>0</v>
      </c>
      <c r="AT61" s="23">
        <v>0</v>
      </c>
      <c r="AU61" s="23">
        <v>0</v>
      </c>
      <c r="AV61" s="23">
        <f t="shared" si="72"/>
        <v>1</v>
      </c>
      <c r="AX61" s="23">
        <f t="shared" si="73"/>
        <v>1</v>
      </c>
      <c r="AY61" s="23">
        <f t="shared" si="73"/>
        <v>0</v>
      </c>
      <c r="AZ61" s="23">
        <f t="shared" si="73"/>
        <v>0</v>
      </c>
      <c r="BA61" s="23">
        <f t="shared" si="73"/>
        <v>0</v>
      </c>
      <c r="BB61" s="23">
        <f t="shared" si="74"/>
        <v>1</v>
      </c>
    </row>
    <row r="62" spans="1:54" x14ac:dyDescent="0.25">
      <c r="A62" s="29" t="s">
        <v>60</v>
      </c>
      <c r="B62" s="30">
        <f>SUM(B42:B61)</f>
        <v>9</v>
      </c>
      <c r="C62" s="30">
        <f t="shared" ref="C62:F62" si="75">SUM(C42:C61)</f>
        <v>3</v>
      </c>
      <c r="D62" s="30">
        <f t="shared" si="75"/>
        <v>5</v>
      </c>
      <c r="E62" s="30">
        <f t="shared" si="75"/>
        <v>1</v>
      </c>
      <c r="F62" s="30">
        <f t="shared" si="75"/>
        <v>18</v>
      </c>
      <c r="H62" s="30">
        <f>SUM(H42:H61)</f>
        <v>24</v>
      </c>
      <c r="I62" s="30">
        <f t="shared" ref="I62:L62" si="76">SUM(I42:I61)</f>
        <v>10</v>
      </c>
      <c r="J62" s="30">
        <f t="shared" si="76"/>
        <v>16</v>
      </c>
      <c r="K62" s="30">
        <f t="shared" si="76"/>
        <v>3</v>
      </c>
      <c r="L62" s="30">
        <f t="shared" si="76"/>
        <v>53</v>
      </c>
      <c r="N62" s="30">
        <f>SUM(N42:N61)</f>
        <v>11</v>
      </c>
      <c r="O62" s="30">
        <f t="shared" ref="O62:R62" si="77">SUM(O42:O61)</f>
        <v>5</v>
      </c>
      <c r="P62" s="30">
        <f t="shared" si="77"/>
        <v>4.33</v>
      </c>
      <c r="Q62" s="30">
        <f t="shared" si="77"/>
        <v>1</v>
      </c>
      <c r="R62" s="30">
        <f t="shared" si="77"/>
        <v>21.33</v>
      </c>
      <c r="T62" s="30">
        <f>SUM(T42:T61)</f>
        <v>13.5</v>
      </c>
      <c r="U62" s="30">
        <f t="shared" ref="U62:X62" si="78">SUM(U42:U61)</f>
        <v>3.5</v>
      </c>
      <c r="V62" s="30">
        <f t="shared" si="78"/>
        <v>8.34</v>
      </c>
      <c r="W62" s="30">
        <f t="shared" si="78"/>
        <v>1</v>
      </c>
      <c r="X62" s="30">
        <f t="shared" si="78"/>
        <v>26.34</v>
      </c>
      <c r="Z62" s="30">
        <f>SUM(Z42:Z61)</f>
        <v>19.5</v>
      </c>
      <c r="AA62" s="30">
        <f t="shared" ref="AA62:AD62" si="79">SUM(AA42:AA61)</f>
        <v>5.5</v>
      </c>
      <c r="AB62" s="30">
        <f t="shared" si="79"/>
        <v>12.83</v>
      </c>
      <c r="AC62" s="30">
        <f t="shared" si="79"/>
        <v>2</v>
      </c>
      <c r="AD62" s="30">
        <f t="shared" si="79"/>
        <v>39.83</v>
      </c>
      <c r="AF62" s="30">
        <f>SUM(AF42:AF61)</f>
        <v>9</v>
      </c>
      <c r="AG62" s="30">
        <f t="shared" ref="AG62:AJ62" si="80">SUM(AG42:AG61)</f>
        <v>3</v>
      </c>
      <c r="AH62" s="30">
        <f t="shared" si="80"/>
        <v>5</v>
      </c>
      <c r="AI62" s="30">
        <f t="shared" si="80"/>
        <v>1</v>
      </c>
      <c r="AJ62" s="30">
        <f t="shared" si="80"/>
        <v>18</v>
      </c>
      <c r="AL62" s="30">
        <f>SUM(AL42:AL61)</f>
        <v>3</v>
      </c>
      <c r="AM62" s="30">
        <f t="shared" ref="AM62:AP62" si="81">SUM(AM42:AM61)</f>
        <v>0.5</v>
      </c>
      <c r="AN62" s="30">
        <f t="shared" si="81"/>
        <v>0</v>
      </c>
      <c r="AO62" s="30">
        <f t="shared" si="81"/>
        <v>0</v>
      </c>
      <c r="AP62" s="30">
        <f t="shared" si="81"/>
        <v>3.5</v>
      </c>
      <c r="AR62" s="30">
        <f>SUM(AR42:AR61)</f>
        <v>1</v>
      </c>
      <c r="AS62" s="30">
        <f t="shared" ref="AS62:AV62" si="82">SUM(AS42:AS61)</f>
        <v>0</v>
      </c>
      <c r="AT62" s="30">
        <f t="shared" si="82"/>
        <v>1</v>
      </c>
      <c r="AU62" s="30">
        <f t="shared" si="82"/>
        <v>0</v>
      </c>
      <c r="AV62" s="30">
        <f t="shared" si="82"/>
        <v>2</v>
      </c>
      <c r="AX62" s="30">
        <f>SUM(AX42:AX61)</f>
        <v>90</v>
      </c>
      <c r="AY62" s="30">
        <f t="shared" ref="AY62:BB62" si="83">SUM(AY42:AY61)</f>
        <v>30.5</v>
      </c>
      <c r="AZ62" s="30">
        <f t="shared" si="83"/>
        <v>52.5</v>
      </c>
      <c r="BA62" s="30">
        <f t="shared" si="83"/>
        <v>9</v>
      </c>
      <c r="BB62" s="30">
        <f t="shared" si="83"/>
        <v>182</v>
      </c>
    </row>
    <row r="63" spans="1:54" ht="15.75" thickBot="1" x14ac:dyDescent="0.3">
      <c r="A63" s="36"/>
      <c r="B63" s="38"/>
      <c r="C63" s="38"/>
      <c r="D63" s="38"/>
      <c r="E63" s="38"/>
      <c r="F63" s="38"/>
      <c r="H63" s="38"/>
      <c r="I63" s="38"/>
      <c r="J63" s="38"/>
      <c r="K63" s="38"/>
      <c r="L63" s="38"/>
      <c r="N63" s="38"/>
      <c r="O63" s="38"/>
      <c r="P63" s="38"/>
      <c r="Q63" s="38"/>
      <c r="R63" s="38"/>
      <c r="T63" s="38"/>
      <c r="U63" s="38"/>
      <c r="V63" s="38"/>
      <c r="W63" s="38"/>
      <c r="X63" s="38"/>
      <c r="Z63" s="38"/>
      <c r="AA63" s="38"/>
      <c r="AB63" s="38"/>
      <c r="AC63" s="38"/>
      <c r="AD63" s="38"/>
      <c r="AF63" s="38"/>
      <c r="AG63" s="38"/>
      <c r="AH63" s="38"/>
      <c r="AI63" s="38"/>
      <c r="AJ63" s="38"/>
      <c r="AL63" s="38"/>
      <c r="AM63" s="38"/>
      <c r="AN63" s="38"/>
      <c r="AO63" s="38"/>
      <c r="AP63" s="38"/>
      <c r="AR63" s="38"/>
      <c r="AS63" s="38"/>
      <c r="AT63" s="38"/>
      <c r="AU63" s="38"/>
      <c r="AV63" s="38"/>
      <c r="AX63" s="38"/>
      <c r="AY63" s="38"/>
      <c r="AZ63" s="38"/>
      <c r="BA63" s="38"/>
      <c r="BB63" s="38"/>
    </row>
    <row r="64" spans="1:54" x14ac:dyDescent="0.25">
      <c r="A64" s="40" t="s">
        <v>61</v>
      </c>
      <c r="B64" s="39">
        <f>B39</f>
        <v>41.5</v>
      </c>
      <c r="C64" s="39">
        <f>C39</f>
        <v>0</v>
      </c>
      <c r="D64" s="39">
        <f>D39</f>
        <v>4</v>
      </c>
      <c r="E64" s="39">
        <f t="shared" ref="E64" si="84">E39</f>
        <v>0</v>
      </c>
      <c r="F64" s="39">
        <f>F39</f>
        <v>45.5</v>
      </c>
      <c r="H64" s="39">
        <f>H39</f>
        <v>99</v>
      </c>
      <c r="I64" s="39">
        <f>I39</f>
        <v>0</v>
      </c>
      <c r="J64" s="39">
        <f>J39</f>
        <v>13</v>
      </c>
      <c r="K64" s="39">
        <f t="shared" ref="K64" si="85">K39</f>
        <v>0</v>
      </c>
      <c r="L64" s="39">
        <f>L39</f>
        <v>112</v>
      </c>
      <c r="N64" s="39">
        <f>N39</f>
        <v>43</v>
      </c>
      <c r="O64" s="39">
        <f>O39</f>
        <v>0</v>
      </c>
      <c r="P64" s="39">
        <f>P39</f>
        <v>4</v>
      </c>
      <c r="Q64" s="39">
        <f t="shared" ref="Q64" si="86">Q39</f>
        <v>0</v>
      </c>
      <c r="R64" s="39">
        <f>R39</f>
        <v>47</v>
      </c>
      <c r="T64" s="39">
        <f>T39</f>
        <v>53</v>
      </c>
      <c r="U64" s="39">
        <f>U39</f>
        <v>0</v>
      </c>
      <c r="V64" s="39">
        <f>V39</f>
        <v>5</v>
      </c>
      <c r="W64" s="39">
        <f t="shared" ref="W64" si="87">W39</f>
        <v>0</v>
      </c>
      <c r="X64" s="39">
        <f>X39</f>
        <v>58</v>
      </c>
      <c r="Z64" s="39">
        <f>Z39</f>
        <v>97.5</v>
      </c>
      <c r="AA64" s="39">
        <f>AA39</f>
        <v>0</v>
      </c>
      <c r="AB64" s="39">
        <f>AB39</f>
        <v>10</v>
      </c>
      <c r="AC64" s="39">
        <f t="shared" ref="AC64" si="88">AC39</f>
        <v>0</v>
      </c>
      <c r="AD64" s="39">
        <f>AD39</f>
        <v>107.5</v>
      </c>
      <c r="AF64" s="39">
        <f>AF39</f>
        <v>41</v>
      </c>
      <c r="AG64" s="39">
        <f>AG39</f>
        <v>0</v>
      </c>
      <c r="AH64" s="39">
        <f>AH39</f>
        <v>4</v>
      </c>
      <c r="AI64" s="39">
        <f t="shared" ref="AI64" si="89">AI39</f>
        <v>0</v>
      </c>
      <c r="AJ64" s="39">
        <f>AJ39</f>
        <v>45</v>
      </c>
      <c r="AL64" s="39">
        <f>AL39</f>
        <v>0</v>
      </c>
      <c r="AM64" s="39">
        <f>AM39</f>
        <v>0</v>
      </c>
      <c r="AN64" s="39">
        <f>AN39</f>
        <v>0</v>
      </c>
      <c r="AO64" s="39">
        <f t="shared" ref="AO64" si="90">AO39</f>
        <v>0</v>
      </c>
      <c r="AP64" s="39">
        <f>AP39</f>
        <v>0</v>
      </c>
      <c r="AR64" s="39">
        <f>AR39</f>
        <v>0</v>
      </c>
      <c r="AS64" s="39">
        <f>AS39</f>
        <v>0</v>
      </c>
      <c r="AT64" s="39">
        <f>AT39</f>
        <v>1</v>
      </c>
      <c r="AU64" s="39">
        <f t="shared" ref="AU64" si="91">AU39</f>
        <v>0</v>
      </c>
      <c r="AV64" s="39">
        <f>AV39</f>
        <v>1</v>
      </c>
      <c r="AX64" s="39">
        <f>AX39</f>
        <v>375</v>
      </c>
      <c r="AY64" s="39">
        <f>AY39</f>
        <v>0</v>
      </c>
      <c r="AZ64" s="39">
        <f>AZ39</f>
        <v>41</v>
      </c>
      <c r="BA64" s="39">
        <f t="shared" ref="BA64" si="92">BA39</f>
        <v>0</v>
      </c>
      <c r="BB64" s="39">
        <f>BB39</f>
        <v>416</v>
      </c>
    </row>
    <row r="65" spans="1:54" ht="15.75" thickBot="1" x14ac:dyDescent="0.3">
      <c r="A65" s="42" t="s">
        <v>62</v>
      </c>
      <c r="B65" s="41">
        <f>B62</f>
        <v>9</v>
      </c>
      <c r="C65" s="41">
        <f>C62</f>
        <v>3</v>
      </c>
      <c r="D65" s="41">
        <f>D62</f>
        <v>5</v>
      </c>
      <c r="E65" s="41">
        <f t="shared" ref="E65:F65" si="93">E62</f>
        <v>1</v>
      </c>
      <c r="F65" s="41">
        <f t="shared" si="93"/>
        <v>18</v>
      </c>
      <c r="H65" s="41">
        <f>H62</f>
        <v>24</v>
      </c>
      <c r="I65" s="41">
        <f>I62</f>
        <v>10</v>
      </c>
      <c r="J65" s="41">
        <f>J62</f>
        <v>16</v>
      </c>
      <c r="K65" s="41">
        <f t="shared" ref="K65:L65" si="94">K62</f>
        <v>3</v>
      </c>
      <c r="L65" s="41">
        <f t="shared" si="94"/>
        <v>53</v>
      </c>
      <c r="N65" s="41">
        <f>N62</f>
        <v>11</v>
      </c>
      <c r="O65" s="41">
        <f>O62</f>
        <v>5</v>
      </c>
      <c r="P65" s="41">
        <f>P62</f>
        <v>4.33</v>
      </c>
      <c r="Q65" s="41">
        <f t="shared" ref="Q65:R65" si="95">Q62</f>
        <v>1</v>
      </c>
      <c r="R65" s="41">
        <f t="shared" si="95"/>
        <v>21.33</v>
      </c>
      <c r="T65" s="41">
        <f>T62</f>
        <v>13.5</v>
      </c>
      <c r="U65" s="41">
        <f>U62</f>
        <v>3.5</v>
      </c>
      <c r="V65" s="41">
        <f>V62</f>
        <v>8.34</v>
      </c>
      <c r="W65" s="41">
        <f t="shared" ref="W65:X65" si="96">W62</f>
        <v>1</v>
      </c>
      <c r="X65" s="41">
        <f t="shared" si="96"/>
        <v>26.34</v>
      </c>
      <c r="Z65" s="41">
        <f>Z62</f>
        <v>19.5</v>
      </c>
      <c r="AA65" s="41">
        <f>AA62</f>
        <v>5.5</v>
      </c>
      <c r="AB65" s="41">
        <f>AB62</f>
        <v>12.83</v>
      </c>
      <c r="AC65" s="41">
        <f t="shared" ref="AC65:AD65" si="97">AC62</f>
        <v>2</v>
      </c>
      <c r="AD65" s="41">
        <f t="shared" si="97"/>
        <v>39.83</v>
      </c>
      <c r="AF65" s="41">
        <f>AF62</f>
        <v>9</v>
      </c>
      <c r="AG65" s="41">
        <f>AG62</f>
        <v>3</v>
      </c>
      <c r="AH65" s="41">
        <f>AH62</f>
        <v>5</v>
      </c>
      <c r="AI65" s="41">
        <f t="shared" ref="AI65:AJ65" si="98">AI62</f>
        <v>1</v>
      </c>
      <c r="AJ65" s="41">
        <f t="shared" si="98"/>
        <v>18</v>
      </c>
      <c r="AL65" s="41">
        <f>AL62</f>
        <v>3</v>
      </c>
      <c r="AM65" s="41">
        <f>AM62</f>
        <v>0.5</v>
      </c>
      <c r="AN65" s="41">
        <f>AN62</f>
        <v>0</v>
      </c>
      <c r="AO65" s="41">
        <f t="shared" ref="AO65:AP65" si="99">AO62</f>
        <v>0</v>
      </c>
      <c r="AP65" s="41">
        <f t="shared" si="99"/>
        <v>3.5</v>
      </c>
      <c r="AR65" s="41">
        <f>AR62</f>
        <v>1</v>
      </c>
      <c r="AS65" s="41">
        <f>AS62</f>
        <v>0</v>
      </c>
      <c r="AT65" s="41">
        <f>AT62</f>
        <v>1</v>
      </c>
      <c r="AU65" s="41">
        <f t="shared" ref="AU65:AV65" si="100">AU62</f>
        <v>0</v>
      </c>
      <c r="AV65" s="41">
        <f t="shared" si="100"/>
        <v>2</v>
      </c>
      <c r="AX65" s="41">
        <f>AX62</f>
        <v>90</v>
      </c>
      <c r="AY65" s="41">
        <f>AY62</f>
        <v>30.5</v>
      </c>
      <c r="AZ65" s="41">
        <f>AZ62</f>
        <v>52.5</v>
      </c>
      <c r="BA65" s="41">
        <f t="shared" ref="BA65:BB65" si="101">BA62</f>
        <v>9</v>
      </c>
      <c r="BB65" s="41">
        <f t="shared" si="101"/>
        <v>182</v>
      </c>
    </row>
    <row r="66" spans="1:54" ht="15.75" thickBot="1" x14ac:dyDescent="0.3">
      <c r="A66" s="44" t="s">
        <v>63</v>
      </c>
      <c r="B66" s="43">
        <f>SUM(B64:B65)</f>
        <v>50.5</v>
      </c>
      <c r="C66" s="43">
        <f>SUM(C64:C65)</f>
        <v>3</v>
      </c>
      <c r="D66" s="43">
        <f>SUM(D64:D65)</f>
        <v>9</v>
      </c>
      <c r="E66" s="43">
        <f t="shared" ref="E66:F66" si="102">SUM(E64:E65)</f>
        <v>1</v>
      </c>
      <c r="F66" s="43">
        <f t="shared" si="102"/>
        <v>63.5</v>
      </c>
      <c r="H66" s="43">
        <f>SUM(H64:H65)</f>
        <v>123</v>
      </c>
      <c r="I66" s="43">
        <f>SUM(I64:I65)</f>
        <v>10</v>
      </c>
      <c r="J66" s="43">
        <f>SUM(J64:J65)</f>
        <v>29</v>
      </c>
      <c r="K66" s="43">
        <f t="shared" ref="K66:L66" si="103">SUM(K64:K65)</f>
        <v>3</v>
      </c>
      <c r="L66" s="43">
        <f t="shared" si="103"/>
        <v>165</v>
      </c>
      <c r="N66" s="43">
        <f>SUM(N64:N65)</f>
        <v>54</v>
      </c>
      <c r="O66" s="43">
        <f>SUM(O64:O65)</f>
        <v>5</v>
      </c>
      <c r="P66" s="43">
        <f>SUM(P64:P65)</f>
        <v>8.33</v>
      </c>
      <c r="Q66" s="43">
        <f t="shared" ref="Q66:R66" si="104">SUM(Q64:Q65)</f>
        <v>1</v>
      </c>
      <c r="R66" s="43">
        <f t="shared" si="104"/>
        <v>68.33</v>
      </c>
      <c r="T66" s="43">
        <f>SUM(T64:T65)</f>
        <v>66.5</v>
      </c>
      <c r="U66" s="43">
        <f>SUM(U64:U65)</f>
        <v>3.5</v>
      </c>
      <c r="V66" s="43">
        <f>SUM(V64:V65)</f>
        <v>13.34</v>
      </c>
      <c r="W66" s="43">
        <f t="shared" ref="W66:X66" si="105">SUM(W64:W65)</f>
        <v>1</v>
      </c>
      <c r="X66" s="43">
        <f t="shared" si="105"/>
        <v>84.34</v>
      </c>
      <c r="Z66" s="43">
        <f>SUM(Z64:Z65)</f>
        <v>117</v>
      </c>
      <c r="AA66" s="43">
        <f>SUM(AA64:AA65)</f>
        <v>5.5</v>
      </c>
      <c r="AB66" s="43">
        <f>SUM(AB64:AB65)</f>
        <v>22.83</v>
      </c>
      <c r="AC66" s="43">
        <f t="shared" ref="AC66:AD66" si="106">SUM(AC64:AC65)</f>
        <v>2</v>
      </c>
      <c r="AD66" s="43">
        <f t="shared" si="106"/>
        <v>147.32999999999998</v>
      </c>
      <c r="AF66" s="43">
        <f>SUM(AF64:AF65)</f>
        <v>50</v>
      </c>
      <c r="AG66" s="43">
        <f>SUM(AG64:AG65)</f>
        <v>3</v>
      </c>
      <c r="AH66" s="43">
        <f>SUM(AH64:AH65)</f>
        <v>9</v>
      </c>
      <c r="AI66" s="43">
        <f t="shared" ref="AI66:AJ66" si="107">SUM(AI64:AI65)</f>
        <v>1</v>
      </c>
      <c r="AJ66" s="43">
        <f t="shared" si="107"/>
        <v>63</v>
      </c>
      <c r="AL66" s="43">
        <f>SUM(AL64:AL65)</f>
        <v>3</v>
      </c>
      <c r="AM66" s="43">
        <f>SUM(AM64:AM65)</f>
        <v>0.5</v>
      </c>
      <c r="AN66" s="43">
        <f>SUM(AN64:AN65)</f>
        <v>0</v>
      </c>
      <c r="AO66" s="43">
        <f t="shared" ref="AO66:AP66" si="108">SUM(AO64:AO65)</f>
        <v>0</v>
      </c>
      <c r="AP66" s="43">
        <f t="shared" si="108"/>
        <v>3.5</v>
      </c>
      <c r="AR66" s="43">
        <f>SUM(AR64:AR65)</f>
        <v>1</v>
      </c>
      <c r="AS66" s="43">
        <f>SUM(AS64:AS65)</f>
        <v>0</v>
      </c>
      <c r="AT66" s="43">
        <f>SUM(AT64:AT65)</f>
        <v>2</v>
      </c>
      <c r="AU66" s="43">
        <f t="shared" ref="AU66:AV66" si="109">SUM(AU64:AU65)</f>
        <v>0</v>
      </c>
      <c r="AV66" s="43">
        <f t="shared" si="109"/>
        <v>3</v>
      </c>
      <c r="AX66" s="43">
        <f>SUM(AX64:AX65)</f>
        <v>465</v>
      </c>
      <c r="AY66" s="43">
        <f>SUM(AY64:AY65)</f>
        <v>30.5</v>
      </c>
      <c r="AZ66" s="43">
        <f>SUM(AZ64:AZ65)</f>
        <v>93.5</v>
      </c>
      <c r="BA66" s="43">
        <f t="shared" ref="BA66:BB66" si="110">SUM(BA64:BA65)</f>
        <v>9</v>
      </c>
      <c r="BB66" s="43">
        <f t="shared" si="110"/>
        <v>598</v>
      </c>
    </row>
    <row r="67" spans="1:54" ht="15.75" thickBot="1" x14ac:dyDescent="0.3">
      <c r="A67" s="34"/>
      <c r="B67" s="45"/>
      <c r="C67" s="45"/>
      <c r="D67" s="45"/>
      <c r="E67" s="45"/>
      <c r="F67" s="45"/>
      <c r="H67" s="45"/>
      <c r="I67" s="45"/>
      <c r="J67" s="45"/>
      <c r="K67" s="45"/>
      <c r="L67" s="45"/>
      <c r="N67" s="45"/>
      <c r="O67" s="45"/>
      <c r="P67" s="45"/>
      <c r="Q67" s="45"/>
      <c r="R67" s="45"/>
      <c r="T67" s="45"/>
      <c r="U67" s="45"/>
      <c r="V67" s="45"/>
      <c r="W67" s="45"/>
      <c r="X67" s="45"/>
      <c r="Z67" s="45"/>
      <c r="AA67" s="45"/>
      <c r="AB67" s="45"/>
      <c r="AC67" s="45"/>
      <c r="AD67" s="45"/>
      <c r="AF67" s="45"/>
      <c r="AG67" s="45"/>
      <c r="AH67" s="45"/>
      <c r="AI67" s="45"/>
      <c r="AJ67" s="45"/>
      <c r="AL67" s="45"/>
      <c r="AM67" s="45"/>
      <c r="AN67" s="45"/>
      <c r="AO67" s="45"/>
      <c r="AP67" s="45"/>
      <c r="AR67" s="45"/>
      <c r="AS67" s="45"/>
      <c r="AT67" s="45"/>
      <c r="AU67" s="45"/>
      <c r="AV67" s="45"/>
      <c r="AX67" s="45"/>
      <c r="AY67" s="45"/>
      <c r="AZ67" s="45"/>
      <c r="BA67" s="45"/>
      <c r="BB67" s="45"/>
    </row>
    <row r="68" spans="1:54" x14ac:dyDescent="0.25">
      <c r="A68" s="47" t="s">
        <v>64</v>
      </c>
      <c r="B68" s="46"/>
      <c r="C68" s="46"/>
      <c r="D68" s="46"/>
      <c r="E68" s="46"/>
      <c r="F68" s="46">
        <f>F139/(SUM(F207:F217))</f>
        <v>0.63670909562037281</v>
      </c>
      <c r="H68" s="46"/>
      <c r="I68" s="46"/>
      <c r="J68" s="46"/>
      <c r="K68" s="46"/>
      <c r="L68" s="46">
        <f>L139/(SUM(L207:L217))</f>
        <v>0.62137840477223139</v>
      </c>
      <c r="N68" s="46"/>
      <c r="O68" s="46"/>
      <c r="P68" s="46"/>
      <c r="Q68" s="46"/>
      <c r="R68" s="46">
        <f>R139/(SUM(R207:R217))</f>
        <v>0.65404260377354106</v>
      </c>
      <c r="T68" s="46"/>
      <c r="U68" s="46"/>
      <c r="V68" s="46"/>
      <c r="W68" s="46"/>
      <c r="X68" s="46">
        <f>X139/(SUM(X207:X217))</f>
        <v>0.66839523684028734</v>
      </c>
      <c r="Z68" s="46"/>
      <c r="AA68" s="46"/>
      <c r="AB68" s="46"/>
      <c r="AC68" s="46"/>
      <c r="AD68" s="46">
        <f>AD139/(SUM(AD207:AD217))</f>
        <v>0.58226074561441332</v>
      </c>
      <c r="AF68" s="46"/>
      <c r="AG68" s="46"/>
      <c r="AH68" s="46"/>
      <c r="AI68" s="46"/>
      <c r="AJ68" s="46">
        <f>AJ139/(SUM(AJ207:AJ217))</f>
        <v>0.56412376957180077</v>
      </c>
      <c r="AL68" s="46"/>
      <c r="AM68" s="46"/>
      <c r="AN68" s="46"/>
      <c r="AO68" s="46"/>
      <c r="AP68" s="46">
        <f>AP139/(SUM(AP207:AP217))</f>
        <v>0.9861795374599851</v>
      </c>
      <c r="AR68" s="46"/>
      <c r="AS68" s="46"/>
      <c r="AT68" s="46"/>
      <c r="AU68" s="46"/>
      <c r="AV68" s="46">
        <f>AV139/(SUM(AV207:AV217))</f>
        <v>0.28245228974742248</v>
      </c>
      <c r="AX68" s="46"/>
      <c r="AY68" s="46"/>
      <c r="AZ68" s="46"/>
      <c r="BA68" s="46"/>
      <c r="BB68" s="46">
        <f>BB139/(SUM(BB207:BB217))</f>
        <v>0.60742617018550993</v>
      </c>
    </row>
    <row r="69" spans="1:54" x14ac:dyDescent="0.25">
      <c r="A69" s="49" t="s">
        <v>65</v>
      </c>
      <c r="B69" s="48"/>
      <c r="C69" s="48"/>
      <c r="D69" s="48"/>
      <c r="E69" s="48"/>
      <c r="F69" s="48">
        <f t="shared" ref="F69" si="111">(F108+F109+F110+F113)/F129</f>
        <v>0.752264717773657</v>
      </c>
      <c r="H69" s="48"/>
      <c r="I69" s="48"/>
      <c r="J69" s="48"/>
      <c r="K69" s="48"/>
      <c r="L69" s="48">
        <f t="shared" ref="L69" si="112">(L108+L109+L110+L113)/L129</f>
        <v>0.76553247809361502</v>
      </c>
      <c r="N69" s="48"/>
      <c r="O69" s="48"/>
      <c r="P69" s="48"/>
      <c r="Q69" s="48"/>
      <c r="R69" s="48">
        <f t="shared" ref="R69" si="113">(R108+R109+R110+R113)/R129</f>
        <v>0.76102788762495821</v>
      </c>
      <c r="T69" s="48"/>
      <c r="U69" s="48"/>
      <c r="V69" s="48"/>
      <c r="W69" s="48"/>
      <c r="X69" s="48">
        <f t="shared" ref="X69" si="114">(X108+X109+X110+X113)/X129</f>
        <v>0.76901562374336641</v>
      </c>
      <c r="Z69" s="48"/>
      <c r="AA69" s="48"/>
      <c r="AB69" s="48"/>
      <c r="AC69" s="48"/>
      <c r="AD69" s="48">
        <f t="shared" ref="AD69" si="115">(AD108+AD109+AD110+AD113)/AD129</f>
        <v>0.80290433717353615</v>
      </c>
      <c r="AF69" s="48"/>
      <c r="AG69" s="48"/>
      <c r="AH69" s="48"/>
      <c r="AI69" s="48"/>
      <c r="AJ69" s="48">
        <f t="shared" ref="AJ69" si="116">(AJ108+AJ109+AJ110+AJ113)/AJ129</f>
        <v>0.77168190365668354</v>
      </c>
      <c r="AL69" s="48"/>
      <c r="AM69" s="48"/>
      <c r="AN69" s="48"/>
      <c r="AO69" s="48"/>
      <c r="AP69" s="48">
        <f t="shared" ref="AP69" si="117">(AP108+AP109+AP110+AP113)/AP129</f>
        <v>0</v>
      </c>
      <c r="AR69" s="48"/>
      <c r="AS69" s="48"/>
      <c r="AT69" s="48"/>
      <c r="AU69" s="48"/>
      <c r="AV69" s="48">
        <f t="shared" ref="AV69" si="118">(AV108+AV109+AV110+AV113)/AV129</f>
        <v>0.71560975609756095</v>
      </c>
      <c r="AX69" s="48"/>
      <c r="AY69" s="48"/>
      <c r="AZ69" s="48"/>
      <c r="BA69" s="48"/>
      <c r="BB69" s="48">
        <f t="shared" ref="BB69" si="119">(BB108+BB109+BB110+BB113)/BB129</f>
        <v>0.76834899502342069</v>
      </c>
    </row>
    <row r="70" spans="1:54" x14ac:dyDescent="0.25">
      <c r="A70" s="51" t="s">
        <v>66</v>
      </c>
      <c r="B70" s="48"/>
      <c r="C70" s="48"/>
      <c r="D70" s="48"/>
      <c r="E70" s="48"/>
      <c r="F70" s="48">
        <f t="shared" ref="F70" si="120">(F103+F104+F106+F107+F111+F112+F114+F115+F118+F119+F120+F121+F122+F105+F123+F124+F125+F126+F127)/F129</f>
        <v>0.24773528222634308</v>
      </c>
      <c r="H70" s="48"/>
      <c r="I70" s="48"/>
      <c r="J70" s="48"/>
      <c r="K70" s="48"/>
      <c r="L70" s="48">
        <f t="shared" ref="L70" si="121">(L103+L104+L106+L107+L111+L112+L114+L115+L118+L119+L120+L121+L122+L105+L123+L124+L125+L126+L127)/L129</f>
        <v>0.2344675219063849</v>
      </c>
      <c r="N70" s="48"/>
      <c r="O70" s="48"/>
      <c r="P70" s="48"/>
      <c r="Q70" s="48"/>
      <c r="R70" s="48">
        <f t="shared" ref="R70" si="122">(R103+R104+R106+R107+R111+R112+R114+R115+R118+R119+R120+R121+R122+R105+R123+R124+R125+R126+R127)/R129</f>
        <v>0.23897211237504171</v>
      </c>
      <c r="T70" s="48"/>
      <c r="U70" s="48"/>
      <c r="V70" s="48"/>
      <c r="W70" s="48"/>
      <c r="X70" s="48">
        <f t="shared" ref="X70" si="123">(X103+X104+X106+X107+X111+X112+X114+X115+X118+X119+X120+X121+X122+X105+X123+X124+X125+X126+X127)/X129</f>
        <v>0.23098437625663362</v>
      </c>
      <c r="Z70" s="48"/>
      <c r="AA70" s="48"/>
      <c r="AB70" s="48"/>
      <c r="AC70" s="48"/>
      <c r="AD70" s="48">
        <f t="shared" ref="AD70" si="124">(AD103+AD104+AD106+AD107+AD111+AD112+AD114+AD115+AD118+AD119+AD120+AD121+AD122+AD105+AD123+AD124+AD125+AD126+AD127)/AD129</f>
        <v>0.19709566282646382</v>
      </c>
      <c r="AF70" s="48"/>
      <c r="AG70" s="48"/>
      <c r="AH70" s="48"/>
      <c r="AI70" s="48"/>
      <c r="AJ70" s="48">
        <f t="shared" ref="AJ70" si="125">(AJ103+AJ104+AJ106+AJ107+AJ111+AJ112+AJ114+AJ115+AJ118+AJ119+AJ120+AJ121+AJ122+AJ105+AJ123+AJ124+AJ125+AJ126+AJ127)/AJ129</f>
        <v>0.22831809634331646</v>
      </c>
      <c r="AL70" s="48"/>
      <c r="AM70" s="48"/>
      <c r="AN70" s="48"/>
      <c r="AO70" s="48"/>
      <c r="AP70" s="48">
        <f t="shared" ref="AP70" si="126">(AP103+AP104+AP106+AP107+AP111+AP112+AP114+AP115+AP118+AP119+AP120+AP121+AP122+AP105+AP123+AP124+AP125+AP126+AP127)/AP129</f>
        <v>1</v>
      </c>
      <c r="AR70" s="48"/>
      <c r="AS70" s="48"/>
      <c r="AT70" s="48"/>
      <c r="AU70" s="48"/>
      <c r="AV70" s="48">
        <f t="shared" ref="AV70" si="127">(AV103+AV104+AV106+AV107+AV111+AV112+AV114+AV115+AV118+AV119+AV120+AV121+AV122+AV105+AV123+AV124+AV125+AV126+AV127)/AV129</f>
        <v>0.284390243902439</v>
      </c>
      <c r="AX70" s="48"/>
      <c r="AY70" s="48"/>
      <c r="AZ70" s="48"/>
      <c r="BA70" s="48"/>
      <c r="BB70" s="48">
        <f t="shared" ref="BB70" si="128">(BB103+BB104+BB106+BB107+BB111+BB112+BB114+BB115+BB118+BB119+BB120+BB121+BB122+BB105+BB123+BB124+BB125+BB126+BB127)/BB129</f>
        <v>0.23165100497657945</v>
      </c>
    </row>
    <row r="71" spans="1:54" ht="15.75" thickBot="1" x14ac:dyDescent="0.3">
      <c r="A71" s="53" t="s">
        <v>67</v>
      </c>
      <c r="B71" s="52"/>
      <c r="C71" s="52"/>
      <c r="D71" s="52"/>
      <c r="E71" s="52"/>
      <c r="F71" s="52">
        <f>SUM(F209:F217)/F86</f>
        <v>0.12185992028508372</v>
      </c>
      <c r="H71" s="52"/>
      <c r="I71" s="52"/>
      <c r="J71" s="52"/>
      <c r="K71" s="52"/>
      <c r="L71" s="52">
        <f>SUM(L209:L217)/L86</f>
        <v>0.11943316947415776</v>
      </c>
      <c r="N71" s="52"/>
      <c r="O71" s="52"/>
      <c r="P71" s="52"/>
      <c r="Q71" s="52"/>
      <c r="R71" s="52">
        <f>SUM(R209:R217)/R86</f>
        <v>0.1169701740813178</v>
      </c>
      <c r="T71" s="52"/>
      <c r="U71" s="52"/>
      <c r="V71" s="52"/>
      <c r="W71" s="52"/>
      <c r="X71" s="52">
        <f>SUM(X209:X217)/X86</f>
        <v>0.11834169969981165</v>
      </c>
      <c r="Z71" s="52"/>
      <c r="AA71" s="52"/>
      <c r="AB71" s="52"/>
      <c r="AC71" s="52"/>
      <c r="AD71" s="52">
        <f>SUM(AD209:AD217)/AD86</f>
        <v>0.1913542636457711</v>
      </c>
      <c r="AF71" s="52"/>
      <c r="AG71" s="52"/>
      <c r="AH71" s="52"/>
      <c r="AI71" s="52"/>
      <c r="AJ71" s="52">
        <f>SUM(AJ209:AJ217)/AJ86</f>
        <v>0.1761470262852986</v>
      </c>
      <c r="AL71" s="52"/>
      <c r="AM71" s="52"/>
      <c r="AN71" s="52"/>
      <c r="AO71" s="52"/>
      <c r="AP71" s="52">
        <f>SUM(AP209:AP217)/AP86</f>
        <v>0</v>
      </c>
      <c r="AR71" s="52"/>
      <c r="AS71" s="52"/>
      <c r="AT71" s="52"/>
      <c r="AU71" s="52"/>
      <c r="AV71" s="52">
        <f>SUM(AV209:AV217)/AV86</f>
        <v>0</v>
      </c>
      <c r="AX71" s="52"/>
      <c r="AY71" s="52"/>
      <c r="AZ71" s="52"/>
      <c r="BA71" s="52"/>
      <c r="BB71" s="52">
        <f>SUM(BB209:BB217)/BB86</f>
        <v>0.1398173926693102</v>
      </c>
    </row>
    <row r="72" spans="1:54" x14ac:dyDescent="0.25">
      <c r="A72" s="54"/>
      <c r="B72" s="55"/>
      <c r="C72" s="55"/>
      <c r="D72" s="55"/>
      <c r="E72" s="55"/>
      <c r="F72" s="55"/>
      <c r="H72" s="55"/>
      <c r="I72" s="55"/>
      <c r="J72" s="55"/>
      <c r="K72" s="55"/>
      <c r="L72" s="55"/>
      <c r="N72" s="55"/>
      <c r="O72" s="55"/>
      <c r="P72" s="55"/>
      <c r="Q72" s="55"/>
      <c r="R72" s="55"/>
      <c r="T72" s="55"/>
      <c r="U72" s="55"/>
      <c r="V72" s="55"/>
      <c r="W72" s="55"/>
      <c r="X72" s="55"/>
      <c r="Z72" s="55"/>
      <c r="AA72" s="55"/>
      <c r="AB72" s="55"/>
      <c r="AC72" s="55"/>
      <c r="AD72" s="55"/>
      <c r="AF72" s="55"/>
      <c r="AG72" s="55"/>
      <c r="AH72" s="55"/>
      <c r="AI72" s="55"/>
      <c r="AJ72" s="55"/>
      <c r="AL72" s="55"/>
      <c r="AM72" s="55"/>
      <c r="AN72" s="55"/>
      <c r="AO72" s="55"/>
      <c r="AP72" s="55"/>
      <c r="AR72" s="55"/>
      <c r="AS72" s="55"/>
      <c r="AT72" s="55"/>
      <c r="AU72" s="55"/>
      <c r="AV72" s="55"/>
      <c r="AX72" s="55"/>
      <c r="AY72" s="55"/>
      <c r="AZ72" s="55"/>
      <c r="BA72" s="55"/>
      <c r="BB72" s="55"/>
    </row>
    <row r="73" spans="1:54" x14ac:dyDescent="0.25">
      <c r="A73" s="57" t="s">
        <v>246</v>
      </c>
      <c r="B73" s="58" t="str">
        <f>B1</f>
        <v>Operating</v>
      </c>
      <c r="C73" s="58" t="str">
        <f>C1</f>
        <v>Weights</v>
      </c>
      <c r="D73" s="58" t="s">
        <v>3</v>
      </c>
      <c r="E73" s="58" t="str">
        <f t="shared" ref="E73" si="129">E1</f>
        <v>NSLP</v>
      </c>
      <c r="F73" s="58" t="str">
        <f>F1</f>
        <v>Horizon</v>
      </c>
      <c r="H73" s="58" t="str">
        <f>H1</f>
        <v>Operating</v>
      </c>
      <c r="I73" s="58" t="str">
        <f>I1</f>
        <v>Weights</v>
      </c>
      <c r="J73" s="58" t="s">
        <v>3</v>
      </c>
      <c r="K73" s="58" t="str">
        <f t="shared" ref="K73" si="130">K1</f>
        <v>NSLP</v>
      </c>
      <c r="L73" s="58" t="str">
        <f>L1</f>
        <v>Cadence</v>
      </c>
      <c r="N73" s="58" t="str">
        <f>N1</f>
        <v>Operating</v>
      </c>
      <c r="O73" s="58" t="str">
        <f>O1</f>
        <v>Weights</v>
      </c>
      <c r="P73" s="58" t="s">
        <v>3</v>
      </c>
      <c r="Q73" s="58" t="str">
        <f t="shared" ref="Q73" si="131">Q1</f>
        <v>NSLP</v>
      </c>
      <c r="R73" s="58" t="str">
        <f>R1</f>
        <v>St. Rose</v>
      </c>
      <c r="T73" s="58" t="str">
        <f>T1</f>
        <v>Operating</v>
      </c>
      <c r="U73" s="58" t="str">
        <f>U1</f>
        <v>Weights</v>
      </c>
      <c r="V73" s="58" t="s">
        <v>3</v>
      </c>
      <c r="W73" s="58" t="str">
        <f t="shared" ref="W73" si="132">W1</f>
        <v>NSLP</v>
      </c>
      <c r="X73" s="58" t="str">
        <f>X1</f>
        <v>Inspirada</v>
      </c>
      <c r="Z73" s="58" t="str">
        <f>Z1</f>
        <v>Operating</v>
      </c>
      <c r="AA73" s="58" t="str">
        <f>AA1</f>
        <v>Weights</v>
      </c>
      <c r="AB73" s="58" t="s">
        <v>3</v>
      </c>
      <c r="AC73" s="58" t="str">
        <f t="shared" ref="AC73" si="133">AC1</f>
        <v>NSLP</v>
      </c>
      <c r="AD73" s="58" t="str">
        <f>AD1</f>
        <v>Sloan Canyon</v>
      </c>
      <c r="AF73" s="58" t="str">
        <f>AF1</f>
        <v>Operating</v>
      </c>
      <c r="AG73" s="58" t="str">
        <f>AG1</f>
        <v>Weights</v>
      </c>
      <c r="AH73" s="58" t="s">
        <v>3</v>
      </c>
      <c r="AI73" s="58" t="str">
        <f t="shared" ref="AI73" si="134">AI1</f>
        <v>NSLP</v>
      </c>
      <c r="AJ73" s="58" t="str">
        <f>AJ1</f>
        <v>Springs</v>
      </c>
      <c r="AL73" s="58" t="str">
        <f>AL1</f>
        <v>Operating</v>
      </c>
      <c r="AM73" s="58" t="str">
        <f>AM1</f>
        <v>Weights</v>
      </c>
      <c r="AN73" s="58" t="s">
        <v>3</v>
      </c>
      <c r="AO73" s="58" t="str">
        <f t="shared" ref="AO73" si="135">AO1</f>
        <v>NSLP</v>
      </c>
      <c r="AP73" s="58" t="str">
        <f>AP1</f>
        <v>System Wide</v>
      </c>
      <c r="AR73" s="58" t="str">
        <f>AR1</f>
        <v>Operating</v>
      </c>
      <c r="AS73" s="58" t="str">
        <f>AS1</f>
        <v>Weights</v>
      </c>
      <c r="AT73" s="58" t="s">
        <v>3</v>
      </c>
      <c r="AU73" s="58" t="str">
        <f t="shared" ref="AU73" si="136">AU1</f>
        <v>NSLP</v>
      </c>
      <c r="AV73" s="58" t="str">
        <f>AV1</f>
        <v>Virtual</v>
      </c>
      <c r="AX73" s="58" t="str">
        <f>AX1</f>
        <v>Operating</v>
      </c>
      <c r="AY73" s="58" t="str">
        <f>AY1</f>
        <v>Weights</v>
      </c>
      <c r="AZ73" s="58" t="s">
        <v>3</v>
      </c>
      <c r="BA73" s="58" t="str">
        <f t="shared" ref="BA73" si="137">BA1</f>
        <v>NSLP</v>
      </c>
      <c r="BB73" s="58" t="str">
        <f>BB1</f>
        <v>Pinecrest System</v>
      </c>
    </row>
    <row r="74" spans="1:54" x14ac:dyDescent="0.25">
      <c r="A74" s="60" t="s">
        <v>69</v>
      </c>
      <c r="B74" s="7">
        <f>(B2*B5)</f>
        <v>7095947.5770028541</v>
      </c>
      <c r="C74" s="7">
        <v>0</v>
      </c>
      <c r="D74" s="7">
        <v>0</v>
      </c>
      <c r="E74" s="7">
        <v>0</v>
      </c>
      <c r="F74" s="7">
        <f t="shared" ref="F74" si="138">SUM(B74:E74)</f>
        <v>7095947.5770028541</v>
      </c>
      <c r="H74" s="7">
        <f>(H2*H5)</f>
        <v>18528307.562174119</v>
      </c>
      <c r="I74" s="7">
        <v>0</v>
      </c>
      <c r="J74" s="7">
        <v>0</v>
      </c>
      <c r="K74" s="7">
        <v>0</v>
      </c>
      <c r="L74" s="7">
        <f t="shared" ref="L74" si="139">SUM(H74:K74)</f>
        <v>18528307.562174119</v>
      </c>
      <c r="N74" s="7">
        <f>(N2*N5)</f>
        <v>7702438.8229005337</v>
      </c>
      <c r="O74" s="7">
        <v>0</v>
      </c>
      <c r="P74" s="7">
        <v>0</v>
      </c>
      <c r="Q74" s="7">
        <v>0</v>
      </c>
      <c r="R74" s="7">
        <f t="shared" ref="R74" si="140">SUM(N74:Q74)</f>
        <v>7702438.8229005337</v>
      </c>
      <c r="T74" s="7">
        <f>(T2*T5)</f>
        <v>9211085.7970710117</v>
      </c>
      <c r="U74" s="7">
        <v>0</v>
      </c>
      <c r="V74" s="7">
        <v>0</v>
      </c>
      <c r="W74" s="7">
        <v>0</v>
      </c>
      <c r="X74" s="7">
        <f t="shared" ref="X74" si="141">SUM(T74:W74)</f>
        <v>9211085.7970710117</v>
      </c>
      <c r="Z74" s="7">
        <f>(Z2*Z5)</f>
        <v>18460077.29701063</v>
      </c>
      <c r="AA74" s="7">
        <v>0</v>
      </c>
      <c r="AB74" s="7">
        <v>0</v>
      </c>
      <c r="AC74" s="7">
        <v>0</v>
      </c>
      <c r="AD74" s="7">
        <f t="shared" ref="AD74" si="142">SUM(Z74:AC74)</f>
        <v>18460077.29701063</v>
      </c>
      <c r="AF74" s="7">
        <f>(AF2*AF5)</f>
        <v>7277894.9507721579</v>
      </c>
      <c r="AG74" s="7">
        <v>0</v>
      </c>
      <c r="AH74" s="7">
        <v>0</v>
      </c>
      <c r="AI74" s="7">
        <v>0</v>
      </c>
      <c r="AJ74" s="7">
        <f t="shared" ref="AJ74:AJ85" si="143">SUM(AF74:AI74)</f>
        <v>7277894.9507721579</v>
      </c>
      <c r="AL74" s="7">
        <f>(AL2*AL5)*0.97</f>
        <v>0</v>
      </c>
      <c r="AM74" s="7">
        <v>0</v>
      </c>
      <c r="AN74" s="7">
        <v>0</v>
      </c>
      <c r="AO74" s="7">
        <v>0</v>
      </c>
      <c r="AP74" s="7">
        <f t="shared" ref="AP74" si="144">SUM(AL74:AO74)</f>
        <v>0</v>
      </c>
      <c r="AR74" s="7">
        <f>(AR2*AR5)</f>
        <v>2369280</v>
      </c>
      <c r="AS74" s="7">
        <v>0</v>
      </c>
      <c r="AT74" s="7">
        <v>0</v>
      </c>
      <c r="AU74" s="7">
        <v>0</v>
      </c>
      <c r="AV74" s="7">
        <f t="shared" ref="AV74" si="145">SUM(AR74:AU74)</f>
        <v>2369280</v>
      </c>
      <c r="AX74" s="7">
        <f>B74+H74+N74+T74+Z74+AF74+AL74+AR74</f>
        <v>70645032.006931305</v>
      </c>
      <c r="AY74" s="7">
        <f t="shared" ref="AY74:BA85" si="146">C74+I74+O74+U74+AA74+AG74+AM74+AS74</f>
        <v>0</v>
      </c>
      <c r="AZ74" s="7">
        <f t="shared" si="146"/>
        <v>0</v>
      </c>
      <c r="BA74" s="7">
        <f t="shared" si="146"/>
        <v>0</v>
      </c>
      <c r="BB74" s="7">
        <f t="shared" ref="BB74:BB98" si="147">SUM(AX74:BA74)</f>
        <v>70645032.006931305</v>
      </c>
    </row>
    <row r="75" spans="1:54" x14ac:dyDescent="0.25">
      <c r="A75" s="62" t="s">
        <v>70</v>
      </c>
      <c r="B75" s="7">
        <f>(B3*B5)*0.95</f>
        <v>0</v>
      </c>
      <c r="C75" s="7">
        <v>0</v>
      </c>
      <c r="D75" s="7">
        <v>0</v>
      </c>
      <c r="E75" s="7">
        <v>0</v>
      </c>
      <c r="F75" s="7">
        <f t="shared" ref="F75:F85" si="148">SUM(B75:E75)</f>
        <v>0</v>
      </c>
      <c r="H75" s="7">
        <f>(H3*H5)*0.95</f>
        <v>0</v>
      </c>
      <c r="I75" s="7">
        <v>0</v>
      </c>
      <c r="J75" s="7">
        <v>0</v>
      </c>
      <c r="K75" s="7">
        <v>0</v>
      </c>
      <c r="L75" s="7">
        <f t="shared" ref="L75:L85" si="149">SUM(H75:K75)</f>
        <v>0</v>
      </c>
      <c r="N75" s="7">
        <f>(N3*N5)*0.95</f>
        <v>0</v>
      </c>
      <c r="O75" s="7">
        <v>0</v>
      </c>
      <c r="P75" s="7">
        <v>0</v>
      </c>
      <c r="Q75" s="7">
        <v>0</v>
      </c>
      <c r="R75" s="7">
        <f t="shared" ref="R75:R85" si="150">SUM(N75:Q75)</f>
        <v>0</v>
      </c>
      <c r="T75" s="7">
        <f>(T3*T5)*0.95</f>
        <v>0</v>
      </c>
      <c r="U75" s="7">
        <v>0</v>
      </c>
      <c r="V75" s="7">
        <v>0</v>
      </c>
      <c r="W75" s="7">
        <v>0</v>
      </c>
      <c r="X75" s="7">
        <f t="shared" ref="X75:X85" si="151">SUM(T75:W75)</f>
        <v>0</v>
      </c>
      <c r="Z75" s="7">
        <f>(Z3*Z5)*0.95</f>
        <v>0</v>
      </c>
      <c r="AA75" s="7">
        <v>0</v>
      </c>
      <c r="AB75" s="7">
        <v>0</v>
      </c>
      <c r="AC75" s="7">
        <v>0</v>
      </c>
      <c r="AD75" s="7">
        <f t="shared" ref="AD75:AD85" si="152">SUM(Z75:AC75)</f>
        <v>0</v>
      </c>
      <c r="AF75" s="7">
        <f>(AF3*AF5)*0.95</f>
        <v>0</v>
      </c>
      <c r="AG75" s="7">
        <v>0</v>
      </c>
      <c r="AH75" s="7">
        <v>0</v>
      </c>
      <c r="AI75" s="7">
        <v>0</v>
      </c>
      <c r="AJ75" s="7">
        <f t="shared" si="143"/>
        <v>0</v>
      </c>
      <c r="AL75" s="7">
        <f>(AL3*AL5)*0.95</f>
        <v>0</v>
      </c>
      <c r="AM75" s="7">
        <v>0</v>
      </c>
      <c r="AN75" s="7">
        <v>0</v>
      </c>
      <c r="AO75" s="7">
        <v>0</v>
      </c>
      <c r="AP75" s="7">
        <f t="shared" ref="AP75:AP85" si="153">SUM(AL75:AO75)</f>
        <v>0</v>
      </c>
      <c r="AR75" s="7">
        <f>(AR3*AR5)*0.95</f>
        <v>0</v>
      </c>
      <c r="AS75" s="7">
        <v>0</v>
      </c>
      <c r="AT75" s="7">
        <v>0</v>
      </c>
      <c r="AU75" s="7">
        <v>15000</v>
      </c>
      <c r="AV75" s="7">
        <f t="shared" ref="AV75:AV98" si="154">SUM(AR75:AU75)</f>
        <v>15000</v>
      </c>
      <c r="AX75" s="7">
        <f t="shared" ref="AX75:AX85" si="155">B75+H75+N75+T75+Z75+AF75+AL75+AR75</f>
        <v>0</v>
      </c>
      <c r="AY75" s="7">
        <f t="shared" si="146"/>
        <v>0</v>
      </c>
      <c r="AZ75" s="7">
        <f t="shared" si="146"/>
        <v>0</v>
      </c>
      <c r="BA75" s="7">
        <f t="shared" si="146"/>
        <v>15000</v>
      </c>
      <c r="BB75" s="7">
        <f t="shared" si="147"/>
        <v>15000</v>
      </c>
    </row>
    <row r="76" spans="1:54" x14ac:dyDescent="0.25">
      <c r="A76" s="62" t="s">
        <v>71</v>
      </c>
      <c r="B76" s="7">
        <f>($C$19*B25)*3.15*180</f>
        <v>0</v>
      </c>
      <c r="C76" s="7">
        <f t="shared" ref="C76" si="156">($C$19*C25)*3.15*180</f>
        <v>0</v>
      </c>
      <c r="D76" s="7"/>
      <c r="E76" s="7">
        <f>((B19*E25)*3.5)*180</f>
        <v>224078.40000000002</v>
      </c>
      <c r="F76" s="7">
        <f t="shared" si="148"/>
        <v>224078.40000000002</v>
      </c>
      <c r="H76" s="7">
        <f>($C$19*H25)*3.15*180</f>
        <v>0</v>
      </c>
      <c r="I76" s="7">
        <f t="shared" ref="I76" si="157">($C$19*I25)*3.15*180</f>
        <v>0</v>
      </c>
      <c r="J76" s="7"/>
      <c r="K76" s="7">
        <f>((H19*K25)*3.5)*180</f>
        <v>615888</v>
      </c>
      <c r="L76" s="7">
        <f t="shared" si="149"/>
        <v>615888</v>
      </c>
      <c r="N76" s="7">
        <f>($C$19*N25)*3.15*180</f>
        <v>0</v>
      </c>
      <c r="O76" s="7">
        <f t="shared" ref="O76" si="158">($C$19*O25)*3.15*180</f>
        <v>0</v>
      </c>
      <c r="P76" s="7"/>
      <c r="Q76" s="7">
        <f>((N19*Q25)*3.5)*180</f>
        <v>192024</v>
      </c>
      <c r="R76" s="7">
        <f t="shared" si="150"/>
        <v>192024</v>
      </c>
      <c r="T76" s="7">
        <f>($C$19*T25)*3.15*180</f>
        <v>0</v>
      </c>
      <c r="U76" s="7">
        <f t="shared" ref="U76" si="159">($C$19*U25)*3.15*180</f>
        <v>0</v>
      </c>
      <c r="V76" s="7"/>
      <c r="W76" s="7">
        <f>((T19*W25)*3.5)*180</f>
        <v>114817.5</v>
      </c>
      <c r="X76" s="7">
        <f t="shared" si="151"/>
        <v>114817.5</v>
      </c>
      <c r="Z76" s="7">
        <f>($C$19*Z25)*3.15*180</f>
        <v>0</v>
      </c>
      <c r="AA76" s="7">
        <f t="shared" ref="AA76" si="160">($C$19*AA25)*3.15*180</f>
        <v>0</v>
      </c>
      <c r="AB76" s="7"/>
      <c r="AC76" s="7">
        <f>((Z19*AC25)*3.5)*180</f>
        <v>368172</v>
      </c>
      <c r="AD76" s="7">
        <f t="shared" si="152"/>
        <v>368172</v>
      </c>
      <c r="AF76" s="7">
        <f>($C$19*AF25)*3.15*180</f>
        <v>0</v>
      </c>
      <c r="AG76" s="7">
        <f t="shared" ref="AG76" si="161">($C$19*AG25)*3.15*180</f>
        <v>0</v>
      </c>
      <c r="AH76" s="7"/>
      <c r="AI76" s="357">
        <f>((AF19*AI25)*3.85)*180</f>
        <v>425779.20000000001</v>
      </c>
      <c r="AJ76" s="7">
        <f t="shared" si="143"/>
        <v>425779.20000000001</v>
      </c>
      <c r="AL76" s="7">
        <f>($C$19*AL25)*3.15*180</f>
        <v>0</v>
      </c>
      <c r="AM76" s="7">
        <f t="shared" ref="AM76" si="162">($C$19*AM25)*3.15*180</f>
        <v>0</v>
      </c>
      <c r="AN76" s="7"/>
      <c r="AO76" s="7">
        <f>((AL19*AO25)*3.5)*180</f>
        <v>0</v>
      </c>
      <c r="AP76" s="7">
        <f t="shared" si="153"/>
        <v>0</v>
      </c>
      <c r="AR76" s="7">
        <f>($C$19*AR25)*3.15*180</f>
        <v>0</v>
      </c>
      <c r="AS76" s="7">
        <f t="shared" ref="AS76" si="163">($C$19*AS25)*3.15*180</f>
        <v>0</v>
      </c>
      <c r="AT76" s="7"/>
      <c r="AU76" s="7">
        <f>(AR19*AU25)*3.25*180</f>
        <v>74880</v>
      </c>
      <c r="AV76" s="7">
        <f t="shared" si="154"/>
        <v>74880</v>
      </c>
      <c r="AX76" s="7">
        <f t="shared" si="155"/>
        <v>0</v>
      </c>
      <c r="AY76" s="7">
        <f t="shared" si="146"/>
        <v>0</v>
      </c>
      <c r="AZ76" s="7">
        <f t="shared" si="146"/>
        <v>0</v>
      </c>
      <c r="BA76" s="7">
        <f t="shared" si="146"/>
        <v>2015639.0999999999</v>
      </c>
      <c r="BB76" s="7">
        <f t="shared" si="147"/>
        <v>2015639.0999999999</v>
      </c>
    </row>
    <row r="77" spans="1:54" x14ac:dyDescent="0.25">
      <c r="A77" s="62" t="s">
        <v>72</v>
      </c>
      <c r="B77" s="7">
        <f>950*B22</f>
        <v>0</v>
      </c>
      <c r="C77" s="7">
        <f t="shared" ref="C77" si="164">950*C22</f>
        <v>0</v>
      </c>
      <c r="D77" s="7">
        <f>950*D22</f>
        <v>95942.602892102339</v>
      </c>
      <c r="E77" s="7">
        <v>0</v>
      </c>
      <c r="F77" s="7">
        <f t="shared" si="148"/>
        <v>95942.602892102339</v>
      </c>
      <c r="H77" s="7">
        <f>950*H22</f>
        <v>0</v>
      </c>
      <c r="I77" s="7">
        <f t="shared" ref="I77" si="165">950*I22</f>
        <v>0</v>
      </c>
      <c r="J77" s="7">
        <f>950*J22</f>
        <v>294881.01604278077</v>
      </c>
      <c r="K77" s="7">
        <v>0</v>
      </c>
      <c r="L77" s="7">
        <f t="shared" si="149"/>
        <v>294881.01604278077</v>
      </c>
      <c r="N77" s="7">
        <f>950*N22</f>
        <v>0</v>
      </c>
      <c r="O77" s="7">
        <f t="shared" ref="O77" si="166">950*O22</f>
        <v>0</v>
      </c>
      <c r="P77" s="7">
        <f>950*P22</f>
        <v>70300</v>
      </c>
      <c r="Q77" s="7">
        <v>0</v>
      </c>
      <c r="R77" s="7">
        <f t="shared" si="150"/>
        <v>70300</v>
      </c>
      <c r="T77" s="7">
        <f>950*T22</f>
        <v>0</v>
      </c>
      <c r="U77" s="7">
        <f t="shared" ref="U77" si="167">950*U22</f>
        <v>0</v>
      </c>
      <c r="V77" s="7">
        <f>950*V22</f>
        <v>103969.14095079232</v>
      </c>
      <c r="W77" s="7">
        <v>0</v>
      </c>
      <c r="X77" s="7">
        <f t="shared" si="151"/>
        <v>103969.14095079232</v>
      </c>
      <c r="Z77" s="7">
        <f>950*Z22</f>
        <v>0</v>
      </c>
      <c r="AA77" s="7">
        <f t="shared" ref="AA77" si="168">950*AA22</f>
        <v>0</v>
      </c>
      <c r="AB77" s="7">
        <f>950*AB22</f>
        <v>189265.90909090909</v>
      </c>
      <c r="AC77" s="7">
        <v>0</v>
      </c>
      <c r="AD77" s="7">
        <f t="shared" si="152"/>
        <v>189265.90909090909</v>
      </c>
      <c r="AF77" s="7">
        <f>950*AF22</f>
        <v>0</v>
      </c>
      <c r="AG77" s="7">
        <f t="shared" ref="AG77" si="169">950*AG22</f>
        <v>0</v>
      </c>
      <c r="AH77" s="7">
        <f>950*AH22</f>
        <v>92910</v>
      </c>
      <c r="AI77" s="7">
        <v>0</v>
      </c>
      <c r="AJ77" s="7">
        <f t="shared" si="143"/>
        <v>92910</v>
      </c>
      <c r="AL77" s="7">
        <f>950*AL22</f>
        <v>0</v>
      </c>
      <c r="AM77" s="7">
        <f t="shared" ref="AM77" si="170">950*AM22</f>
        <v>0</v>
      </c>
      <c r="AN77" s="7">
        <f>950*AN22</f>
        <v>0</v>
      </c>
      <c r="AO77" s="7">
        <v>0</v>
      </c>
      <c r="AP77" s="7">
        <f t="shared" si="153"/>
        <v>0</v>
      </c>
      <c r="AR77" s="7">
        <f>950*AR22</f>
        <v>0</v>
      </c>
      <c r="AS77" s="7">
        <f t="shared" ref="AS77" si="171">950*AS22</f>
        <v>0</v>
      </c>
      <c r="AT77" s="7">
        <f>950*AT22</f>
        <v>23750</v>
      </c>
      <c r="AU77" s="7">
        <v>0</v>
      </c>
      <c r="AV77" s="7">
        <f t="shared" si="154"/>
        <v>23750</v>
      </c>
      <c r="AX77" s="7">
        <f t="shared" si="155"/>
        <v>0</v>
      </c>
      <c r="AY77" s="7">
        <f t="shared" si="146"/>
        <v>0</v>
      </c>
      <c r="AZ77" s="7">
        <f t="shared" si="146"/>
        <v>871018.66897658445</v>
      </c>
      <c r="BA77" s="7">
        <f t="shared" si="146"/>
        <v>0</v>
      </c>
      <c r="BB77" s="7">
        <f t="shared" si="147"/>
        <v>871018.66897658445</v>
      </c>
    </row>
    <row r="78" spans="1:54" x14ac:dyDescent="0.25">
      <c r="A78" s="141" t="s">
        <v>73</v>
      </c>
      <c r="B78" s="37">
        <f>3200*B22</f>
        <v>0</v>
      </c>
      <c r="C78" s="37">
        <f t="shared" ref="C78" si="172">3200*C22</f>
        <v>0</v>
      </c>
      <c r="D78" s="37">
        <f>2550*D22</f>
        <v>257530.1446051168</v>
      </c>
      <c r="E78" s="7">
        <v>0</v>
      </c>
      <c r="F78" s="7">
        <f t="shared" si="148"/>
        <v>257530.1446051168</v>
      </c>
      <c r="H78" s="37">
        <f>3200*H22</f>
        <v>0</v>
      </c>
      <c r="I78" s="37">
        <f t="shared" ref="I78" si="173">3200*I22</f>
        <v>0</v>
      </c>
      <c r="J78" s="225">
        <f>2550*J22</f>
        <v>791522.72727272741</v>
      </c>
      <c r="K78" s="7">
        <v>0</v>
      </c>
      <c r="L78" s="7">
        <f t="shared" si="149"/>
        <v>791522.72727272741</v>
      </c>
      <c r="N78" s="37">
        <f>3200*N22</f>
        <v>0</v>
      </c>
      <c r="O78" s="37">
        <f t="shared" ref="O78" si="174">3200*O22</f>
        <v>0</v>
      </c>
      <c r="P78" s="225">
        <f>2550*P22</f>
        <v>188700</v>
      </c>
      <c r="Q78" s="7">
        <v>0</v>
      </c>
      <c r="R78" s="7">
        <f t="shared" si="150"/>
        <v>188700</v>
      </c>
      <c r="T78" s="37">
        <f>3200*T22</f>
        <v>0</v>
      </c>
      <c r="U78" s="37">
        <f t="shared" ref="U78" si="175">3200*U22</f>
        <v>0</v>
      </c>
      <c r="V78" s="225">
        <f>2550*V22</f>
        <v>279075.06255212676</v>
      </c>
      <c r="W78" s="7">
        <v>0</v>
      </c>
      <c r="X78" s="7">
        <f t="shared" si="151"/>
        <v>279075.06255212676</v>
      </c>
      <c r="Z78" s="37">
        <f>3200*Z22</f>
        <v>0</v>
      </c>
      <c r="AA78" s="37">
        <f t="shared" ref="AA78" si="176">3200*AA22</f>
        <v>0</v>
      </c>
      <c r="AB78" s="225">
        <f>2550*AB22</f>
        <v>508029.54545454541</v>
      </c>
      <c r="AC78" s="7">
        <v>0</v>
      </c>
      <c r="AD78" s="7">
        <f t="shared" si="152"/>
        <v>508029.54545454541</v>
      </c>
      <c r="AF78" s="37">
        <f>3200*AF22</f>
        <v>0</v>
      </c>
      <c r="AG78" s="37">
        <f t="shared" ref="AG78" si="177">3200*AG22</f>
        <v>0</v>
      </c>
      <c r="AH78" s="225">
        <f>2550*AH22</f>
        <v>249390</v>
      </c>
      <c r="AI78" s="7">
        <v>0</v>
      </c>
      <c r="AJ78" s="7">
        <f t="shared" si="143"/>
        <v>249390</v>
      </c>
      <c r="AL78" s="37">
        <f>3200*AL22</f>
        <v>0</v>
      </c>
      <c r="AM78" s="37">
        <f t="shared" ref="AM78" si="178">3200*AM22</f>
        <v>0</v>
      </c>
      <c r="AN78" s="37">
        <f>2600*AN22</f>
        <v>0</v>
      </c>
      <c r="AO78" s="7">
        <v>0</v>
      </c>
      <c r="AP78" s="7">
        <f t="shared" si="153"/>
        <v>0</v>
      </c>
      <c r="AR78" s="37">
        <f>3200*AR22</f>
        <v>0</v>
      </c>
      <c r="AS78" s="37">
        <f t="shared" ref="AS78" si="179">3200*AS22</f>
        <v>0</v>
      </c>
      <c r="AT78" s="37">
        <f>2400*AT22</f>
        <v>60000</v>
      </c>
      <c r="AU78" s="7">
        <v>0</v>
      </c>
      <c r="AV78" s="7">
        <f t="shared" si="154"/>
        <v>60000</v>
      </c>
      <c r="AX78" s="7">
        <f t="shared" si="155"/>
        <v>0</v>
      </c>
      <c r="AY78" s="7">
        <f t="shared" si="146"/>
        <v>0</v>
      </c>
      <c r="AZ78" s="7">
        <f t="shared" si="146"/>
        <v>2334247.4798845164</v>
      </c>
      <c r="BA78" s="7">
        <f t="shared" si="146"/>
        <v>0</v>
      </c>
      <c r="BB78" s="7">
        <f t="shared" si="147"/>
        <v>2334247.4798845164</v>
      </c>
    </row>
    <row r="79" spans="1:54" x14ac:dyDescent="0.25">
      <c r="A79" s="62" t="s">
        <v>74</v>
      </c>
      <c r="B79" s="37">
        <f>1400*B23</f>
        <v>0</v>
      </c>
      <c r="C79" s="37">
        <f>1635*C23</f>
        <v>25534.371523915463</v>
      </c>
      <c r="D79" s="37">
        <v>0</v>
      </c>
      <c r="E79" s="7">
        <v>0</v>
      </c>
      <c r="F79" s="7">
        <f t="shared" ref="F79:F81" si="180">SUM(B79:E79)</f>
        <v>25534.371523915463</v>
      </c>
      <c r="H79" s="37">
        <f>1400*H23</f>
        <v>0</v>
      </c>
      <c r="I79" s="37">
        <f>1635*I23</f>
        <v>58763.823529411762</v>
      </c>
      <c r="J79" s="37">
        <v>0</v>
      </c>
      <c r="K79" s="7">
        <v>0</v>
      </c>
      <c r="L79" s="7">
        <f t="shared" ref="L79:L81" si="181">SUM(H79:K79)</f>
        <v>58763.823529411762</v>
      </c>
      <c r="N79" s="37">
        <f>1400*N23</f>
        <v>0</v>
      </c>
      <c r="O79" s="37">
        <f>1635*O23</f>
        <v>29430</v>
      </c>
      <c r="P79" s="37">
        <v>0</v>
      </c>
      <c r="Q79" s="7">
        <v>0</v>
      </c>
      <c r="R79" s="7">
        <f t="shared" ref="R79:R81" si="182">SUM(N79:Q79)</f>
        <v>29430</v>
      </c>
      <c r="T79" s="37">
        <f>1400*T23</f>
        <v>0</v>
      </c>
      <c r="U79" s="37">
        <f>1635*U23</f>
        <v>13254.545454545456</v>
      </c>
      <c r="V79" s="37">
        <v>0</v>
      </c>
      <c r="W79" s="7">
        <v>0</v>
      </c>
      <c r="X79" s="7">
        <f t="shared" ref="X79:X81" si="183">SUM(T79:W79)</f>
        <v>13254.545454545456</v>
      </c>
      <c r="Z79" s="37">
        <f>1400*Z23</f>
        <v>0</v>
      </c>
      <c r="AA79" s="37">
        <f>1635*AA23</f>
        <v>43812.523923444976</v>
      </c>
      <c r="AB79" s="37">
        <v>0</v>
      </c>
      <c r="AC79" s="7">
        <v>0</v>
      </c>
      <c r="AD79" s="7">
        <f t="shared" ref="AD79:AD81" si="184">SUM(Z79:AC79)</f>
        <v>43812.523923444976</v>
      </c>
      <c r="AF79" s="37">
        <f>1400*AF23</f>
        <v>0</v>
      </c>
      <c r="AG79" s="37">
        <f>1635*AG23</f>
        <v>386432.25</v>
      </c>
      <c r="AH79" s="37">
        <v>0</v>
      </c>
      <c r="AI79" s="7">
        <v>0</v>
      </c>
      <c r="AJ79" s="7">
        <f t="shared" si="143"/>
        <v>386432.25</v>
      </c>
      <c r="AL79" s="37">
        <f>1400*AL23</f>
        <v>0</v>
      </c>
      <c r="AM79" s="37">
        <f>1669*AM23</f>
        <v>0</v>
      </c>
      <c r="AN79" s="37">
        <v>0</v>
      </c>
      <c r="AO79" s="7">
        <v>0</v>
      </c>
      <c r="AP79" s="7">
        <f t="shared" ref="AP79:AP81" si="185">SUM(AL79:AO79)</f>
        <v>0</v>
      </c>
      <c r="AR79" s="37">
        <f>1400*AR23</f>
        <v>0</v>
      </c>
      <c r="AS79" s="37">
        <f>1635*AS23</f>
        <v>0</v>
      </c>
      <c r="AT79" s="37">
        <v>0</v>
      </c>
      <c r="AU79" s="7">
        <v>0</v>
      </c>
      <c r="AV79" s="7">
        <f t="shared" ref="AV79:AV81" si="186">SUM(AR79:AU79)</f>
        <v>0</v>
      </c>
      <c r="AX79" s="7">
        <f t="shared" si="155"/>
        <v>0</v>
      </c>
      <c r="AY79" s="7">
        <f t="shared" si="146"/>
        <v>557227.51443131769</v>
      </c>
      <c r="AZ79" s="7">
        <f t="shared" si="146"/>
        <v>0</v>
      </c>
      <c r="BA79" s="7">
        <f t="shared" si="146"/>
        <v>0</v>
      </c>
      <c r="BB79" s="7">
        <f t="shared" si="147"/>
        <v>557227.51443131769</v>
      </c>
    </row>
    <row r="80" spans="1:54" x14ac:dyDescent="0.25">
      <c r="A80" s="62" t="s">
        <v>75</v>
      </c>
      <c r="B80" s="7">
        <f>830*B24</f>
        <v>0</v>
      </c>
      <c r="C80" s="7">
        <f>848*C24</f>
        <v>38847.644048943272</v>
      </c>
      <c r="D80" s="37">
        <v>0</v>
      </c>
      <c r="E80" s="7">
        <v>0</v>
      </c>
      <c r="F80" s="7">
        <f t="shared" si="180"/>
        <v>38847.644048943272</v>
      </c>
      <c r="H80" s="7">
        <f>830*H24</f>
        <v>0</v>
      </c>
      <c r="I80" s="7">
        <f>848*I24</f>
        <v>48026.124777183606</v>
      </c>
      <c r="J80" s="37">
        <v>0</v>
      </c>
      <c r="K80" s="7">
        <v>0</v>
      </c>
      <c r="L80" s="7">
        <f t="shared" si="181"/>
        <v>48026.124777183606</v>
      </c>
      <c r="N80" s="7">
        <f>830*N24</f>
        <v>0</v>
      </c>
      <c r="O80" s="7">
        <f>848*O24</f>
        <v>39008</v>
      </c>
      <c r="P80" s="37">
        <v>0</v>
      </c>
      <c r="Q80" s="7">
        <v>0</v>
      </c>
      <c r="R80" s="7">
        <f t="shared" si="182"/>
        <v>39008</v>
      </c>
      <c r="T80" s="7">
        <f>830*T24</f>
        <v>0</v>
      </c>
      <c r="U80" s="7">
        <f>848*U24</f>
        <v>66167.339449541279</v>
      </c>
      <c r="V80" s="37">
        <v>0</v>
      </c>
      <c r="W80" s="7">
        <v>0</v>
      </c>
      <c r="X80" s="7">
        <f t="shared" si="183"/>
        <v>66167.339449541279</v>
      </c>
      <c r="Z80" s="7">
        <f>830*Z24</f>
        <v>0</v>
      </c>
      <c r="AA80" s="7">
        <f>848*AA24</f>
        <v>63230.775119617218</v>
      </c>
      <c r="AB80" s="37">
        <v>0</v>
      </c>
      <c r="AC80" s="7">
        <v>0</v>
      </c>
      <c r="AD80" s="7">
        <f t="shared" si="184"/>
        <v>63230.775119617218</v>
      </c>
      <c r="AF80" s="7">
        <f>830*AF24</f>
        <v>0</v>
      </c>
      <c r="AG80" s="7">
        <f>848*AG24</f>
        <v>17278</v>
      </c>
      <c r="AH80" s="37">
        <v>0</v>
      </c>
      <c r="AI80" s="7">
        <v>0</v>
      </c>
      <c r="AJ80" s="7">
        <f t="shared" si="143"/>
        <v>17278</v>
      </c>
      <c r="AL80" s="7">
        <f>830*AL24</f>
        <v>0</v>
      </c>
      <c r="AM80" s="7">
        <f>862*AM24</f>
        <v>0</v>
      </c>
      <c r="AN80" s="37">
        <v>0</v>
      </c>
      <c r="AO80" s="7">
        <v>0</v>
      </c>
      <c r="AP80" s="7">
        <f t="shared" si="185"/>
        <v>0</v>
      </c>
      <c r="AR80" s="7">
        <f>830*AR24</f>
        <v>0</v>
      </c>
      <c r="AS80" s="7">
        <f>848*AS24</f>
        <v>0</v>
      </c>
      <c r="AT80" s="37">
        <v>0</v>
      </c>
      <c r="AU80" s="7">
        <v>0</v>
      </c>
      <c r="AV80" s="7">
        <f t="shared" si="186"/>
        <v>0</v>
      </c>
      <c r="AX80" s="7">
        <f t="shared" si="155"/>
        <v>0</v>
      </c>
      <c r="AY80" s="7">
        <f t="shared" si="146"/>
        <v>272557.8833952854</v>
      </c>
      <c r="AZ80" s="7">
        <f t="shared" si="146"/>
        <v>0</v>
      </c>
      <c r="BA80" s="7">
        <f t="shared" si="146"/>
        <v>0</v>
      </c>
      <c r="BB80" s="7">
        <f t="shared" si="147"/>
        <v>272557.8833952854</v>
      </c>
    </row>
    <row r="81" spans="1:54" x14ac:dyDescent="0.25">
      <c r="A81" s="62" t="s">
        <v>76</v>
      </c>
      <c r="B81" s="7">
        <f>240*B26</f>
        <v>0</v>
      </c>
      <c r="C81" s="7">
        <f>C26*241</f>
        <v>58213.161290322576</v>
      </c>
      <c r="D81" s="37">
        <v>0</v>
      </c>
      <c r="E81" s="7">
        <v>0</v>
      </c>
      <c r="F81" s="7">
        <f t="shared" si="180"/>
        <v>58213.161290322576</v>
      </c>
      <c r="H81" s="7">
        <f>240*H26</f>
        <v>0</v>
      </c>
      <c r="I81" s="7">
        <f>I26*241</f>
        <v>135701.90196078434</v>
      </c>
      <c r="J81" s="37">
        <v>0</v>
      </c>
      <c r="K81" s="7">
        <v>0</v>
      </c>
      <c r="L81" s="7">
        <f t="shared" si="181"/>
        <v>135701.90196078434</v>
      </c>
      <c r="N81" s="7">
        <f>240*N26</f>
        <v>0</v>
      </c>
      <c r="O81" s="7">
        <f>O26*241</f>
        <v>58081</v>
      </c>
      <c r="P81" s="37">
        <v>0</v>
      </c>
      <c r="Q81" s="7">
        <v>0</v>
      </c>
      <c r="R81" s="7">
        <f t="shared" si="182"/>
        <v>58081</v>
      </c>
      <c r="T81" s="7">
        <f>240*T26</f>
        <v>0</v>
      </c>
      <c r="U81" s="7">
        <f>U26*241</f>
        <v>31992.297748123437</v>
      </c>
      <c r="V81" s="37">
        <v>0</v>
      </c>
      <c r="W81" s="7">
        <v>0</v>
      </c>
      <c r="X81" s="7">
        <f t="shared" si="183"/>
        <v>31992.297748123437</v>
      </c>
      <c r="Z81" s="7">
        <f>240*Z26</f>
        <v>0</v>
      </c>
      <c r="AA81" s="7">
        <f>AA26*241</f>
        <v>68791.662679425819</v>
      </c>
      <c r="AB81" s="37">
        <v>0</v>
      </c>
      <c r="AC81" s="7">
        <v>0</v>
      </c>
      <c r="AD81" s="7">
        <f t="shared" si="184"/>
        <v>68791.662679425819</v>
      </c>
      <c r="AF81" s="7">
        <f>240*AF26</f>
        <v>0</v>
      </c>
      <c r="AG81" s="7">
        <f>AG26*241</f>
        <v>48809.127499999995</v>
      </c>
      <c r="AH81" s="37">
        <v>0</v>
      </c>
      <c r="AI81" s="7">
        <v>0</v>
      </c>
      <c r="AJ81" s="7">
        <f t="shared" si="143"/>
        <v>48809.127499999995</v>
      </c>
      <c r="AL81" s="7">
        <f>240*AL26</f>
        <v>0</v>
      </c>
      <c r="AM81" s="7">
        <f>AM26*247</f>
        <v>0</v>
      </c>
      <c r="AN81" s="37">
        <v>0</v>
      </c>
      <c r="AO81" s="7">
        <v>0</v>
      </c>
      <c r="AP81" s="7">
        <f t="shared" si="185"/>
        <v>0</v>
      </c>
      <c r="AR81" s="7">
        <f>240*AR26</f>
        <v>0</v>
      </c>
      <c r="AS81" s="7">
        <f>AS26*241</f>
        <v>24100</v>
      </c>
      <c r="AT81" s="37">
        <v>0</v>
      </c>
      <c r="AU81" s="7">
        <v>0</v>
      </c>
      <c r="AV81" s="7">
        <f t="shared" si="186"/>
        <v>24100</v>
      </c>
      <c r="AX81" s="7">
        <f t="shared" si="155"/>
        <v>0</v>
      </c>
      <c r="AY81" s="7">
        <f t="shared" si="146"/>
        <v>425689.1511786562</v>
      </c>
      <c r="AZ81" s="7">
        <f t="shared" si="146"/>
        <v>0</v>
      </c>
      <c r="BA81" s="7">
        <f t="shared" si="146"/>
        <v>0</v>
      </c>
      <c r="BB81" s="7">
        <f t="shared" si="147"/>
        <v>425689.1511786562</v>
      </c>
    </row>
    <row r="82" spans="1:54" x14ac:dyDescent="0.25">
      <c r="A82" s="62" t="s">
        <v>247</v>
      </c>
      <c r="B82" s="7"/>
      <c r="C82" s="7">
        <v>0</v>
      </c>
      <c r="D82" s="37">
        <v>0</v>
      </c>
      <c r="E82" s="7">
        <v>0</v>
      </c>
      <c r="F82" s="7">
        <f t="shared" si="148"/>
        <v>0</v>
      </c>
      <c r="H82" s="7">
        <f>AV155</f>
        <v>368000</v>
      </c>
      <c r="I82" s="7">
        <v>0</v>
      </c>
      <c r="J82" s="37">
        <v>0</v>
      </c>
      <c r="K82" s="7">
        <v>0</v>
      </c>
      <c r="L82" s="7">
        <f t="shared" si="149"/>
        <v>368000</v>
      </c>
      <c r="N82" s="7">
        <v>0</v>
      </c>
      <c r="O82" s="7">
        <v>0</v>
      </c>
      <c r="P82" s="37">
        <v>0</v>
      </c>
      <c r="Q82" s="7">
        <v>0</v>
      </c>
      <c r="R82" s="7">
        <f t="shared" si="150"/>
        <v>0</v>
      </c>
      <c r="T82" s="7">
        <v>0</v>
      </c>
      <c r="U82" s="7">
        <v>0</v>
      </c>
      <c r="V82" s="37">
        <v>0</v>
      </c>
      <c r="W82" s="7">
        <v>0</v>
      </c>
      <c r="X82" s="7">
        <f t="shared" si="151"/>
        <v>0</v>
      </c>
      <c r="Z82" s="7">
        <v>0</v>
      </c>
      <c r="AA82" s="7">
        <v>0</v>
      </c>
      <c r="AB82" s="37">
        <v>0</v>
      </c>
      <c r="AC82" s="7">
        <v>0</v>
      </c>
      <c r="AD82" s="7">
        <f t="shared" si="152"/>
        <v>0</v>
      </c>
      <c r="AF82" s="7">
        <v>0</v>
      </c>
      <c r="AG82" s="7">
        <v>0</v>
      </c>
      <c r="AH82" s="37">
        <v>0</v>
      </c>
      <c r="AI82" s="7">
        <v>0</v>
      </c>
      <c r="AJ82" s="7">
        <f t="shared" si="143"/>
        <v>0</v>
      </c>
      <c r="AL82" s="7">
        <v>0</v>
      </c>
      <c r="AM82" s="7">
        <v>0</v>
      </c>
      <c r="AN82" s="37">
        <v>0</v>
      </c>
      <c r="AO82" s="7">
        <v>0</v>
      </c>
      <c r="AP82" s="7">
        <f t="shared" si="153"/>
        <v>0</v>
      </c>
      <c r="AR82" s="7"/>
      <c r="AS82" s="7">
        <v>0</v>
      </c>
      <c r="AT82" s="37">
        <v>0</v>
      </c>
      <c r="AU82" s="7">
        <v>0</v>
      </c>
      <c r="AV82" s="7">
        <f t="shared" si="154"/>
        <v>0</v>
      </c>
      <c r="AX82" s="7">
        <f t="shared" si="155"/>
        <v>368000</v>
      </c>
      <c r="AY82" s="7">
        <f t="shared" si="146"/>
        <v>0</v>
      </c>
      <c r="AZ82" s="7">
        <f t="shared" si="146"/>
        <v>0</v>
      </c>
      <c r="BA82" s="7">
        <f t="shared" si="146"/>
        <v>0</v>
      </c>
      <c r="BB82" s="7">
        <f t="shared" si="147"/>
        <v>368000</v>
      </c>
    </row>
    <row r="83" spans="1:54" x14ac:dyDescent="0.25">
      <c r="A83" s="154" t="s">
        <v>78</v>
      </c>
      <c r="B83" s="7">
        <v>0</v>
      </c>
      <c r="C83" s="7">
        <v>0</v>
      </c>
      <c r="D83" s="37">
        <v>0</v>
      </c>
      <c r="E83" s="7">
        <v>0</v>
      </c>
      <c r="F83" s="7">
        <f t="shared" si="148"/>
        <v>0</v>
      </c>
      <c r="H83" s="7">
        <v>0</v>
      </c>
      <c r="I83" s="7">
        <v>0</v>
      </c>
      <c r="J83" s="37">
        <v>0</v>
      </c>
      <c r="K83" s="7">
        <v>0</v>
      </c>
      <c r="L83" s="7">
        <f t="shared" si="149"/>
        <v>0</v>
      </c>
      <c r="N83" s="7">
        <v>0</v>
      </c>
      <c r="O83" s="7">
        <v>0</v>
      </c>
      <c r="P83" s="37">
        <v>0</v>
      </c>
      <c r="Q83" s="7">
        <v>0</v>
      </c>
      <c r="R83" s="7">
        <f t="shared" si="150"/>
        <v>0</v>
      </c>
      <c r="T83" s="7">
        <v>0</v>
      </c>
      <c r="U83" s="7">
        <v>0</v>
      </c>
      <c r="V83" s="37">
        <v>0</v>
      </c>
      <c r="W83" s="7">
        <v>0</v>
      </c>
      <c r="X83" s="7">
        <f t="shared" si="151"/>
        <v>0</v>
      </c>
      <c r="Z83" s="7">
        <v>0</v>
      </c>
      <c r="AA83" s="7">
        <v>0</v>
      </c>
      <c r="AB83" s="37">
        <v>0</v>
      </c>
      <c r="AC83" s="7">
        <v>0</v>
      </c>
      <c r="AD83" s="7">
        <f t="shared" si="152"/>
        <v>0</v>
      </c>
      <c r="AF83" s="7">
        <v>0</v>
      </c>
      <c r="AG83" s="7">
        <v>0</v>
      </c>
      <c r="AH83" s="37">
        <v>0</v>
      </c>
      <c r="AI83" s="7">
        <v>0</v>
      </c>
      <c r="AJ83" s="7">
        <f t="shared" si="143"/>
        <v>0</v>
      </c>
      <c r="AL83" s="7">
        <v>0</v>
      </c>
      <c r="AM83" s="7">
        <v>0</v>
      </c>
      <c r="AN83" s="37">
        <v>0</v>
      </c>
      <c r="AO83" s="7">
        <v>0</v>
      </c>
      <c r="AP83" s="7">
        <f t="shared" si="153"/>
        <v>0</v>
      </c>
      <c r="AR83" s="7">
        <v>0</v>
      </c>
      <c r="AS83" s="7">
        <v>0</v>
      </c>
      <c r="AT83" s="37">
        <v>0</v>
      </c>
      <c r="AU83" s="7">
        <v>0</v>
      </c>
      <c r="AV83" s="7">
        <f t="shared" si="154"/>
        <v>0</v>
      </c>
      <c r="AX83" s="7">
        <f t="shared" si="155"/>
        <v>0</v>
      </c>
      <c r="AY83" s="7">
        <f t="shared" si="146"/>
        <v>0</v>
      </c>
      <c r="AZ83" s="7">
        <f t="shared" si="146"/>
        <v>0</v>
      </c>
      <c r="BA83" s="7">
        <f t="shared" si="146"/>
        <v>0</v>
      </c>
      <c r="BB83" s="7">
        <f t="shared" si="147"/>
        <v>0</v>
      </c>
    </row>
    <row r="84" spans="1:54" x14ac:dyDescent="0.25">
      <c r="A84" s="62" t="s">
        <v>77</v>
      </c>
      <c r="B84" s="7"/>
      <c r="C84" s="7">
        <v>0</v>
      </c>
      <c r="D84" s="37">
        <v>0</v>
      </c>
      <c r="E84" s="7">
        <v>0</v>
      </c>
      <c r="F84" s="7">
        <f t="shared" si="148"/>
        <v>0</v>
      </c>
      <c r="H84" s="7"/>
      <c r="I84" s="7">
        <v>0</v>
      </c>
      <c r="J84" s="37">
        <v>0</v>
      </c>
      <c r="K84" s="7">
        <v>0</v>
      </c>
      <c r="L84" s="7">
        <f t="shared" si="149"/>
        <v>0</v>
      </c>
      <c r="N84" s="7"/>
      <c r="O84" s="7">
        <v>0</v>
      </c>
      <c r="P84" s="37">
        <v>0</v>
      </c>
      <c r="Q84" s="7">
        <v>0</v>
      </c>
      <c r="R84" s="7">
        <f t="shared" si="150"/>
        <v>0</v>
      </c>
      <c r="T84" s="7"/>
      <c r="U84" s="7">
        <v>0</v>
      </c>
      <c r="V84" s="37">
        <v>0</v>
      </c>
      <c r="W84" s="7">
        <v>0</v>
      </c>
      <c r="X84" s="7">
        <f t="shared" si="151"/>
        <v>0</v>
      </c>
      <c r="Z84" s="7"/>
      <c r="AA84" s="7">
        <v>0</v>
      </c>
      <c r="AB84" s="37">
        <v>0</v>
      </c>
      <c r="AC84" s="7">
        <v>0</v>
      </c>
      <c r="AD84" s="7">
        <f t="shared" si="152"/>
        <v>0</v>
      </c>
      <c r="AF84" s="7"/>
      <c r="AG84" s="7">
        <v>0</v>
      </c>
      <c r="AH84" s="37">
        <v>0</v>
      </c>
      <c r="AI84" s="7">
        <v>0</v>
      </c>
      <c r="AJ84" s="7">
        <f t="shared" si="143"/>
        <v>0</v>
      </c>
      <c r="AL84" s="7"/>
      <c r="AM84" s="7">
        <v>0</v>
      </c>
      <c r="AN84" s="37">
        <v>0</v>
      </c>
      <c r="AO84" s="7">
        <v>0</v>
      </c>
      <c r="AP84" s="7">
        <f t="shared" si="153"/>
        <v>0</v>
      </c>
      <c r="AR84" s="7"/>
      <c r="AS84" s="7">
        <v>0</v>
      </c>
      <c r="AT84" s="37">
        <v>0</v>
      </c>
      <c r="AU84" s="7">
        <v>0</v>
      </c>
      <c r="AV84" s="7">
        <f t="shared" si="154"/>
        <v>0</v>
      </c>
      <c r="AX84" s="7">
        <f t="shared" si="155"/>
        <v>0</v>
      </c>
      <c r="AY84" s="7">
        <f t="shared" si="146"/>
        <v>0</v>
      </c>
      <c r="AZ84" s="7">
        <f t="shared" si="146"/>
        <v>0</v>
      </c>
      <c r="BA84" s="7">
        <f t="shared" si="146"/>
        <v>0</v>
      </c>
      <c r="BB84" s="7">
        <f t="shared" si="147"/>
        <v>0</v>
      </c>
    </row>
    <row r="85" spans="1:54" ht="15.75" thickBot="1" x14ac:dyDescent="0.3">
      <c r="A85" s="65" t="s">
        <v>79</v>
      </c>
      <c r="B85" s="37">
        <f>B158</f>
        <v>14120</v>
      </c>
      <c r="C85" s="37">
        <f>C158</f>
        <v>720</v>
      </c>
      <c r="D85" s="37">
        <f>D158</f>
        <v>2160</v>
      </c>
      <c r="E85" s="7">
        <v>0</v>
      </c>
      <c r="F85" s="7">
        <f t="shared" si="148"/>
        <v>17000</v>
      </c>
      <c r="H85" s="37">
        <f>H158</f>
        <v>31520</v>
      </c>
      <c r="I85" s="37">
        <f>I158</f>
        <v>2400</v>
      </c>
      <c r="J85" s="37">
        <f>J158</f>
        <v>6960</v>
      </c>
      <c r="K85" s="7">
        <v>0</v>
      </c>
      <c r="L85" s="7">
        <f t="shared" si="149"/>
        <v>40880</v>
      </c>
      <c r="N85" s="37">
        <f>N158</f>
        <v>14960</v>
      </c>
      <c r="O85" s="37">
        <f>O158</f>
        <v>1200</v>
      </c>
      <c r="P85" s="37">
        <f>P158</f>
        <v>1999.2</v>
      </c>
      <c r="Q85" s="7">
        <v>0</v>
      </c>
      <c r="R85" s="7">
        <f t="shared" si="150"/>
        <v>18159.2</v>
      </c>
      <c r="T85" s="37">
        <f>T158</f>
        <v>17960</v>
      </c>
      <c r="U85" s="37">
        <f>U158</f>
        <v>840</v>
      </c>
      <c r="V85" s="37">
        <f>V158</f>
        <v>3201.6</v>
      </c>
      <c r="W85" s="7">
        <v>0</v>
      </c>
      <c r="X85" s="7">
        <f t="shared" si="151"/>
        <v>22001.599999999999</v>
      </c>
      <c r="Z85" s="37">
        <f>Z158</f>
        <v>30080</v>
      </c>
      <c r="AA85" s="37">
        <f>AA158</f>
        <v>1320</v>
      </c>
      <c r="AB85" s="37">
        <f>AB158</f>
        <v>5479.2</v>
      </c>
      <c r="AC85" s="7">
        <v>0</v>
      </c>
      <c r="AD85" s="7">
        <f t="shared" si="152"/>
        <v>36879.199999999997</v>
      </c>
      <c r="AF85" s="37">
        <f>AF158</f>
        <v>14000</v>
      </c>
      <c r="AG85" s="37">
        <f>AG158</f>
        <v>720</v>
      </c>
      <c r="AH85" s="37">
        <f>AH158</f>
        <v>2160</v>
      </c>
      <c r="AI85" s="37">
        <f>AI158</f>
        <v>240</v>
      </c>
      <c r="AJ85" s="7">
        <f t="shared" si="143"/>
        <v>17120</v>
      </c>
      <c r="AL85" s="37">
        <f>AL158</f>
        <v>2720</v>
      </c>
      <c r="AM85" s="37">
        <f>AM158</f>
        <v>120</v>
      </c>
      <c r="AN85" s="37">
        <f>AN158</f>
        <v>0</v>
      </c>
      <c r="AO85" s="7">
        <v>0</v>
      </c>
      <c r="AP85" s="7">
        <f t="shared" si="153"/>
        <v>2840</v>
      </c>
      <c r="AR85" s="37">
        <f>AR158</f>
        <v>2240</v>
      </c>
      <c r="AS85" s="37">
        <f>AS158</f>
        <v>0</v>
      </c>
      <c r="AT85" s="37">
        <f>AT158</f>
        <v>480</v>
      </c>
      <c r="AU85" s="7">
        <v>0</v>
      </c>
      <c r="AV85" s="7">
        <f t="shared" si="154"/>
        <v>2720</v>
      </c>
      <c r="AX85" s="7">
        <f t="shared" si="155"/>
        <v>127600</v>
      </c>
      <c r="AY85" s="7">
        <f t="shared" si="146"/>
        <v>7320</v>
      </c>
      <c r="AZ85" s="7">
        <f t="shared" si="146"/>
        <v>22440</v>
      </c>
      <c r="BA85" s="7">
        <f t="shared" si="146"/>
        <v>240</v>
      </c>
      <c r="BB85" s="7">
        <f t="shared" si="147"/>
        <v>157600</v>
      </c>
    </row>
    <row r="86" spans="1:54" ht="15.75" thickBot="1" x14ac:dyDescent="0.3">
      <c r="A86" s="67" t="s">
        <v>80</v>
      </c>
      <c r="B86" s="68">
        <f>SUM(B74:B85)</f>
        <v>7110067.5770028541</v>
      </c>
      <c r="C86" s="68">
        <f>SUM(C74:C85)</f>
        <v>123315.17686318132</v>
      </c>
      <c r="D86" s="68">
        <f>SUM(D74:D85)</f>
        <v>355632.74749721913</v>
      </c>
      <c r="E86" s="68">
        <f t="shared" ref="E86:F86" si="187">SUM(E74:E85)</f>
        <v>224078.40000000002</v>
      </c>
      <c r="F86" s="68">
        <f t="shared" si="187"/>
        <v>7813093.9013632555</v>
      </c>
      <c r="H86" s="68">
        <f>SUM(H74:H85)</f>
        <v>18927827.562174119</v>
      </c>
      <c r="I86" s="68">
        <f>SUM(I74:I85)</f>
        <v>244891.85026737972</v>
      </c>
      <c r="J86" s="68">
        <f>SUM(J74:J85)</f>
        <v>1093363.7433155081</v>
      </c>
      <c r="K86" s="68">
        <f t="shared" ref="K86:L86" si="188">SUM(K74:K85)</f>
        <v>615888</v>
      </c>
      <c r="L86" s="68">
        <f t="shared" si="188"/>
        <v>20881971.155757003</v>
      </c>
      <c r="N86" s="68">
        <f>SUM(N74:N85)</f>
        <v>7717398.8229005337</v>
      </c>
      <c r="O86" s="68">
        <f>SUM(O74:O85)</f>
        <v>127719</v>
      </c>
      <c r="P86" s="68">
        <f>SUM(P74:P85)</f>
        <v>260999.2</v>
      </c>
      <c r="Q86" s="68">
        <f t="shared" ref="Q86:R86" si="189">SUM(Q74:Q85)</f>
        <v>192024</v>
      </c>
      <c r="R86" s="68">
        <f t="shared" si="189"/>
        <v>8298141.0229005339</v>
      </c>
      <c r="T86" s="68">
        <f>SUM(T74:T85)</f>
        <v>9229045.7970710117</v>
      </c>
      <c r="U86" s="68">
        <f>SUM(U74:U85)</f>
        <v>112254.18265221018</v>
      </c>
      <c r="V86" s="68">
        <f>SUM(V74:V85)</f>
        <v>386245.80350291904</v>
      </c>
      <c r="W86" s="68">
        <f t="shared" ref="W86:X86" si="190">SUM(W74:W85)</f>
        <v>114817.5</v>
      </c>
      <c r="X86" s="68">
        <f t="shared" si="190"/>
        <v>9842363.2832261398</v>
      </c>
      <c r="Z86" s="68">
        <f>SUM(Z74:Z85)</f>
        <v>18490157.29701063</v>
      </c>
      <c r="AA86" s="68">
        <f>SUM(AA74:AA85)</f>
        <v>177154.96172248802</v>
      </c>
      <c r="AB86" s="68">
        <f>SUM(AB74:AB85)</f>
        <v>702774.65454545442</v>
      </c>
      <c r="AC86" s="68">
        <f t="shared" ref="AC86:AD86" si="191">SUM(AC74:AC85)</f>
        <v>368172</v>
      </c>
      <c r="AD86" s="68">
        <f t="shared" si="191"/>
        <v>19738258.913278576</v>
      </c>
      <c r="AF86" s="68">
        <f>SUM(AF74:AF85)</f>
        <v>7291894.9507721579</v>
      </c>
      <c r="AG86" s="68">
        <f>SUM(AG74:AG85)</f>
        <v>453239.3775</v>
      </c>
      <c r="AH86" s="68">
        <f>SUM(AH74:AH85)</f>
        <v>344460</v>
      </c>
      <c r="AI86" s="68">
        <f t="shared" ref="AI86:AJ86" si="192">SUM(AI74:AI85)</f>
        <v>426019.2</v>
      </c>
      <c r="AJ86" s="68">
        <f t="shared" si="192"/>
        <v>8515613.5282721575</v>
      </c>
      <c r="AL86" s="68">
        <f>SUM(AL74:AL85)</f>
        <v>2720</v>
      </c>
      <c r="AM86" s="68">
        <f>SUM(AM74:AM85)</f>
        <v>120</v>
      </c>
      <c r="AN86" s="68">
        <f>SUM(AN74:AN85)</f>
        <v>0</v>
      </c>
      <c r="AO86" s="68">
        <f t="shared" ref="AO86:AP86" si="193">SUM(AO74:AO85)</f>
        <v>0</v>
      </c>
      <c r="AP86" s="68">
        <f t="shared" si="193"/>
        <v>2840</v>
      </c>
      <c r="AR86" s="68">
        <f>SUM(AR74:AR85)</f>
        <v>2371520</v>
      </c>
      <c r="AS86" s="68">
        <f>SUM(AS74:AS85)</f>
        <v>24100</v>
      </c>
      <c r="AT86" s="68">
        <f>SUM(AT74:AT85)</f>
        <v>84230</v>
      </c>
      <c r="AU86" s="68">
        <f t="shared" ref="AU86:AV86" si="194">SUM(AU74:AU85)</f>
        <v>89880</v>
      </c>
      <c r="AV86" s="68">
        <f t="shared" si="194"/>
        <v>2569730</v>
      </c>
      <c r="AX86" s="68">
        <f>SUM(AX74:AX85)</f>
        <v>71140632.006931305</v>
      </c>
      <c r="AY86" s="68">
        <f>SUM(AY74:AY85)</f>
        <v>1262794.5490052593</v>
      </c>
      <c r="AZ86" s="68">
        <f>SUM(AZ74:AZ85)</f>
        <v>3227706.1488611009</v>
      </c>
      <c r="BA86" s="68">
        <f t="shared" ref="BA86:BB86" si="195">SUM(BA74:BA85)</f>
        <v>2030879.0999999999</v>
      </c>
      <c r="BB86" s="68">
        <f t="shared" si="195"/>
        <v>77662011.804797664</v>
      </c>
    </row>
    <row r="87" spans="1:54" hidden="1" x14ac:dyDescent="0.25">
      <c r="A87" s="60" t="s">
        <v>69</v>
      </c>
      <c r="B87" s="61">
        <f>B2*B5</f>
        <v>7095947.5770028541</v>
      </c>
      <c r="C87" s="61">
        <f>C2*C5</f>
        <v>0</v>
      </c>
      <c r="D87" s="61">
        <f>D2*D5</f>
        <v>0</v>
      </c>
      <c r="E87" s="61">
        <f t="shared" ref="E87:F87" si="196">E2*E5</f>
        <v>0</v>
      </c>
      <c r="F87" s="61">
        <f t="shared" si="196"/>
        <v>7095947.5770028541</v>
      </c>
      <c r="H87" s="61">
        <f>H2*H5</f>
        <v>18528307.562174119</v>
      </c>
      <c r="I87" s="61">
        <f>I2*I5</f>
        <v>0</v>
      </c>
      <c r="J87" s="61">
        <f>J2*J5</f>
        <v>0</v>
      </c>
      <c r="K87" s="61">
        <f t="shared" ref="K87:L87" si="197">K2*K5</f>
        <v>0</v>
      </c>
      <c r="L87" s="61">
        <f t="shared" si="197"/>
        <v>18528307.562174119</v>
      </c>
      <c r="N87" s="61">
        <f>N2*N5</f>
        <v>7702438.8229005337</v>
      </c>
      <c r="O87" s="61">
        <f>O2*O5</f>
        <v>0</v>
      </c>
      <c r="P87" s="61">
        <f>P2*P5</f>
        <v>0</v>
      </c>
      <c r="Q87" s="61">
        <f t="shared" ref="Q87:R87" si="198">Q2*Q5</f>
        <v>0</v>
      </c>
      <c r="R87" s="61">
        <f t="shared" si="198"/>
        <v>7702438.8229005337</v>
      </c>
      <c r="T87" s="61">
        <f>T2*T5</f>
        <v>9211085.7970710117</v>
      </c>
      <c r="U87" s="61">
        <f>U2*U5</f>
        <v>0</v>
      </c>
      <c r="V87" s="61">
        <f>V2*V5</f>
        <v>0</v>
      </c>
      <c r="W87" s="61">
        <f t="shared" ref="W87:X87" si="199">W2*W5</f>
        <v>0</v>
      </c>
      <c r="X87" s="61">
        <f t="shared" si="199"/>
        <v>9211085.7970710117</v>
      </c>
      <c r="Z87" s="61">
        <f>Z2*Z5</f>
        <v>18460077.29701063</v>
      </c>
      <c r="AA87" s="61">
        <f>AA2*AA5</f>
        <v>0</v>
      </c>
      <c r="AB87" s="61">
        <f>AB2*AB5</f>
        <v>0</v>
      </c>
      <c r="AC87" s="61">
        <f t="shared" ref="AC87:AD87" si="200">AC2*AC5</f>
        <v>0</v>
      </c>
      <c r="AD87" s="61">
        <f t="shared" si="200"/>
        <v>18460077.29701063</v>
      </c>
      <c r="AF87" s="61">
        <f>AF2*AF5</f>
        <v>7277894.9507721579</v>
      </c>
      <c r="AG87" s="61">
        <f>AG2*AG5</f>
        <v>0</v>
      </c>
      <c r="AH87" s="61">
        <f>AH2*AH5</f>
        <v>0</v>
      </c>
      <c r="AI87" s="61">
        <f t="shared" ref="AI87:AJ87" si="201">AI2*AI5</f>
        <v>0</v>
      </c>
      <c r="AJ87" s="61">
        <f t="shared" si="201"/>
        <v>7277894.9507721579</v>
      </c>
      <c r="AL87" s="61">
        <f>AL2*AL5</f>
        <v>0</v>
      </c>
      <c r="AM87" s="61">
        <f>AM2*AM5</f>
        <v>0</v>
      </c>
      <c r="AN87" s="61">
        <f>AN2*AN5</f>
        <v>0</v>
      </c>
      <c r="AO87" s="61">
        <f t="shared" ref="AO87:AP87" si="202">AO2*AO5</f>
        <v>0</v>
      </c>
      <c r="AP87" s="61">
        <f t="shared" si="202"/>
        <v>0</v>
      </c>
      <c r="AR87" s="61">
        <f>AR2*AR5</f>
        <v>2369280</v>
      </c>
      <c r="AS87" s="61">
        <f>AS2*AS5</f>
        <v>0</v>
      </c>
      <c r="AT87" s="61">
        <f>AT2*AT5</f>
        <v>0</v>
      </c>
      <c r="AU87" s="61">
        <f t="shared" ref="AU87" si="203">AU2*AU5</f>
        <v>0</v>
      </c>
      <c r="AV87" s="7">
        <f t="shared" si="154"/>
        <v>2369280</v>
      </c>
      <c r="AX87" s="7">
        <f>B87+H87+N87+T87+Z87+AF87+AL87+AR87</f>
        <v>70645032.006931305</v>
      </c>
      <c r="AY87" s="7">
        <f t="shared" ref="AY87:BA98" si="204">C87+I87+O87+U87+AA87+AG87+AM87+AS87</f>
        <v>0</v>
      </c>
      <c r="AZ87" s="7">
        <f t="shared" si="204"/>
        <v>0</v>
      </c>
      <c r="BA87" s="7">
        <f t="shared" si="204"/>
        <v>0</v>
      </c>
      <c r="BB87" s="7">
        <f t="shared" si="147"/>
        <v>70645032.006931305</v>
      </c>
    </row>
    <row r="88" spans="1:54" hidden="1" x14ac:dyDescent="0.25">
      <c r="A88" s="62" t="s">
        <v>201</v>
      </c>
      <c r="B88" s="61">
        <f>B3*B5</f>
        <v>0</v>
      </c>
      <c r="C88" s="61">
        <f>C3*C5</f>
        <v>0</v>
      </c>
      <c r="D88" s="61">
        <f>D3*D5</f>
        <v>0</v>
      </c>
      <c r="E88" s="61">
        <f t="shared" ref="E88:F88" si="205">E3*E5</f>
        <v>0</v>
      </c>
      <c r="F88" s="61">
        <f t="shared" si="205"/>
        <v>0</v>
      </c>
      <c r="H88" s="61">
        <f>H3*H5</f>
        <v>0</v>
      </c>
      <c r="I88" s="61">
        <f>I3*I5</f>
        <v>0</v>
      </c>
      <c r="J88" s="61">
        <f>J3*J5</f>
        <v>0</v>
      </c>
      <c r="K88" s="61">
        <f t="shared" ref="K88:L88" si="206">K3*K5</f>
        <v>0</v>
      </c>
      <c r="L88" s="61">
        <f t="shared" si="206"/>
        <v>0</v>
      </c>
      <c r="N88" s="61">
        <f>N3*N5</f>
        <v>0</v>
      </c>
      <c r="O88" s="61">
        <f>O3*O5</f>
        <v>0</v>
      </c>
      <c r="P88" s="61">
        <f>P3*P5</f>
        <v>0</v>
      </c>
      <c r="Q88" s="61">
        <f t="shared" ref="Q88:R88" si="207">Q3*Q5</f>
        <v>0</v>
      </c>
      <c r="R88" s="61">
        <f t="shared" si="207"/>
        <v>0</v>
      </c>
      <c r="T88" s="61">
        <f>T3*T5</f>
        <v>0</v>
      </c>
      <c r="U88" s="61">
        <f>U3*U5</f>
        <v>0</v>
      </c>
      <c r="V88" s="61">
        <f>V3*V5</f>
        <v>0</v>
      </c>
      <c r="W88" s="61">
        <f t="shared" ref="W88:X88" si="208">W3*W5</f>
        <v>0</v>
      </c>
      <c r="X88" s="61">
        <f t="shared" si="208"/>
        <v>0</v>
      </c>
      <c r="Z88" s="61">
        <f>Z3*Z5</f>
        <v>0</v>
      </c>
      <c r="AA88" s="61">
        <f>AA3*AA5</f>
        <v>0</v>
      </c>
      <c r="AB88" s="61">
        <f>AB3*AB5</f>
        <v>0</v>
      </c>
      <c r="AC88" s="61">
        <f t="shared" ref="AC88:AD88" si="209">AC3*AC5</f>
        <v>0</v>
      </c>
      <c r="AD88" s="61">
        <f t="shared" si="209"/>
        <v>0</v>
      </c>
      <c r="AF88" s="61">
        <f>AF3*AF5</f>
        <v>0</v>
      </c>
      <c r="AG88" s="61">
        <f>AG3*AG5</f>
        <v>0</v>
      </c>
      <c r="AH88" s="61">
        <f>AH3*AH5</f>
        <v>0</v>
      </c>
      <c r="AI88" s="61">
        <f t="shared" ref="AI88:AJ88" si="210">AI3*AI5</f>
        <v>0</v>
      </c>
      <c r="AJ88" s="61">
        <f t="shared" si="210"/>
        <v>0</v>
      </c>
      <c r="AL88" s="61">
        <f>AL3*AL5</f>
        <v>0</v>
      </c>
      <c r="AM88" s="61">
        <f>AM3*AM5</f>
        <v>0</v>
      </c>
      <c r="AN88" s="61">
        <f>AN3*AN5</f>
        <v>0</v>
      </c>
      <c r="AO88" s="61">
        <f t="shared" ref="AO88:AP88" si="211">AO3*AO5</f>
        <v>0</v>
      </c>
      <c r="AP88" s="61">
        <f t="shared" si="211"/>
        <v>0</v>
      </c>
      <c r="AR88" s="61">
        <f>AR3*AR5</f>
        <v>0</v>
      </c>
      <c r="AS88" s="61">
        <f>AS3*AS5</f>
        <v>0</v>
      </c>
      <c r="AT88" s="61">
        <f>AT3*AT5</f>
        <v>0</v>
      </c>
      <c r="AU88" s="61">
        <f t="shared" ref="AR88:AU98" si="212">AU75</f>
        <v>15000</v>
      </c>
      <c r="AV88" s="7">
        <f t="shared" si="154"/>
        <v>15000</v>
      </c>
      <c r="AX88" s="7">
        <f t="shared" ref="AX88:AX98" si="213">B88+H88+N88+T88+Z88+AF88+AL88+AR88</f>
        <v>0</v>
      </c>
      <c r="AY88" s="7">
        <f t="shared" si="204"/>
        <v>0</v>
      </c>
      <c r="AZ88" s="7">
        <f t="shared" si="204"/>
        <v>0</v>
      </c>
      <c r="BA88" s="7">
        <f t="shared" si="204"/>
        <v>15000</v>
      </c>
      <c r="BB88" s="7">
        <f t="shared" si="147"/>
        <v>15000</v>
      </c>
    </row>
    <row r="89" spans="1:54" hidden="1" x14ac:dyDescent="0.25">
      <c r="A89" s="62" t="s">
        <v>71</v>
      </c>
      <c r="B89" s="61">
        <f t="shared" ref="B89:F98" si="214">B76</f>
        <v>0</v>
      </c>
      <c r="C89" s="61">
        <f t="shared" si="214"/>
        <v>0</v>
      </c>
      <c r="D89" s="61">
        <f t="shared" si="214"/>
        <v>0</v>
      </c>
      <c r="E89" s="61">
        <f t="shared" si="214"/>
        <v>224078.40000000002</v>
      </c>
      <c r="F89" s="61">
        <f t="shared" si="214"/>
        <v>224078.40000000002</v>
      </c>
      <c r="H89" s="61">
        <f t="shared" ref="H89:L98" si="215">H76</f>
        <v>0</v>
      </c>
      <c r="I89" s="61">
        <f t="shared" si="215"/>
        <v>0</v>
      </c>
      <c r="J89" s="61">
        <f t="shared" si="215"/>
        <v>0</v>
      </c>
      <c r="K89" s="61">
        <f t="shared" si="215"/>
        <v>615888</v>
      </c>
      <c r="L89" s="61">
        <f t="shared" si="215"/>
        <v>615888</v>
      </c>
      <c r="N89" s="61">
        <f t="shared" ref="N89:R98" si="216">N76</f>
        <v>0</v>
      </c>
      <c r="O89" s="61">
        <f t="shared" si="216"/>
        <v>0</v>
      </c>
      <c r="P89" s="61">
        <f t="shared" si="216"/>
        <v>0</v>
      </c>
      <c r="Q89" s="61">
        <f t="shared" si="216"/>
        <v>192024</v>
      </c>
      <c r="R89" s="61">
        <f t="shared" si="216"/>
        <v>192024</v>
      </c>
      <c r="T89" s="61">
        <f t="shared" ref="T89:X98" si="217">T76</f>
        <v>0</v>
      </c>
      <c r="U89" s="61">
        <f t="shared" si="217"/>
        <v>0</v>
      </c>
      <c r="V89" s="61">
        <f t="shared" si="217"/>
        <v>0</v>
      </c>
      <c r="W89" s="61">
        <f t="shared" si="217"/>
        <v>114817.5</v>
      </c>
      <c r="X89" s="61">
        <f t="shared" si="217"/>
        <v>114817.5</v>
      </c>
      <c r="Z89" s="61">
        <f t="shared" ref="Z89:AD98" si="218">Z76</f>
        <v>0</v>
      </c>
      <c r="AA89" s="61">
        <f t="shared" si="218"/>
        <v>0</v>
      </c>
      <c r="AB89" s="61">
        <f t="shared" si="218"/>
        <v>0</v>
      </c>
      <c r="AC89" s="61">
        <f t="shared" si="218"/>
        <v>368172</v>
      </c>
      <c r="AD89" s="61">
        <f t="shared" si="218"/>
        <v>368172</v>
      </c>
      <c r="AF89" s="61">
        <f t="shared" ref="AF89:AJ98" si="219">AF76</f>
        <v>0</v>
      </c>
      <c r="AG89" s="61">
        <f t="shared" si="219"/>
        <v>0</v>
      </c>
      <c r="AH89" s="61">
        <f t="shared" si="219"/>
        <v>0</v>
      </c>
      <c r="AI89" s="61">
        <f t="shared" si="219"/>
        <v>425779.20000000001</v>
      </c>
      <c r="AJ89" s="61">
        <f t="shared" si="219"/>
        <v>425779.20000000001</v>
      </c>
      <c r="AL89" s="61">
        <f t="shared" ref="AL89:AP98" si="220">AL76</f>
        <v>0</v>
      </c>
      <c r="AM89" s="61">
        <f t="shared" si="220"/>
        <v>0</v>
      </c>
      <c r="AN89" s="61">
        <f t="shared" si="220"/>
        <v>0</v>
      </c>
      <c r="AO89" s="61">
        <f t="shared" si="220"/>
        <v>0</v>
      </c>
      <c r="AP89" s="61">
        <f t="shared" si="220"/>
        <v>0</v>
      </c>
      <c r="AR89" s="61">
        <f t="shared" si="212"/>
        <v>0</v>
      </c>
      <c r="AS89" s="61">
        <f t="shared" si="212"/>
        <v>0</v>
      </c>
      <c r="AT89" s="61">
        <f t="shared" si="212"/>
        <v>0</v>
      </c>
      <c r="AU89" s="61">
        <f t="shared" si="212"/>
        <v>74880</v>
      </c>
      <c r="AV89" s="7">
        <f t="shared" si="154"/>
        <v>74880</v>
      </c>
      <c r="AX89" s="7">
        <f t="shared" si="213"/>
        <v>0</v>
      </c>
      <c r="AY89" s="7">
        <f t="shared" si="204"/>
        <v>0</v>
      </c>
      <c r="AZ89" s="7">
        <f t="shared" si="204"/>
        <v>0</v>
      </c>
      <c r="BA89" s="7">
        <f t="shared" si="204"/>
        <v>2015639.0999999999</v>
      </c>
      <c r="BB89" s="7">
        <f t="shared" si="147"/>
        <v>2015639.0999999999</v>
      </c>
    </row>
    <row r="90" spans="1:54" hidden="1" x14ac:dyDescent="0.25">
      <c r="A90" s="62" t="s">
        <v>72</v>
      </c>
      <c r="B90" s="61">
        <f t="shared" si="214"/>
        <v>0</v>
      </c>
      <c r="C90" s="61">
        <f t="shared" si="214"/>
        <v>0</v>
      </c>
      <c r="D90" s="61">
        <f t="shared" si="214"/>
        <v>95942.602892102339</v>
      </c>
      <c r="E90" s="61">
        <f t="shared" si="214"/>
        <v>0</v>
      </c>
      <c r="F90" s="61">
        <f t="shared" si="214"/>
        <v>95942.602892102339</v>
      </c>
      <c r="H90" s="61">
        <f t="shared" si="215"/>
        <v>0</v>
      </c>
      <c r="I90" s="61">
        <f t="shared" si="215"/>
        <v>0</v>
      </c>
      <c r="J90" s="61">
        <f t="shared" si="215"/>
        <v>294881.01604278077</v>
      </c>
      <c r="K90" s="61">
        <f t="shared" si="215"/>
        <v>0</v>
      </c>
      <c r="L90" s="61">
        <f t="shared" si="215"/>
        <v>294881.01604278077</v>
      </c>
      <c r="N90" s="61">
        <f t="shared" si="216"/>
        <v>0</v>
      </c>
      <c r="O90" s="61">
        <f t="shared" si="216"/>
        <v>0</v>
      </c>
      <c r="P90" s="61">
        <f t="shared" si="216"/>
        <v>70300</v>
      </c>
      <c r="Q90" s="61">
        <f t="shared" si="216"/>
        <v>0</v>
      </c>
      <c r="R90" s="61">
        <f t="shared" si="216"/>
        <v>70300</v>
      </c>
      <c r="T90" s="61">
        <f t="shared" si="217"/>
        <v>0</v>
      </c>
      <c r="U90" s="61">
        <f t="shared" si="217"/>
        <v>0</v>
      </c>
      <c r="V90" s="61">
        <f t="shared" si="217"/>
        <v>103969.14095079232</v>
      </c>
      <c r="W90" s="61">
        <f t="shared" si="217"/>
        <v>0</v>
      </c>
      <c r="X90" s="61">
        <f t="shared" si="217"/>
        <v>103969.14095079232</v>
      </c>
      <c r="Z90" s="61">
        <f t="shared" si="218"/>
        <v>0</v>
      </c>
      <c r="AA90" s="61">
        <f t="shared" si="218"/>
        <v>0</v>
      </c>
      <c r="AB90" s="61">
        <f t="shared" si="218"/>
        <v>189265.90909090909</v>
      </c>
      <c r="AC90" s="61">
        <f t="shared" si="218"/>
        <v>0</v>
      </c>
      <c r="AD90" s="61">
        <f t="shared" si="218"/>
        <v>189265.90909090909</v>
      </c>
      <c r="AF90" s="61">
        <f t="shared" si="219"/>
        <v>0</v>
      </c>
      <c r="AG90" s="61">
        <f t="shared" si="219"/>
        <v>0</v>
      </c>
      <c r="AH90" s="61">
        <f t="shared" si="219"/>
        <v>92910</v>
      </c>
      <c r="AI90" s="61">
        <f t="shared" si="219"/>
        <v>0</v>
      </c>
      <c r="AJ90" s="61">
        <f t="shared" si="219"/>
        <v>92910</v>
      </c>
      <c r="AL90" s="61">
        <f t="shared" si="220"/>
        <v>0</v>
      </c>
      <c r="AM90" s="61">
        <f t="shared" si="220"/>
        <v>0</v>
      </c>
      <c r="AN90" s="61">
        <f t="shared" si="220"/>
        <v>0</v>
      </c>
      <c r="AO90" s="61">
        <f t="shared" si="220"/>
        <v>0</v>
      </c>
      <c r="AP90" s="61">
        <f t="shared" si="220"/>
        <v>0</v>
      </c>
      <c r="AR90" s="61">
        <f t="shared" si="212"/>
        <v>0</v>
      </c>
      <c r="AS90" s="61">
        <f t="shared" si="212"/>
        <v>0</v>
      </c>
      <c r="AT90" s="61">
        <f t="shared" si="212"/>
        <v>23750</v>
      </c>
      <c r="AU90" s="61">
        <f t="shared" si="212"/>
        <v>0</v>
      </c>
      <c r="AV90" s="7">
        <f t="shared" si="154"/>
        <v>23750</v>
      </c>
      <c r="AX90" s="7">
        <f t="shared" si="213"/>
        <v>0</v>
      </c>
      <c r="AY90" s="7">
        <f t="shared" si="204"/>
        <v>0</v>
      </c>
      <c r="AZ90" s="7">
        <f t="shared" si="204"/>
        <v>871018.66897658445</v>
      </c>
      <c r="BA90" s="7">
        <f t="shared" si="204"/>
        <v>0</v>
      </c>
      <c r="BB90" s="7">
        <f t="shared" si="147"/>
        <v>871018.66897658445</v>
      </c>
    </row>
    <row r="91" spans="1:54" hidden="1" x14ac:dyDescent="0.25">
      <c r="A91" s="141" t="s">
        <v>73</v>
      </c>
      <c r="B91" s="61">
        <f t="shared" si="214"/>
        <v>0</v>
      </c>
      <c r="C91" s="61">
        <f t="shared" si="214"/>
        <v>0</v>
      </c>
      <c r="D91" s="61">
        <f t="shared" si="214"/>
        <v>257530.1446051168</v>
      </c>
      <c r="E91" s="61">
        <f t="shared" si="214"/>
        <v>0</v>
      </c>
      <c r="F91" s="61">
        <f t="shared" si="214"/>
        <v>257530.1446051168</v>
      </c>
      <c r="H91" s="61">
        <f t="shared" si="215"/>
        <v>0</v>
      </c>
      <c r="I91" s="61">
        <f t="shared" si="215"/>
        <v>0</v>
      </c>
      <c r="J91" s="61">
        <f t="shared" si="215"/>
        <v>791522.72727272741</v>
      </c>
      <c r="K91" s="61">
        <f t="shared" si="215"/>
        <v>0</v>
      </c>
      <c r="L91" s="61">
        <f t="shared" si="215"/>
        <v>791522.72727272741</v>
      </c>
      <c r="N91" s="61">
        <f t="shared" si="216"/>
        <v>0</v>
      </c>
      <c r="O91" s="61">
        <f t="shared" si="216"/>
        <v>0</v>
      </c>
      <c r="P91" s="61">
        <f t="shared" si="216"/>
        <v>188700</v>
      </c>
      <c r="Q91" s="61">
        <f t="shared" si="216"/>
        <v>0</v>
      </c>
      <c r="R91" s="61">
        <f t="shared" si="216"/>
        <v>188700</v>
      </c>
      <c r="T91" s="61">
        <f t="shared" si="217"/>
        <v>0</v>
      </c>
      <c r="U91" s="61">
        <f t="shared" si="217"/>
        <v>0</v>
      </c>
      <c r="V91" s="61">
        <f t="shared" si="217"/>
        <v>279075.06255212676</v>
      </c>
      <c r="W91" s="61">
        <f t="shared" si="217"/>
        <v>0</v>
      </c>
      <c r="X91" s="61">
        <f t="shared" si="217"/>
        <v>279075.06255212676</v>
      </c>
      <c r="Z91" s="61">
        <f t="shared" si="218"/>
        <v>0</v>
      </c>
      <c r="AA91" s="61">
        <f t="shared" si="218"/>
        <v>0</v>
      </c>
      <c r="AB91" s="61">
        <f t="shared" si="218"/>
        <v>508029.54545454541</v>
      </c>
      <c r="AC91" s="61">
        <f t="shared" si="218"/>
        <v>0</v>
      </c>
      <c r="AD91" s="61">
        <f t="shared" si="218"/>
        <v>508029.54545454541</v>
      </c>
      <c r="AF91" s="61">
        <f t="shared" si="219"/>
        <v>0</v>
      </c>
      <c r="AG91" s="61">
        <f t="shared" si="219"/>
        <v>0</v>
      </c>
      <c r="AH91" s="61">
        <f t="shared" si="219"/>
        <v>249390</v>
      </c>
      <c r="AI91" s="61">
        <f t="shared" si="219"/>
        <v>0</v>
      </c>
      <c r="AJ91" s="61">
        <f t="shared" si="219"/>
        <v>249390</v>
      </c>
      <c r="AL91" s="61">
        <f t="shared" si="220"/>
        <v>0</v>
      </c>
      <c r="AM91" s="61">
        <f t="shared" si="220"/>
        <v>0</v>
      </c>
      <c r="AN91" s="61">
        <f t="shared" si="220"/>
        <v>0</v>
      </c>
      <c r="AO91" s="61">
        <f t="shared" si="220"/>
        <v>0</v>
      </c>
      <c r="AP91" s="61">
        <f t="shared" si="220"/>
        <v>0</v>
      </c>
      <c r="AR91" s="61">
        <f t="shared" si="212"/>
        <v>0</v>
      </c>
      <c r="AS91" s="61">
        <f t="shared" si="212"/>
        <v>0</v>
      </c>
      <c r="AT91" s="61">
        <f t="shared" si="212"/>
        <v>60000</v>
      </c>
      <c r="AU91" s="61">
        <f t="shared" si="212"/>
        <v>0</v>
      </c>
      <c r="AV91" s="7">
        <f t="shared" si="154"/>
        <v>60000</v>
      </c>
      <c r="AX91" s="7">
        <f t="shared" si="213"/>
        <v>0</v>
      </c>
      <c r="AY91" s="7">
        <f t="shared" si="204"/>
        <v>0</v>
      </c>
      <c r="AZ91" s="7">
        <f t="shared" si="204"/>
        <v>2334247.4798845164</v>
      </c>
      <c r="BA91" s="7">
        <f t="shared" si="204"/>
        <v>0</v>
      </c>
      <c r="BB91" s="7">
        <f t="shared" si="147"/>
        <v>2334247.4798845164</v>
      </c>
    </row>
    <row r="92" spans="1:54" hidden="1" x14ac:dyDescent="0.25">
      <c r="A92" s="62" t="s">
        <v>74</v>
      </c>
      <c r="B92" s="61">
        <f t="shared" si="214"/>
        <v>0</v>
      </c>
      <c r="C92" s="61">
        <f t="shared" si="214"/>
        <v>25534.371523915463</v>
      </c>
      <c r="D92" s="61">
        <f t="shared" si="214"/>
        <v>0</v>
      </c>
      <c r="E92" s="61">
        <f t="shared" si="214"/>
        <v>0</v>
      </c>
      <c r="F92" s="61">
        <f t="shared" si="214"/>
        <v>25534.371523915463</v>
      </c>
      <c r="H92" s="61">
        <f t="shared" si="215"/>
        <v>0</v>
      </c>
      <c r="I92" s="61">
        <f t="shared" si="215"/>
        <v>58763.823529411762</v>
      </c>
      <c r="J92" s="61">
        <f t="shared" si="215"/>
        <v>0</v>
      </c>
      <c r="K92" s="61">
        <f t="shared" si="215"/>
        <v>0</v>
      </c>
      <c r="L92" s="61">
        <f t="shared" si="215"/>
        <v>58763.823529411762</v>
      </c>
      <c r="N92" s="61">
        <f t="shared" si="216"/>
        <v>0</v>
      </c>
      <c r="O92" s="61">
        <f t="shared" si="216"/>
        <v>29430</v>
      </c>
      <c r="P92" s="61">
        <f t="shared" si="216"/>
        <v>0</v>
      </c>
      <c r="Q92" s="61">
        <f t="shared" si="216"/>
        <v>0</v>
      </c>
      <c r="R92" s="61">
        <f t="shared" si="216"/>
        <v>29430</v>
      </c>
      <c r="T92" s="61">
        <f t="shared" si="217"/>
        <v>0</v>
      </c>
      <c r="U92" s="61">
        <f t="shared" si="217"/>
        <v>13254.545454545456</v>
      </c>
      <c r="V92" s="61">
        <f t="shared" si="217"/>
        <v>0</v>
      </c>
      <c r="W92" s="61">
        <f t="shared" si="217"/>
        <v>0</v>
      </c>
      <c r="X92" s="61">
        <f t="shared" si="217"/>
        <v>13254.545454545456</v>
      </c>
      <c r="Z92" s="61">
        <f t="shared" si="218"/>
        <v>0</v>
      </c>
      <c r="AA92" s="61">
        <f t="shared" si="218"/>
        <v>43812.523923444976</v>
      </c>
      <c r="AB92" s="61">
        <f t="shared" si="218"/>
        <v>0</v>
      </c>
      <c r="AC92" s="61">
        <f t="shared" si="218"/>
        <v>0</v>
      </c>
      <c r="AD92" s="61">
        <f t="shared" si="218"/>
        <v>43812.523923444976</v>
      </c>
      <c r="AF92" s="61">
        <f t="shared" si="219"/>
        <v>0</v>
      </c>
      <c r="AG92" s="61">
        <f t="shared" si="219"/>
        <v>386432.25</v>
      </c>
      <c r="AH92" s="61">
        <f t="shared" si="219"/>
        <v>0</v>
      </c>
      <c r="AI92" s="61">
        <f t="shared" si="219"/>
        <v>0</v>
      </c>
      <c r="AJ92" s="61">
        <f t="shared" si="219"/>
        <v>386432.25</v>
      </c>
      <c r="AL92" s="61">
        <f t="shared" si="220"/>
        <v>0</v>
      </c>
      <c r="AM92" s="61">
        <f t="shared" si="220"/>
        <v>0</v>
      </c>
      <c r="AN92" s="61">
        <f t="shared" si="220"/>
        <v>0</v>
      </c>
      <c r="AO92" s="61">
        <f t="shared" si="220"/>
        <v>0</v>
      </c>
      <c r="AP92" s="61">
        <f t="shared" si="220"/>
        <v>0</v>
      </c>
      <c r="AR92" s="61">
        <f t="shared" si="212"/>
        <v>0</v>
      </c>
      <c r="AS92" s="61">
        <f t="shared" si="212"/>
        <v>0</v>
      </c>
      <c r="AT92" s="61">
        <f t="shared" si="212"/>
        <v>0</v>
      </c>
      <c r="AU92" s="61">
        <f t="shared" si="212"/>
        <v>0</v>
      </c>
      <c r="AV92" s="7">
        <f t="shared" si="154"/>
        <v>0</v>
      </c>
      <c r="AX92" s="7">
        <f t="shared" si="213"/>
        <v>0</v>
      </c>
      <c r="AY92" s="7">
        <f t="shared" si="204"/>
        <v>557227.51443131769</v>
      </c>
      <c r="AZ92" s="7">
        <f t="shared" si="204"/>
        <v>0</v>
      </c>
      <c r="BA92" s="7">
        <f t="shared" si="204"/>
        <v>0</v>
      </c>
      <c r="BB92" s="7">
        <f t="shared" si="147"/>
        <v>557227.51443131769</v>
      </c>
    </row>
    <row r="93" spans="1:54" hidden="1" x14ac:dyDescent="0.25">
      <c r="A93" s="62" t="s">
        <v>75</v>
      </c>
      <c r="B93" s="61">
        <f t="shared" si="214"/>
        <v>0</v>
      </c>
      <c r="C93" s="61">
        <f t="shared" si="214"/>
        <v>38847.644048943272</v>
      </c>
      <c r="D93" s="61">
        <f t="shared" si="214"/>
        <v>0</v>
      </c>
      <c r="E93" s="61">
        <f t="shared" si="214"/>
        <v>0</v>
      </c>
      <c r="F93" s="61">
        <f t="shared" si="214"/>
        <v>38847.644048943272</v>
      </c>
      <c r="H93" s="61">
        <f t="shared" si="215"/>
        <v>0</v>
      </c>
      <c r="I93" s="61">
        <f t="shared" si="215"/>
        <v>48026.124777183606</v>
      </c>
      <c r="J93" s="61">
        <f t="shared" si="215"/>
        <v>0</v>
      </c>
      <c r="K93" s="61">
        <f t="shared" si="215"/>
        <v>0</v>
      </c>
      <c r="L93" s="61">
        <f t="shared" si="215"/>
        <v>48026.124777183606</v>
      </c>
      <c r="N93" s="61">
        <f t="shared" si="216"/>
        <v>0</v>
      </c>
      <c r="O93" s="61">
        <f t="shared" si="216"/>
        <v>39008</v>
      </c>
      <c r="P93" s="61">
        <f t="shared" si="216"/>
        <v>0</v>
      </c>
      <c r="Q93" s="61">
        <f t="shared" si="216"/>
        <v>0</v>
      </c>
      <c r="R93" s="61">
        <f t="shared" si="216"/>
        <v>39008</v>
      </c>
      <c r="T93" s="61">
        <f t="shared" si="217"/>
        <v>0</v>
      </c>
      <c r="U93" s="61">
        <f t="shared" si="217"/>
        <v>66167.339449541279</v>
      </c>
      <c r="V93" s="61">
        <f t="shared" si="217"/>
        <v>0</v>
      </c>
      <c r="W93" s="61">
        <f t="shared" si="217"/>
        <v>0</v>
      </c>
      <c r="X93" s="61">
        <f t="shared" si="217"/>
        <v>66167.339449541279</v>
      </c>
      <c r="Z93" s="61">
        <f t="shared" si="218"/>
        <v>0</v>
      </c>
      <c r="AA93" s="61">
        <f t="shared" si="218"/>
        <v>63230.775119617218</v>
      </c>
      <c r="AB93" s="61">
        <f t="shared" si="218"/>
        <v>0</v>
      </c>
      <c r="AC93" s="61">
        <f t="shared" si="218"/>
        <v>0</v>
      </c>
      <c r="AD93" s="61">
        <f t="shared" si="218"/>
        <v>63230.775119617218</v>
      </c>
      <c r="AF93" s="61">
        <f t="shared" si="219"/>
        <v>0</v>
      </c>
      <c r="AG93" s="61">
        <f t="shared" si="219"/>
        <v>17278</v>
      </c>
      <c r="AH93" s="61">
        <f t="shared" si="219"/>
        <v>0</v>
      </c>
      <c r="AI93" s="61">
        <f t="shared" si="219"/>
        <v>0</v>
      </c>
      <c r="AJ93" s="61">
        <f t="shared" si="219"/>
        <v>17278</v>
      </c>
      <c r="AL93" s="61">
        <f t="shared" si="220"/>
        <v>0</v>
      </c>
      <c r="AM93" s="61">
        <f t="shared" si="220"/>
        <v>0</v>
      </c>
      <c r="AN93" s="61">
        <f t="shared" si="220"/>
        <v>0</v>
      </c>
      <c r="AO93" s="61">
        <f t="shared" si="220"/>
        <v>0</v>
      </c>
      <c r="AP93" s="61">
        <f t="shared" si="220"/>
        <v>0</v>
      </c>
      <c r="AR93" s="61">
        <f t="shared" si="212"/>
        <v>0</v>
      </c>
      <c r="AS93" s="61">
        <f t="shared" si="212"/>
        <v>0</v>
      </c>
      <c r="AT93" s="61">
        <f t="shared" si="212"/>
        <v>0</v>
      </c>
      <c r="AU93" s="61">
        <f t="shared" si="212"/>
        <v>0</v>
      </c>
      <c r="AV93" s="7">
        <f t="shared" si="154"/>
        <v>0</v>
      </c>
      <c r="AX93" s="7">
        <f t="shared" si="213"/>
        <v>0</v>
      </c>
      <c r="AY93" s="7">
        <f t="shared" si="204"/>
        <v>272557.8833952854</v>
      </c>
      <c r="AZ93" s="7">
        <f t="shared" si="204"/>
        <v>0</v>
      </c>
      <c r="BA93" s="7">
        <f t="shared" si="204"/>
        <v>0</v>
      </c>
      <c r="BB93" s="7">
        <f t="shared" si="147"/>
        <v>272557.8833952854</v>
      </c>
    </row>
    <row r="94" spans="1:54" hidden="1" x14ac:dyDescent="0.25">
      <c r="A94" s="62" t="s">
        <v>76</v>
      </c>
      <c r="B94" s="61">
        <f t="shared" si="214"/>
        <v>0</v>
      </c>
      <c r="C94" s="61">
        <f t="shared" si="214"/>
        <v>58213.161290322576</v>
      </c>
      <c r="D94" s="61">
        <f t="shared" si="214"/>
        <v>0</v>
      </c>
      <c r="E94" s="61">
        <f t="shared" si="214"/>
        <v>0</v>
      </c>
      <c r="F94" s="61">
        <f t="shared" si="214"/>
        <v>58213.161290322576</v>
      </c>
      <c r="H94" s="61">
        <f t="shared" si="215"/>
        <v>0</v>
      </c>
      <c r="I94" s="61">
        <f t="shared" si="215"/>
        <v>135701.90196078434</v>
      </c>
      <c r="J94" s="61">
        <f t="shared" si="215"/>
        <v>0</v>
      </c>
      <c r="K94" s="61">
        <f t="shared" si="215"/>
        <v>0</v>
      </c>
      <c r="L94" s="61">
        <f t="shared" si="215"/>
        <v>135701.90196078434</v>
      </c>
      <c r="N94" s="61">
        <f t="shared" si="216"/>
        <v>0</v>
      </c>
      <c r="O94" s="61">
        <f t="shared" si="216"/>
        <v>58081</v>
      </c>
      <c r="P94" s="61">
        <f t="shared" si="216"/>
        <v>0</v>
      </c>
      <c r="Q94" s="61">
        <f t="shared" si="216"/>
        <v>0</v>
      </c>
      <c r="R94" s="61">
        <f t="shared" si="216"/>
        <v>58081</v>
      </c>
      <c r="T94" s="61">
        <f t="shared" si="217"/>
        <v>0</v>
      </c>
      <c r="U94" s="61">
        <f t="shared" si="217"/>
        <v>31992.297748123437</v>
      </c>
      <c r="V94" s="61">
        <f t="shared" si="217"/>
        <v>0</v>
      </c>
      <c r="W94" s="61">
        <f t="shared" si="217"/>
        <v>0</v>
      </c>
      <c r="X94" s="61">
        <f t="shared" si="217"/>
        <v>31992.297748123437</v>
      </c>
      <c r="Z94" s="61">
        <f t="shared" si="218"/>
        <v>0</v>
      </c>
      <c r="AA94" s="61">
        <f t="shared" si="218"/>
        <v>68791.662679425819</v>
      </c>
      <c r="AB94" s="61">
        <f t="shared" si="218"/>
        <v>0</v>
      </c>
      <c r="AC94" s="61">
        <f t="shared" si="218"/>
        <v>0</v>
      </c>
      <c r="AD94" s="61">
        <f t="shared" si="218"/>
        <v>68791.662679425819</v>
      </c>
      <c r="AF94" s="61">
        <f t="shared" si="219"/>
        <v>0</v>
      </c>
      <c r="AG94" s="61">
        <f t="shared" si="219"/>
        <v>48809.127499999995</v>
      </c>
      <c r="AH94" s="61">
        <f t="shared" si="219"/>
        <v>0</v>
      </c>
      <c r="AI94" s="61">
        <f t="shared" si="219"/>
        <v>0</v>
      </c>
      <c r="AJ94" s="61">
        <f t="shared" si="219"/>
        <v>48809.127499999995</v>
      </c>
      <c r="AL94" s="61">
        <f t="shared" si="220"/>
        <v>0</v>
      </c>
      <c r="AM94" s="61">
        <f t="shared" si="220"/>
        <v>0</v>
      </c>
      <c r="AN94" s="61">
        <f t="shared" si="220"/>
        <v>0</v>
      </c>
      <c r="AO94" s="61">
        <f t="shared" si="220"/>
        <v>0</v>
      </c>
      <c r="AP94" s="61">
        <f t="shared" si="220"/>
        <v>0</v>
      </c>
      <c r="AR94" s="61">
        <f t="shared" si="212"/>
        <v>0</v>
      </c>
      <c r="AS94" s="61">
        <f t="shared" si="212"/>
        <v>24100</v>
      </c>
      <c r="AT94" s="61">
        <f t="shared" si="212"/>
        <v>0</v>
      </c>
      <c r="AU94" s="61">
        <f t="shared" si="212"/>
        <v>0</v>
      </c>
      <c r="AV94" s="7">
        <f t="shared" si="154"/>
        <v>24100</v>
      </c>
      <c r="AX94" s="7">
        <f t="shared" si="213"/>
        <v>0</v>
      </c>
      <c r="AY94" s="7">
        <f t="shared" si="204"/>
        <v>425689.1511786562</v>
      </c>
      <c r="AZ94" s="7">
        <f t="shared" si="204"/>
        <v>0</v>
      </c>
      <c r="BA94" s="7">
        <f t="shared" si="204"/>
        <v>0</v>
      </c>
      <c r="BB94" s="7">
        <f t="shared" si="147"/>
        <v>425689.1511786562</v>
      </c>
    </row>
    <row r="95" spans="1:54" hidden="1" x14ac:dyDescent="0.25">
      <c r="A95" s="62" t="s">
        <v>202</v>
      </c>
      <c r="B95" s="61">
        <f t="shared" si="214"/>
        <v>0</v>
      </c>
      <c r="C95" s="61">
        <f t="shared" si="214"/>
        <v>0</v>
      </c>
      <c r="D95" s="61">
        <f t="shared" si="214"/>
        <v>0</v>
      </c>
      <c r="E95" s="61">
        <f t="shared" si="214"/>
        <v>0</v>
      </c>
      <c r="F95" s="61">
        <f t="shared" si="214"/>
        <v>0</v>
      </c>
      <c r="H95" s="61">
        <f t="shared" si="215"/>
        <v>368000</v>
      </c>
      <c r="I95" s="61">
        <f t="shared" si="215"/>
        <v>0</v>
      </c>
      <c r="J95" s="61">
        <f t="shared" si="215"/>
        <v>0</v>
      </c>
      <c r="K95" s="61">
        <f t="shared" si="215"/>
        <v>0</v>
      </c>
      <c r="L95" s="61">
        <f t="shared" si="215"/>
        <v>368000</v>
      </c>
      <c r="N95" s="61">
        <f t="shared" si="216"/>
        <v>0</v>
      </c>
      <c r="O95" s="61">
        <f t="shared" si="216"/>
        <v>0</v>
      </c>
      <c r="P95" s="61">
        <f t="shared" si="216"/>
        <v>0</v>
      </c>
      <c r="Q95" s="61">
        <f t="shared" si="216"/>
        <v>0</v>
      </c>
      <c r="R95" s="61">
        <f t="shared" si="216"/>
        <v>0</v>
      </c>
      <c r="T95" s="61">
        <f t="shared" si="217"/>
        <v>0</v>
      </c>
      <c r="U95" s="61">
        <f t="shared" si="217"/>
        <v>0</v>
      </c>
      <c r="V95" s="61">
        <f t="shared" si="217"/>
        <v>0</v>
      </c>
      <c r="W95" s="61">
        <f t="shared" si="217"/>
        <v>0</v>
      </c>
      <c r="X95" s="61">
        <f t="shared" si="217"/>
        <v>0</v>
      </c>
      <c r="Z95" s="61">
        <f t="shared" si="218"/>
        <v>0</v>
      </c>
      <c r="AA95" s="61">
        <f t="shared" si="218"/>
        <v>0</v>
      </c>
      <c r="AB95" s="61">
        <f t="shared" si="218"/>
        <v>0</v>
      </c>
      <c r="AC95" s="61">
        <f t="shared" si="218"/>
        <v>0</v>
      </c>
      <c r="AD95" s="61">
        <f t="shared" si="218"/>
        <v>0</v>
      </c>
      <c r="AF95" s="61">
        <f t="shared" si="219"/>
        <v>0</v>
      </c>
      <c r="AG95" s="61">
        <f t="shared" si="219"/>
        <v>0</v>
      </c>
      <c r="AH95" s="61">
        <f t="shared" si="219"/>
        <v>0</v>
      </c>
      <c r="AI95" s="61">
        <f t="shared" si="219"/>
        <v>0</v>
      </c>
      <c r="AJ95" s="61">
        <f t="shared" si="219"/>
        <v>0</v>
      </c>
      <c r="AL95" s="61">
        <f t="shared" si="220"/>
        <v>0</v>
      </c>
      <c r="AM95" s="61">
        <f t="shared" si="220"/>
        <v>0</v>
      </c>
      <c r="AN95" s="61">
        <f t="shared" si="220"/>
        <v>0</v>
      </c>
      <c r="AO95" s="61">
        <f t="shared" si="220"/>
        <v>0</v>
      </c>
      <c r="AP95" s="61">
        <f t="shared" si="220"/>
        <v>0</v>
      </c>
      <c r="AR95" s="61">
        <f t="shared" si="212"/>
        <v>0</v>
      </c>
      <c r="AS95" s="61">
        <f t="shared" si="212"/>
        <v>0</v>
      </c>
      <c r="AT95" s="61">
        <f t="shared" si="212"/>
        <v>0</v>
      </c>
      <c r="AU95" s="61">
        <f t="shared" si="212"/>
        <v>0</v>
      </c>
      <c r="AV95" s="7">
        <f t="shared" si="154"/>
        <v>0</v>
      </c>
      <c r="AX95" s="7">
        <f t="shared" si="213"/>
        <v>368000</v>
      </c>
      <c r="AY95" s="7">
        <f t="shared" si="204"/>
        <v>0</v>
      </c>
      <c r="AZ95" s="7">
        <f t="shared" si="204"/>
        <v>0</v>
      </c>
      <c r="BA95" s="7">
        <f t="shared" si="204"/>
        <v>0</v>
      </c>
      <c r="BB95" s="7">
        <f t="shared" si="147"/>
        <v>368000</v>
      </c>
    </row>
    <row r="96" spans="1:54" hidden="1" x14ac:dyDescent="0.25">
      <c r="A96" s="62" t="s">
        <v>203</v>
      </c>
      <c r="B96" s="61">
        <f t="shared" si="214"/>
        <v>0</v>
      </c>
      <c r="C96" s="61">
        <f t="shared" si="214"/>
        <v>0</v>
      </c>
      <c r="D96" s="61">
        <f t="shared" si="214"/>
        <v>0</v>
      </c>
      <c r="E96" s="61">
        <f t="shared" si="214"/>
        <v>0</v>
      </c>
      <c r="F96" s="61">
        <f t="shared" si="214"/>
        <v>0</v>
      </c>
      <c r="H96" s="61">
        <f t="shared" si="215"/>
        <v>0</v>
      </c>
      <c r="I96" s="61">
        <f t="shared" si="215"/>
        <v>0</v>
      </c>
      <c r="J96" s="61">
        <f t="shared" si="215"/>
        <v>0</v>
      </c>
      <c r="K96" s="61">
        <f t="shared" si="215"/>
        <v>0</v>
      </c>
      <c r="L96" s="61">
        <f t="shared" si="215"/>
        <v>0</v>
      </c>
      <c r="N96" s="61">
        <f t="shared" si="216"/>
        <v>0</v>
      </c>
      <c r="O96" s="61">
        <f t="shared" si="216"/>
        <v>0</v>
      </c>
      <c r="P96" s="61">
        <f t="shared" si="216"/>
        <v>0</v>
      </c>
      <c r="Q96" s="61">
        <f t="shared" si="216"/>
        <v>0</v>
      </c>
      <c r="R96" s="61">
        <f t="shared" si="216"/>
        <v>0</v>
      </c>
      <c r="T96" s="61">
        <f t="shared" si="217"/>
        <v>0</v>
      </c>
      <c r="U96" s="61">
        <f t="shared" si="217"/>
        <v>0</v>
      </c>
      <c r="V96" s="61">
        <f t="shared" si="217"/>
        <v>0</v>
      </c>
      <c r="W96" s="61">
        <f t="shared" si="217"/>
        <v>0</v>
      </c>
      <c r="X96" s="61">
        <f t="shared" si="217"/>
        <v>0</v>
      </c>
      <c r="Z96" s="61">
        <f t="shared" si="218"/>
        <v>0</v>
      </c>
      <c r="AA96" s="61">
        <f t="shared" si="218"/>
        <v>0</v>
      </c>
      <c r="AB96" s="61">
        <f t="shared" si="218"/>
        <v>0</v>
      </c>
      <c r="AC96" s="61">
        <f t="shared" si="218"/>
        <v>0</v>
      </c>
      <c r="AD96" s="61">
        <f t="shared" si="218"/>
        <v>0</v>
      </c>
      <c r="AF96" s="61">
        <f t="shared" si="219"/>
        <v>0</v>
      </c>
      <c r="AG96" s="61">
        <f t="shared" si="219"/>
        <v>0</v>
      </c>
      <c r="AH96" s="61">
        <f t="shared" si="219"/>
        <v>0</v>
      </c>
      <c r="AI96" s="61">
        <f t="shared" si="219"/>
        <v>0</v>
      </c>
      <c r="AJ96" s="61">
        <f t="shared" si="219"/>
        <v>0</v>
      </c>
      <c r="AL96" s="61">
        <f t="shared" si="220"/>
        <v>0</v>
      </c>
      <c r="AM96" s="61">
        <f t="shared" si="220"/>
        <v>0</v>
      </c>
      <c r="AN96" s="61">
        <f t="shared" si="220"/>
        <v>0</v>
      </c>
      <c r="AO96" s="61">
        <f t="shared" si="220"/>
        <v>0</v>
      </c>
      <c r="AP96" s="61">
        <f t="shared" si="220"/>
        <v>0</v>
      </c>
      <c r="AR96" s="61">
        <f t="shared" si="212"/>
        <v>0</v>
      </c>
      <c r="AS96" s="61">
        <f t="shared" si="212"/>
        <v>0</v>
      </c>
      <c r="AT96" s="61">
        <f t="shared" si="212"/>
        <v>0</v>
      </c>
      <c r="AU96" s="61">
        <f t="shared" si="212"/>
        <v>0</v>
      </c>
      <c r="AV96" s="7">
        <f t="shared" si="154"/>
        <v>0</v>
      </c>
      <c r="AX96" s="7">
        <f t="shared" si="213"/>
        <v>0</v>
      </c>
      <c r="AY96" s="7">
        <f t="shared" si="204"/>
        <v>0</v>
      </c>
      <c r="AZ96" s="7">
        <f t="shared" si="204"/>
        <v>0</v>
      </c>
      <c r="BA96" s="7">
        <f t="shared" si="204"/>
        <v>0</v>
      </c>
      <c r="BB96" s="7">
        <f t="shared" si="147"/>
        <v>0</v>
      </c>
    </row>
    <row r="97" spans="1:54" hidden="1" x14ac:dyDescent="0.25">
      <c r="A97" s="62" t="s">
        <v>77</v>
      </c>
      <c r="B97" s="61">
        <f t="shared" si="214"/>
        <v>0</v>
      </c>
      <c r="C97" s="61">
        <f t="shared" si="214"/>
        <v>0</v>
      </c>
      <c r="D97" s="61">
        <f t="shared" si="214"/>
        <v>0</v>
      </c>
      <c r="E97" s="61">
        <f t="shared" si="214"/>
        <v>0</v>
      </c>
      <c r="F97" s="61">
        <f t="shared" si="214"/>
        <v>0</v>
      </c>
      <c r="H97" s="61">
        <f t="shared" si="215"/>
        <v>0</v>
      </c>
      <c r="I97" s="61">
        <f t="shared" si="215"/>
        <v>0</v>
      </c>
      <c r="J97" s="61">
        <f t="shared" si="215"/>
        <v>0</v>
      </c>
      <c r="K97" s="61">
        <f t="shared" si="215"/>
        <v>0</v>
      </c>
      <c r="L97" s="61">
        <f t="shared" si="215"/>
        <v>0</v>
      </c>
      <c r="N97" s="61">
        <f t="shared" si="216"/>
        <v>0</v>
      </c>
      <c r="O97" s="61">
        <f t="shared" si="216"/>
        <v>0</v>
      </c>
      <c r="P97" s="61">
        <f t="shared" si="216"/>
        <v>0</v>
      </c>
      <c r="Q97" s="61">
        <f t="shared" si="216"/>
        <v>0</v>
      </c>
      <c r="R97" s="61">
        <f t="shared" si="216"/>
        <v>0</v>
      </c>
      <c r="T97" s="61">
        <f t="shared" si="217"/>
        <v>0</v>
      </c>
      <c r="U97" s="61">
        <f t="shared" si="217"/>
        <v>0</v>
      </c>
      <c r="V97" s="61">
        <f t="shared" si="217"/>
        <v>0</v>
      </c>
      <c r="W97" s="61">
        <f t="shared" si="217"/>
        <v>0</v>
      </c>
      <c r="X97" s="61">
        <f t="shared" si="217"/>
        <v>0</v>
      </c>
      <c r="Z97" s="61">
        <f t="shared" si="218"/>
        <v>0</v>
      </c>
      <c r="AA97" s="61">
        <f t="shared" si="218"/>
        <v>0</v>
      </c>
      <c r="AB97" s="61">
        <f t="shared" si="218"/>
        <v>0</v>
      </c>
      <c r="AC97" s="61">
        <f t="shared" si="218"/>
        <v>0</v>
      </c>
      <c r="AD97" s="61">
        <f t="shared" si="218"/>
        <v>0</v>
      </c>
      <c r="AF97" s="61">
        <f t="shared" si="219"/>
        <v>0</v>
      </c>
      <c r="AG97" s="61">
        <f t="shared" si="219"/>
        <v>0</v>
      </c>
      <c r="AH97" s="61">
        <f t="shared" si="219"/>
        <v>0</v>
      </c>
      <c r="AI97" s="61">
        <f t="shared" si="219"/>
        <v>0</v>
      </c>
      <c r="AJ97" s="61">
        <f t="shared" si="219"/>
        <v>0</v>
      </c>
      <c r="AL97" s="61">
        <f t="shared" si="220"/>
        <v>0</v>
      </c>
      <c r="AM97" s="61">
        <f t="shared" si="220"/>
        <v>0</v>
      </c>
      <c r="AN97" s="61">
        <f t="shared" si="220"/>
        <v>0</v>
      </c>
      <c r="AO97" s="61">
        <f t="shared" si="220"/>
        <v>0</v>
      </c>
      <c r="AP97" s="61">
        <f t="shared" si="220"/>
        <v>0</v>
      </c>
      <c r="AR97" s="61">
        <f t="shared" si="212"/>
        <v>0</v>
      </c>
      <c r="AS97" s="61">
        <f t="shared" si="212"/>
        <v>0</v>
      </c>
      <c r="AT97" s="61">
        <f t="shared" si="212"/>
        <v>0</v>
      </c>
      <c r="AU97" s="61">
        <f t="shared" si="212"/>
        <v>0</v>
      </c>
      <c r="AV97" s="7">
        <f t="shared" si="154"/>
        <v>0</v>
      </c>
      <c r="AX97" s="7">
        <f t="shared" si="213"/>
        <v>0</v>
      </c>
      <c r="AY97" s="7">
        <f t="shared" si="204"/>
        <v>0</v>
      </c>
      <c r="AZ97" s="7">
        <f t="shared" si="204"/>
        <v>0</v>
      </c>
      <c r="BA97" s="7">
        <f t="shared" si="204"/>
        <v>0</v>
      </c>
      <c r="BB97" s="7">
        <f t="shared" si="147"/>
        <v>0</v>
      </c>
    </row>
    <row r="98" spans="1:54" ht="15.75" hidden="1" thickBot="1" x14ac:dyDescent="0.3">
      <c r="A98" s="65" t="s">
        <v>204</v>
      </c>
      <c r="B98" s="61">
        <f t="shared" si="214"/>
        <v>14120</v>
      </c>
      <c r="C98" s="61">
        <f t="shared" si="214"/>
        <v>720</v>
      </c>
      <c r="D98" s="61">
        <f t="shared" si="214"/>
        <v>2160</v>
      </c>
      <c r="E98" s="61">
        <f t="shared" si="214"/>
        <v>0</v>
      </c>
      <c r="F98" s="61">
        <f t="shared" si="214"/>
        <v>17000</v>
      </c>
      <c r="H98" s="61">
        <f t="shared" si="215"/>
        <v>31520</v>
      </c>
      <c r="I98" s="61">
        <f t="shared" si="215"/>
        <v>2400</v>
      </c>
      <c r="J98" s="61">
        <f t="shared" si="215"/>
        <v>6960</v>
      </c>
      <c r="K98" s="61">
        <f t="shared" si="215"/>
        <v>0</v>
      </c>
      <c r="L98" s="61">
        <f t="shared" si="215"/>
        <v>40880</v>
      </c>
      <c r="N98" s="61">
        <f t="shared" si="216"/>
        <v>14960</v>
      </c>
      <c r="O98" s="61">
        <f t="shared" si="216"/>
        <v>1200</v>
      </c>
      <c r="P98" s="61">
        <f t="shared" si="216"/>
        <v>1999.2</v>
      </c>
      <c r="Q98" s="61">
        <f t="shared" si="216"/>
        <v>0</v>
      </c>
      <c r="R98" s="61">
        <f t="shared" si="216"/>
        <v>18159.2</v>
      </c>
      <c r="T98" s="61">
        <f t="shared" si="217"/>
        <v>17960</v>
      </c>
      <c r="U98" s="61">
        <f t="shared" si="217"/>
        <v>840</v>
      </c>
      <c r="V98" s="61">
        <f t="shared" si="217"/>
        <v>3201.6</v>
      </c>
      <c r="W98" s="61">
        <f t="shared" si="217"/>
        <v>0</v>
      </c>
      <c r="X98" s="61">
        <f t="shared" si="217"/>
        <v>22001.599999999999</v>
      </c>
      <c r="Z98" s="61">
        <f t="shared" si="218"/>
        <v>30080</v>
      </c>
      <c r="AA98" s="61">
        <f t="shared" si="218"/>
        <v>1320</v>
      </c>
      <c r="AB98" s="61">
        <f t="shared" si="218"/>
        <v>5479.2</v>
      </c>
      <c r="AC98" s="61">
        <f t="shared" si="218"/>
        <v>0</v>
      </c>
      <c r="AD98" s="61">
        <f t="shared" si="218"/>
        <v>36879.199999999997</v>
      </c>
      <c r="AF98" s="61">
        <f t="shared" si="219"/>
        <v>14000</v>
      </c>
      <c r="AG98" s="61">
        <f t="shared" si="219"/>
        <v>720</v>
      </c>
      <c r="AH98" s="61">
        <f t="shared" si="219"/>
        <v>2160</v>
      </c>
      <c r="AI98" s="61">
        <f t="shared" si="219"/>
        <v>240</v>
      </c>
      <c r="AJ98" s="61">
        <f t="shared" si="219"/>
        <v>17120</v>
      </c>
      <c r="AL98" s="61">
        <f t="shared" si="220"/>
        <v>2720</v>
      </c>
      <c r="AM98" s="61">
        <f t="shared" si="220"/>
        <v>120</v>
      </c>
      <c r="AN98" s="61">
        <f t="shared" si="220"/>
        <v>0</v>
      </c>
      <c r="AO98" s="61">
        <f t="shared" si="220"/>
        <v>0</v>
      </c>
      <c r="AP98" s="61">
        <f t="shared" si="220"/>
        <v>2840</v>
      </c>
      <c r="AR98" s="61">
        <f t="shared" si="212"/>
        <v>2240</v>
      </c>
      <c r="AS98" s="61">
        <f t="shared" si="212"/>
        <v>0</v>
      </c>
      <c r="AT98" s="61">
        <f t="shared" si="212"/>
        <v>480</v>
      </c>
      <c r="AU98" s="61">
        <f t="shared" si="212"/>
        <v>0</v>
      </c>
      <c r="AV98" s="7">
        <f t="shared" si="154"/>
        <v>2720</v>
      </c>
      <c r="AX98" s="7">
        <f t="shared" si="213"/>
        <v>127600</v>
      </c>
      <c r="AY98" s="7">
        <f t="shared" si="204"/>
        <v>7320</v>
      </c>
      <c r="AZ98" s="7">
        <f t="shared" si="204"/>
        <v>22440</v>
      </c>
      <c r="BA98" s="7">
        <f t="shared" si="204"/>
        <v>240</v>
      </c>
      <c r="BB98" s="7">
        <f t="shared" si="147"/>
        <v>157600</v>
      </c>
    </row>
    <row r="99" spans="1:54" ht="15.75" hidden="1" thickBot="1" x14ac:dyDescent="0.3">
      <c r="A99" s="67" t="s">
        <v>81</v>
      </c>
      <c r="B99" s="68">
        <f>SUM(B87:B98)</f>
        <v>7110067.5770028541</v>
      </c>
      <c r="C99" s="68">
        <f>SUM(C87:C98)</f>
        <v>123315.17686318132</v>
      </c>
      <c r="D99" s="68"/>
      <c r="E99" s="68">
        <f t="shared" ref="E99:F99" si="221">SUM(E87:E98)</f>
        <v>224078.40000000002</v>
      </c>
      <c r="F99" s="68">
        <f t="shared" si="221"/>
        <v>7813093.9013632555</v>
      </c>
      <c r="H99" s="68">
        <f>SUM(H87:H98)</f>
        <v>18927827.562174119</v>
      </c>
      <c r="I99" s="68">
        <f>SUM(I87:I98)</f>
        <v>244891.85026737972</v>
      </c>
      <c r="J99" s="68"/>
      <c r="K99" s="68">
        <f t="shared" ref="K99:L99" si="222">SUM(K87:K98)</f>
        <v>615888</v>
      </c>
      <c r="L99" s="68">
        <f t="shared" si="222"/>
        <v>20881971.155757003</v>
      </c>
      <c r="N99" s="68">
        <f>SUM(N87:N98)</f>
        <v>7717398.8229005337</v>
      </c>
      <c r="O99" s="68">
        <f>SUM(O87:O98)</f>
        <v>127719</v>
      </c>
      <c r="P99" s="68"/>
      <c r="Q99" s="68">
        <f t="shared" ref="Q99:R99" si="223">SUM(Q87:Q98)</f>
        <v>192024</v>
      </c>
      <c r="R99" s="68">
        <f t="shared" si="223"/>
        <v>8298141.0229005339</v>
      </c>
      <c r="T99" s="68">
        <f>SUM(T87:T98)</f>
        <v>9229045.7970710117</v>
      </c>
      <c r="U99" s="68">
        <f>SUM(U87:U98)</f>
        <v>112254.18265221018</v>
      </c>
      <c r="V99" s="68"/>
      <c r="W99" s="68">
        <f t="shared" ref="W99:X99" si="224">SUM(W87:W98)</f>
        <v>114817.5</v>
      </c>
      <c r="X99" s="68">
        <f t="shared" si="224"/>
        <v>9842363.2832261398</v>
      </c>
      <c r="Z99" s="68">
        <f>SUM(Z87:Z98)</f>
        <v>18490157.29701063</v>
      </c>
      <c r="AA99" s="68">
        <f>SUM(AA87:AA98)</f>
        <v>177154.96172248802</v>
      </c>
      <c r="AB99" s="68"/>
      <c r="AC99" s="68">
        <f t="shared" ref="AC99:AD99" si="225">SUM(AC87:AC98)</f>
        <v>368172</v>
      </c>
      <c r="AD99" s="68">
        <f t="shared" si="225"/>
        <v>19738258.913278576</v>
      </c>
      <c r="AF99" s="68">
        <f>SUM(AF87:AF98)</f>
        <v>7291894.9507721579</v>
      </c>
      <c r="AG99" s="68">
        <f>SUM(AG87:AG98)</f>
        <v>453239.3775</v>
      </c>
      <c r="AH99" s="68"/>
      <c r="AI99" s="68">
        <f t="shared" ref="AI99:AJ99" si="226">SUM(AI87:AI98)</f>
        <v>426019.2</v>
      </c>
      <c r="AJ99" s="68">
        <f t="shared" si="226"/>
        <v>8515613.5282721575</v>
      </c>
      <c r="AL99" s="68">
        <f>SUM(AL87:AL98)</f>
        <v>2720</v>
      </c>
      <c r="AM99" s="68">
        <f>SUM(AM87:AM98)</f>
        <v>120</v>
      </c>
      <c r="AN99" s="68"/>
      <c r="AO99" s="68">
        <f t="shared" ref="AO99:AP99" si="227">SUM(AO87:AO98)</f>
        <v>0</v>
      </c>
      <c r="AP99" s="68">
        <f t="shared" si="227"/>
        <v>2840</v>
      </c>
      <c r="AR99" s="68">
        <f>SUM(AR87:AR98)</f>
        <v>2371520</v>
      </c>
      <c r="AS99" s="68">
        <f>SUM(AS87:AS98)</f>
        <v>24100</v>
      </c>
      <c r="AT99" s="68"/>
      <c r="AU99" s="68">
        <f t="shared" ref="AU99:AV99" si="228">SUM(AU87:AU98)</f>
        <v>89880</v>
      </c>
      <c r="AV99" s="68">
        <f t="shared" si="228"/>
        <v>2569730</v>
      </c>
      <c r="AX99" s="68">
        <f>SUM(AX87:AX98)</f>
        <v>71140632.006931305</v>
      </c>
      <c r="AY99" s="68">
        <f>SUM(AY87:AY98)</f>
        <v>1262794.5490052593</v>
      </c>
      <c r="AZ99" s="68"/>
      <c r="BA99" s="68">
        <f t="shared" ref="BA99:BB99" si="229">SUM(BA87:BA98)</f>
        <v>2030879.0999999999</v>
      </c>
      <c r="BB99" s="68">
        <f t="shared" si="229"/>
        <v>77662011.804797664</v>
      </c>
    </row>
    <row r="100" spans="1:54" x14ac:dyDescent="0.25">
      <c r="A100" s="70"/>
      <c r="B100" s="55"/>
      <c r="C100" s="55"/>
      <c r="D100" s="55"/>
      <c r="E100" s="55"/>
      <c r="F100" s="55"/>
      <c r="H100" s="55"/>
      <c r="I100" s="55"/>
      <c r="J100" s="55"/>
      <c r="K100" s="55"/>
      <c r="L100" s="55"/>
      <c r="N100" s="55"/>
      <c r="O100" s="55"/>
      <c r="P100" s="55"/>
      <c r="Q100" s="55"/>
      <c r="R100" s="55"/>
      <c r="T100" s="55"/>
      <c r="U100" s="55"/>
      <c r="V100" s="55"/>
      <c r="W100" s="55"/>
      <c r="X100" s="55"/>
      <c r="Z100" s="55"/>
      <c r="AA100" s="55"/>
      <c r="AB100" s="55"/>
      <c r="AC100" s="55"/>
      <c r="AD100" s="55"/>
      <c r="AF100" s="55"/>
      <c r="AG100" s="55"/>
      <c r="AH100" s="55"/>
      <c r="AI100" s="55"/>
      <c r="AJ100" s="55"/>
      <c r="AL100" s="55"/>
      <c r="AM100" s="55"/>
      <c r="AN100" s="55"/>
      <c r="AO100" s="55"/>
      <c r="AP100" s="55"/>
      <c r="AR100" s="55"/>
      <c r="AS100" s="55"/>
      <c r="AT100" s="55"/>
      <c r="AU100" s="55"/>
      <c r="AV100" s="55"/>
      <c r="AX100" s="55"/>
      <c r="AY100" s="55"/>
      <c r="AZ100" s="55"/>
      <c r="BA100" s="55"/>
      <c r="BB100" s="55"/>
    </row>
    <row r="101" spans="1:54" ht="15.75" thickBot="1" x14ac:dyDescent="0.3">
      <c r="A101" s="73" t="s">
        <v>82</v>
      </c>
      <c r="B101" s="74" t="str">
        <f>B1</f>
        <v>Operating</v>
      </c>
      <c r="C101" s="74" t="str">
        <f>C1</f>
        <v>Weights</v>
      </c>
      <c r="D101" s="74" t="str">
        <f>D1</f>
        <v>SPED</v>
      </c>
      <c r="E101" s="74" t="str">
        <f t="shared" ref="E101:F101" si="230">E1</f>
        <v>NSLP</v>
      </c>
      <c r="F101" s="74" t="str">
        <f t="shared" si="230"/>
        <v>Horizon</v>
      </c>
      <c r="H101" s="74" t="str">
        <f>H1</f>
        <v>Operating</v>
      </c>
      <c r="I101" s="74" t="str">
        <f>I1</f>
        <v>Weights</v>
      </c>
      <c r="J101" s="74" t="str">
        <f>J1</f>
        <v>SPED</v>
      </c>
      <c r="K101" s="74" t="str">
        <f t="shared" ref="K101:L101" si="231">K1</f>
        <v>NSLP</v>
      </c>
      <c r="L101" s="74" t="str">
        <f t="shared" si="231"/>
        <v>Cadence</v>
      </c>
      <c r="N101" s="74" t="str">
        <f>N1</f>
        <v>Operating</v>
      </c>
      <c r="O101" s="74" t="str">
        <f>O1</f>
        <v>Weights</v>
      </c>
      <c r="P101" s="74" t="str">
        <f>P1</f>
        <v>SPED</v>
      </c>
      <c r="Q101" s="74" t="str">
        <f t="shared" ref="Q101:R101" si="232">Q1</f>
        <v>NSLP</v>
      </c>
      <c r="R101" s="74" t="str">
        <f t="shared" si="232"/>
        <v>St. Rose</v>
      </c>
      <c r="T101" s="74" t="str">
        <f>T1</f>
        <v>Operating</v>
      </c>
      <c r="U101" s="74" t="str">
        <f>U1</f>
        <v>Weights</v>
      </c>
      <c r="V101" s="74" t="str">
        <f>V1</f>
        <v>SPED</v>
      </c>
      <c r="W101" s="74" t="str">
        <f t="shared" ref="W101:X101" si="233">W1</f>
        <v>NSLP</v>
      </c>
      <c r="X101" s="74" t="str">
        <f t="shared" si="233"/>
        <v>Inspirada</v>
      </c>
      <c r="Z101" s="74" t="str">
        <f>Z1</f>
        <v>Operating</v>
      </c>
      <c r="AA101" s="74" t="str">
        <f>AA1</f>
        <v>Weights</v>
      </c>
      <c r="AB101" s="74" t="str">
        <f>AB1</f>
        <v>SPED</v>
      </c>
      <c r="AC101" s="74" t="str">
        <f t="shared" ref="AC101:AD101" si="234">AC1</f>
        <v>NSLP</v>
      </c>
      <c r="AD101" s="74" t="str">
        <f t="shared" si="234"/>
        <v>Sloan Canyon</v>
      </c>
      <c r="AF101" s="74" t="str">
        <f>AF1</f>
        <v>Operating</v>
      </c>
      <c r="AG101" s="74" t="str">
        <f>AG1</f>
        <v>Weights</v>
      </c>
      <c r="AH101" s="74" t="str">
        <f>AH1</f>
        <v>SPED</v>
      </c>
      <c r="AI101" s="74" t="str">
        <f t="shared" ref="AI101:AJ101" si="235">AI1</f>
        <v>NSLP</v>
      </c>
      <c r="AJ101" s="74" t="str">
        <f t="shared" si="235"/>
        <v>Springs</v>
      </c>
      <c r="AL101" s="74" t="str">
        <f>AL1</f>
        <v>Operating</v>
      </c>
      <c r="AM101" s="74" t="str">
        <f>AM1</f>
        <v>Weights</v>
      </c>
      <c r="AN101" s="74" t="str">
        <f>AN1</f>
        <v>SPED</v>
      </c>
      <c r="AO101" s="74" t="str">
        <f t="shared" ref="AO101:AP101" si="236">AO1</f>
        <v>NSLP</v>
      </c>
      <c r="AP101" s="74" t="str">
        <f t="shared" si="236"/>
        <v>System Wide</v>
      </c>
      <c r="AR101" s="74" t="str">
        <f>AR1</f>
        <v>Operating</v>
      </c>
      <c r="AS101" s="74" t="str">
        <f>AS1</f>
        <v>Weights</v>
      </c>
      <c r="AT101" s="74" t="str">
        <f>AT1</f>
        <v>SPED</v>
      </c>
      <c r="AU101" s="74" t="str">
        <f t="shared" ref="AU101:AV101" si="237">AU1</f>
        <v>NSLP</v>
      </c>
      <c r="AV101" s="74" t="str">
        <f t="shared" si="237"/>
        <v>Virtual</v>
      </c>
      <c r="AX101" s="74" t="str">
        <f>AX1</f>
        <v>Operating</v>
      </c>
      <c r="AY101" s="74" t="str">
        <f>AY1</f>
        <v>Weights</v>
      </c>
      <c r="AZ101" s="74" t="str">
        <f>AZ1</f>
        <v>SPED</v>
      </c>
      <c r="BA101" s="74" t="str">
        <f t="shared" ref="BA101:BB101" si="238">BA1</f>
        <v>NSLP</v>
      </c>
      <c r="BB101" s="74" t="str">
        <f t="shared" si="238"/>
        <v>Pinecrest System</v>
      </c>
    </row>
    <row r="102" spans="1:54" x14ac:dyDescent="0.25">
      <c r="A102" s="76" t="s">
        <v>83</v>
      </c>
      <c r="B102" s="77"/>
      <c r="C102" s="77"/>
      <c r="D102" s="77"/>
      <c r="E102" s="77"/>
      <c r="F102" s="77"/>
      <c r="H102" s="77"/>
      <c r="I102" s="77"/>
      <c r="J102" s="77"/>
      <c r="K102" s="77"/>
      <c r="L102" s="77"/>
      <c r="N102" s="77"/>
      <c r="O102" s="77"/>
      <c r="P102" s="77"/>
      <c r="Q102" s="77"/>
      <c r="R102" s="77"/>
      <c r="T102" s="77"/>
      <c r="U102" s="77"/>
      <c r="V102" s="77"/>
      <c r="W102" s="77"/>
      <c r="X102" s="77"/>
      <c r="Z102" s="77"/>
      <c r="AA102" s="77"/>
      <c r="AB102" s="77"/>
      <c r="AC102" s="77"/>
      <c r="AD102" s="77"/>
      <c r="AF102" s="77"/>
      <c r="AG102" s="77"/>
      <c r="AH102" s="77"/>
      <c r="AI102" s="77"/>
      <c r="AJ102" s="77"/>
      <c r="AL102" s="77"/>
      <c r="AM102" s="77"/>
      <c r="AN102" s="77"/>
      <c r="AO102" s="77"/>
      <c r="AP102" s="77"/>
      <c r="AR102" s="77"/>
      <c r="AS102" s="77"/>
      <c r="AT102" s="77"/>
      <c r="AU102" s="77"/>
      <c r="AV102" s="77"/>
      <c r="AX102" s="77"/>
      <c r="AY102" s="77"/>
      <c r="AZ102" s="77"/>
      <c r="BA102" s="77"/>
      <c r="BB102" s="77"/>
    </row>
    <row r="103" spans="1:54" x14ac:dyDescent="0.25">
      <c r="A103" s="62" t="s">
        <v>41</v>
      </c>
      <c r="B103" s="15">
        <f>'FY25'!B103*1.02</f>
        <v>124479.69839999999</v>
      </c>
      <c r="C103" s="15">
        <f>'FY25'!C103*1.02</f>
        <v>0</v>
      </c>
      <c r="D103" s="7"/>
      <c r="E103" s="7"/>
      <c r="F103" s="7">
        <f t="shared" ref="F103:F115" si="239">SUM(B103:E103)</f>
        <v>124479.69839999999</v>
      </c>
      <c r="H103" s="15">
        <f>'FY25'!H103*1.02</f>
        <v>146670.09889608002</v>
      </c>
      <c r="I103" s="15">
        <f>'FY25'!I103*1.02</f>
        <v>0</v>
      </c>
      <c r="J103" s="7"/>
      <c r="K103" s="7"/>
      <c r="L103" s="7">
        <f t="shared" ref="L103:L115" si="240">SUM(H103:K103)</f>
        <v>146670.09889608002</v>
      </c>
      <c r="N103" s="15">
        <f>'FY25'!N103*1.02</f>
        <v>121232.40192</v>
      </c>
      <c r="O103" s="15">
        <f>'FY25'!O103*1.02</f>
        <v>0</v>
      </c>
      <c r="P103" s="7"/>
      <c r="Q103" s="7"/>
      <c r="R103" s="7">
        <f t="shared" ref="R103:R115" si="241">SUM(N103:Q103)</f>
        <v>121232.40192</v>
      </c>
      <c r="T103" s="15">
        <f>'FY25'!T103*1.02</f>
        <v>155339.62704000002</v>
      </c>
      <c r="U103" s="15">
        <f>'FY25'!U103*1.02</f>
        <v>0</v>
      </c>
      <c r="V103" s="7"/>
      <c r="W103" s="7"/>
      <c r="X103" s="7">
        <f t="shared" ref="X103:X115" si="242">SUM(T103:W103)</f>
        <v>155339.62704000002</v>
      </c>
      <c r="Z103" s="15">
        <f>'FY25'!Z103*1.02</f>
        <v>146183.00442408005</v>
      </c>
      <c r="AA103" s="15">
        <f>'FY25'!AA103*1.02</f>
        <v>0</v>
      </c>
      <c r="AB103" s="15">
        <f>'FY25'!AB103*1.02</f>
        <v>0</v>
      </c>
      <c r="AC103" s="15">
        <f>'FY25'!AC103*1.02</f>
        <v>0</v>
      </c>
      <c r="AD103" s="7">
        <f t="shared" ref="AD103:AD115" si="243">SUM(Z103:AC103)</f>
        <v>146183.00442408005</v>
      </c>
      <c r="AF103" s="15">
        <f>'FY25'!AF103*1.02</f>
        <v>114444</v>
      </c>
      <c r="AG103" s="15">
        <f>'FY25'!AG103*1.02</f>
        <v>0</v>
      </c>
      <c r="AH103" s="15">
        <f>'FY25'!AH103*1.02</f>
        <v>0</v>
      </c>
      <c r="AI103" s="7"/>
      <c r="AJ103" s="7">
        <f t="shared" ref="AJ103:AJ115" si="244">SUM(AF103:AI103)</f>
        <v>114444</v>
      </c>
      <c r="AL103" s="15">
        <f>'FY25'!AL103*1.02</f>
        <v>0</v>
      </c>
      <c r="AM103" s="15">
        <f>'FY25'!AM103*1.02</f>
        <v>0</v>
      </c>
      <c r="AN103" s="15">
        <v>0</v>
      </c>
      <c r="AO103" s="15">
        <v>0</v>
      </c>
      <c r="AP103" s="7">
        <f t="shared" ref="AP103:AP115" si="245">SUM(AL103:AO103)</f>
        <v>0</v>
      </c>
      <c r="AR103" s="15">
        <v>0</v>
      </c>
      <c r="AS103" s="7"/>
      <c r="AT103" s="7"/>
      <c r="AU103" s="7"/>
      <c r="AV103" s="7">
        <f t="shared" ref="AV103:AV115" si="246">SUM(AR103:AU103)</f>
        <v>0</v>
      </c>
      <c r="AX103" s="7">
        <f>B103+H103+N103+T103+Z103+AF103+AL103+AR103</f>
        <v>808348.83068016008</v>
      </c>
      <c r="AY103" s="7">
        <f t="shared" ref="AY103:BA115" si="247">C103+I103+O103+U103+AA103+AG103+AM103+AS103</f>
        <v>0</v>
      </c>
      <c r="AZ103" s="7">
        <f t="shared" si="247"/>
        <v>0</v>
      </c>
      <c r="BA103" s="7">
        <f t="shared" si="247"/>
        <v>0</v>
      </c>
      <c r="BB103" s="7">
        <f t="shared" ref="BB103:BB115" si="248">SUM(AX103:BA103)</f>
        <v>808348.83068016008</v>
      </c>
    </row>
    <row r="104" spans="1:54" x14ac:dyDescent="0.25">
      <c r="A104" s="62" t="s">
        <v>84</v>
      </c>
      <c r="B104" s="15">
        <f>'FY25'!B104*1.02</f>
        <v>167199.78867500159</v>
      </c>
      <c r="C104" s="15">
        <f>'FY25'!C104*1.02</f>
        <v>75770.251199999999</v>
      </c>
      <c r="D104" s="7"/>
      <c r="E104" s="7"/>
      <c r="F104" s="7">
        <f t="shared" si="239"/>
        <v>242970.03987500159</v>
      </c>
      <c r="H104" s="15">
        <f>'FY25'!H104*1.02</f>
        <v>345157.74069638405</v>
      </c>
      <c r="I104" s="15">
        <f>'FY25'!I104*1.02</f>
        <v>0</v>
      </c>
      <c r="J104" s="7"/>
      <c r="K104" s="7"/>
      <c r="L104" s="7">
        <f t="shared" si="240"/>
        <v>345157.74069638405</v>
      </c>
      <c r="N104" s="15">
        <f>'FY25'!N104*1.02</f>
        <v>172236.60529920002</v>
      </c>
      <c r="O104" s="15">
        <f>'FY25'!O104*1.02</f>
        <v>0</v>
      </c>
      <c r="P104" s="7"/>
      <c r="Q104" s="7"/>
      <c r="R104" s="7">
        <f t="shared" si="241"/>
        <v>172236.60529920002</v>
      </c>
      <c r="T104" s="15">
        <f>'FY25'!T104*1.02</f>
        <v>187920.07310865604</v>
      </c>
      <c r="U104" s="15">
        <f>'FY25'!U104*1.02</f>
        <v>0</v>
      </c>
      <c r="V104" s="7"/>
      <c r="W104" s="7"/>
      <c r="X104" s="7">
        <f t="shared" si="242"/>
        <v>187920.07310865604</v>
      </c>
      <c r="Z104" s="15">
        <f>'FY25'!Z104*1.02</f>
        <v>245420.60133931198</v>
      </c>
      <c r="AA104" s="15">
        <f>'FY25'!AA104*1.02</f>
        <v>0</v>
      </c>
      <c r="AB104" s="15">
        <f>'FY25'!AB104*1.02</f>
        <v>95508.72</v>
      </c>
      <c r="AC104" s="15">
        <f>'FY25'!AC104*1.02</f>
        <v>0</v>
      </c>
      <c r="AD104" s="7">
        <f t="shared" si="243"/>
        <v>340929.32133931201</v>
      </c>
      <c r="AF104" s="15">
        <f>'FY25'!AF104*1.02</f>
        <v>154530</v>
      </c>
      <c r="AG104" s="15">
        <f>'FY25'!AG104*1.02</f>
        <v>0</v>
      </c>
      <c r="AH104" s="15">
        <f>'FY25'!AH104*1.02</f>
        <v>0</v>
      </c>
      <c r="AI104" s="7"/>
      <c r="AJ104" s="7">
        <f t="shared" si="244"/>
        <v>154530</v>
      </c>
      <c r="AL104" s="15">
        <f>'FY25'!AL104*1.02</f>
        <v>0</v>
      </c>
      <c r="AM104" s="15">
        <f>'FY25'!AM104*1.02</f>
        <v>0</v>
      </c>
      <c r="AN104" s="15">
        <v>0</v>
      </c>
      <c r="AO104" s="15">
        <v>0</v>
      </c>
      <c r="AP104" s="7">
        <f t="shared" si="245"/>
        <v>0</v>
      </c>
      <c r="AR104" s="15">
        <v>0</v>
      </c>
      <c r="AS104" s="7"/>
      <c r="AT104" s="7"/>
      <c r="AU104" s="7"/>
      <c r="AV104" s="7">
        <f t="shared" si="246"/>
        <v>0</v>
      </c>
      <c r="AX104" s="7">
        <f t="shared" ref="AX104:AX115" si="249">B104+H104+N104+T104+Z104+AF104+AL104+AR104</f>
        <v>1272464.8091185538</v>
      </c>
      <c r="AY104" s="7">
        <f t="shared" si="247"/>
        <v>75770.251199999999</v>
      </c>
      <c r="AZ104" s="7">
        <f t="shared" si="247"/>
        <v>95508.72</v>
      </c>
      <c r="BA104" s="7">
        <f t="shared" si="247"/>
        <v>0</v>
      </c>
      <c r="BB104" s="7">
        <f t="shared" si="248"/>
        <v>1443743.7803185538</v>
      </c>
    </row>
    <row r="105" spans="1:54" x14ac:dyDescent="0.25">
      <c r="A105" s="62" t="s">
        <v>45</v>
      </c>
      <c r="B105" s="15">
        <f>'FY25'!B105*1.02</f>
        <v>0</v>
      </c>
      <c r="C105" s="15">
        <f>'FY25'!C105*1.02</f>
        <v>0</v>
      </c>
      <c r="D105" s="7"/>
      <c r="E105" s="7"/>
      <c r="F105" s="7">
        <f t="shared" si="239"/>
        <v>0</v>
      </c>
      <c r="H105" s="15">
        <f>'FY25'!H105*1.02</f>
        <v>67238.520914879991</v>
      </c>
      <c r="I105" s="15">
        <f>'FY25'!I105*1.02</f>
        <v>0</v>
      </c>
      <c r="J105" s="7"/>
      <c r="K105" s="7"/>
      <c r="L105" s="7">
        <f t="shared" si="240"/>
        <v>67238.520914879991</v>
      </c>
      <c r="N105" s="15">
        <f>'FY25'!N105*1.02</f>
        <v>0</v>
      </c>
      <c r="O105" s="15">
        <f>'FY25'!O105*1.02</f>
        <v>0</v>
      </c>
      <c r="P105" s="7"/>
      <c r="Q105" s="7"/>
      <c r="R105" s="7">
        <f t="shared" si="241"/>
        <v>0</v>
      </c>
      <c r="T105" s="15">
        <f>'FY25'!T105*1.02</f>
        <v>79493.817830400003</v>
      </c>
      <c r="U105" s="15">
        <f>'FY25'!U105*1.02</f>
        <v>0</v>
      </c>
      <c r="V105" s="7"/>
      <c r="W105" s="7"/>
      <c r="X105" s="7">
        <f t="shared" si="242"/>
        <v>79493.817830400003</v>
      </c>
      <c r="Z105" s="15">
        <f>'FY25'!Z105*1.02</f>
        <v>64886.828804064011</v>
      </c>
      <c r="AA105" s="15">
        <f>'FY25'!AA105*1.02</f>
        <v>0</v>
      </c>
      <c r="AB105" s="15">
        <f>'FY25'!AB105*1.02</f>
        <v>0</v>
      </c>
      <c r="AC105" s="15">
        <f>'FY25'!AC105*1.02</f>
        <v>0</v>
      </c>
      <c r="AD105" s="7">
        <f t="shared" si="243"/>
        <v>64886.828804064011</v>
      </c>
      <c r="AF105" s="15">
        <f>'FY25'!AF105*1.02</f>
        <v>0</v>
      </c>
      <c r="AG105" s="15">
        <f>'FY25'!AG105*1.02</f>
        <v>0</v>
      </c>
      <c r="AH105" s="15">
        <f>'FY25'!AH105*1.02</f>
        <v>0</v>
      </c>
      <c r="AI105" s="7"/>
      <c r="AJ105" s="7">
        <f t="shared" si="244"/>
        <v>0</v>
      </c>
      <c r="AL105" s="15">
        <f>'FY25'!AL105*1.02</f>
        <v>77285.656224000006</v>
      </c>
      <c r="AM105" s="15">
        <f>'FY25'!AM105*1.02</f>
        <v>0</v>
      </c>
      <c r="AN105" s="15">
        <v>0</v>
      </c>
      <c r="AO105" s="15">
        <v>0</v>
      </c>
      <c r="AP105" s="7">
        <f t="shared" si="245"/>
        <v>77285.656224000006</v>
      </c>
      <c r="AR105" s="7">
        <f>(60000*1.015*1.02)*AR46</f>
        <v>0</v>
      </c>
      <c r="AS105" s="15"/>
      <c r="AT105" s="7"/>
      <c r="AU105" s="7"/>
      <c r="AV105" s="7">
        <f t="shared" si="246"/>
        <v>0</v>
      </c>
      <c r="AX105" s="7">
        <f t="shared" si="249"/>
        <v>288904.82377334405</v>
      </c>
      <c r="AY105" s="7">
        <f t="shared" si="247"/>
        <v>0</v>
      </c>
      <c r="AZ105" s="7">
        <f t="shared" si="247"/>
        <v>0</v>
      </c>
      <c r="BA105" s="7">
        <f t="shared" si="247"/>
        <v>0</v>
      </c>
      <c r="BB105" s="7">
        <f t="shared" si="248"/>
        <v>288904.82377334405</v>
      </c>
    </row>
    <row r="106" spans="1:54" x14ac:dyDescent="0.25">
      <c r="A106" s="62" t="s">
        <v>210</v>
      </c>
      <c r="B106" s="15">
        <f>'FY25'!B106*1.02</f>
        <v>0</v>
      </c>
      <c r="C106" s="15">
        <f>'FY25'!C106*1.02</f>
        <v>0</v>
      </c>
      <c r="D106" s="7"/>
      <c r="E106" s="7"/>
      <c r="F106" s="7">
        <f t="shared" si="239"/>
        <v>0</v>
      </c>
      <c r="H106" s="15">
        <f>'FY25'!H106*1.02</f>
        <v>0</v>
      </c>
      <c r="I106" s="15">
        <f>'FY25'!I106*1.02</f>
        <v>0</v>
      </c>
      <c r="J106" s="7"/>
      <c r="K106" s="7"/>
      <c r="L106" s="7">
        <f t="shared" si="240"/>
        <v>0</v>
      </c>
      <c r="N106" s="15">
        <f>'FY25'!N106*1.02</f>
        <v>0</v>
      </c>
      <c r="O106" s="15">
        <f>'FY25'!O106*1.02</f>
        <v>60724.444176000005</v>
      </c>
      <c r="P106" s="7"/>
      <c r="Q106" s="7"/>
      <c r="R106" s="7">
        <f t="shared" si="241"/>
        <v>60724.444176000005</v>
      </c>
      <c r="T106" s="15">
        <f>'FY25'!T106*1.02</f>
        <v>0</v>
      </c>
      <c r="U106" s="15">
        <f>'FY25'!U106*1.02</f>
        <v>0</v>
      </c>
      <c r="V106" s="7"/>
      <c r="W106" s="7"/>
      <c r="X106" s="7">
        <f t="shared" si="242"/>
        <v>0</v>
      </c>
      <c r="Z106" s="15">
        <f>'FY25'!Z106*1.02</f>
        <v>0</v>
      </c>
      <c r="AA106" s="15">
        <f>'FY25'!AA106*1.02</f>
        <v>0</v>
      </c>
      <c r="AB106" s="15">
        <f>'FY25'!AB106*1.02</f>
        <v>0</v>
      </c>
      <c r="AC106" s="15">
        <f>'FY25'!AC106*1.02</f>
        <v>0</v>
      </c>
      <c r="AD106" s="7">
        <f t="shared" si="243"/>
        <v>0</v>
      </c>
      <c r="AF106" s="15">
        <f>'FY25'!AF106*1.02</f>
        <v>0</v>
      </c>
      <c r="AG106" s="15">
        <f>'FY25'!AG106*1.02+(65000/2)</f>
        <v>100126</v>
      </c>
      <c r="AH106" s="15">
        <f>'FY25'!AH106*1.02</f>
        <v>0</v>
      </c>
      <c r="AI106" s="7"/>
      <c r="AJ106" s="7">
        <f t="shared" si="244"/>
        <v>100126</v>
      </c>
      <c r="AL106" s="15">
        <f>'FY25'!AL106*1.02</f>
        <v>0</v>
      </c>
      <c r="AM106" s="15">
        <f>'FY25'!AM106*1.02</f>
        <v>0</v>
      </c>
      <c r="AN106" s="15">
        <v>0</v>
      </c>
      <c r="AO106" s="15">
        <v>0</v>
      </c>
      <c r="AP106" s="7">
        <f t="shared" si="245"/>
        <v>0</v>
      </c>
      <c r="AR106" s="15">
        <v>0</v>
      </c>
      <c r="AS106" s="15"/>
      <c r="AT106" s="7"/>
      <c r="AU106" s="7"/>
      <c r="AV106" s="7">
        <f t="shared" si="246"/>
        <v>0</v>
      </c>
      <c r="AX106" s="7">
        <f t="shared" si="249"/>
        <v>0</v>
      </c>
      <c r="AY106" s="7">
        <f t="shared" si="247"/>
        <v>160850.44417600002</v>
      </c>
      <c r="AZ106" s="7">
        <f t="shared" si="247"/>
        <v>0</v>
      </c>
      <c r="BA106" s="7">
        <f t="shared" si="247"/>
        <v>0</v>
      </c>
      <c r="BB106" s="7">
        <f t="shared" si="248"/>
        <v>160850.44417600002</v>
      </c>
    </row>
    <row r="107" spans="1:54" x14ac:dyDescent="0.25">
      <c r="A107" s="62" t="s">
        <v>87</v>
      </c>
      <c r="B107" s="15">
        <f>'FY25'!B107*1.02</f>
        <v>60724.444176000005</v>
      </c>
      <c r="C107" s="15">
        <f>'FY25'!C107*1.02</f>
        <v>0</v>
      </c>
      <c r="D107" s="7"/>
      <c r="E107" s="7"/>
      <c r="F107" s="7">
        <f t="shared" si="239"/>
        <v>60724.444176000005</v>
      </c>
      <c r="H107" s="15">
        <f>'FY25'!H107*1.02</f>
        <v>327787.78946004005</v>
      </c>
      <c r="I107" s="15">
        <f>'FY25'!I107*1.02</f>
        <v>0</v>
      </c>
      <c r="J107" s="7"/>
      <c r="K107" s="7"/>
      <c r="L107" s="7">
        <f t="shared" si="240"/>
        <v>327787.78946004005</v>
      </c>
      <c r="N107" s="15">
        <f>'FY25'!N107*1.02</f>
        <v>60724.444176000005</v>
      </c>
      <c r="O107" s="15">
        <f>'FY25'!O107*1.02</f>
        <v>0</v>
      </c>
      <c r="P107" s="7"/>
      <c r="Q107" s="7"/>
      <c r="R107" s="7">
        <f t="shared" si="241"/>
        <v>60724.444176000005</v>
      </c>
      <c r="T107" s="15">
        <f>'FY25'!T107*1.02</f>
        <v>68453.009798400017</v>
      </c>
      <c r="U107" s="15">
        <f>'FY25'!U107*1.02</f>
        <v>0</v>
      </c>
      <c r="V107" s="7"/>
      <c r="W107" s="7"/>
      <c r="X107" s="7">
        <f t="shared" si="242"/>
        <v>68453.009798400017</v>
      </c>
      <c r="Z107" s="15">
        <f>'FY25'!Z107*1.02</f>
        <v>129773.65760812802</v>
      </c>
      <c r="AA107" s="15">
        <f>'FY25'!AA107*1.02</f>
        <v>0</v>
      </c>
      <c r="AB107" s="15">
        <f>'FY25'!AB107*1.02</f>
        <v>0</v>
      </c>
      <c r="AC107" s="15">
        <f>'FY25'!AC107*1.02</f>
        <v>0</v>
      </c>
      <c r="AD107" s="7">
        <f t="shared" si="243"/>
        <v>129773.65760812802</v>
      </c>
      <c r="AF107" s="15">
        <v>0</v>
      </c>
      <c r="AG107" s="15">
        <v>61500</v>
      </c>
      <c r="AH107" s="15">
        <f>'FY25'!AH107*1.02</f>
        <v>0</v>
      </c>
      <c r="AI107" s="7"/>
      <c r="AJ107" s="7">
        <f t="shared" si="244"/>
        <v>61500</v>
      </c>
      <c r="AL107" s="15">
        <f>'FY25'!AL107*1.02</f>
        <v>0</v>
      </c>
      <c r="AM107" s="15">
        <f>'FY25'!AM107*1.02</f>
        <v>0</v>
      </c>
      <c r="AN107" s="15">
        <v>0</v>
      </c>
      <c r="AO107" s="15">
        <v>0</v>
      </c>
      <c r="AP107" s="7">
        <f t="shared" si="245"/>
        <v>0</v>
      </c>
      <c r="AR107" s="7">
        <f>(58500*1.015*1.02)*AR45</f>
        <v>0</v>
      </c>
      <c r="AS107" s="7"/>
      <c r="AT107" s="7"/>
      <c r="AU107" s="7"/>
      <c r="AV107" s="7">
        <f t="shared" si="246"/>
        <v>0</v>
      </c>
      <c r="AX107" s="7">
        <f t="shared" si="249"/>
        <v>647463.34521856811</v>
      </c>
      <c r="AY107" s="7">
        <f t="shared" si="247"/>
        <v>61500</v>
      </c>
      <c r="AZ107" s="7">
        <f t="shared" si="247"/>
        <v>0</v>
      </c>
      <c r="BA107" s="7">
        <f t="shared" si="247"/>
        <v>0</v>
      </c>
      <c r="BB107" s="7">
        <f t="shared" si="248"/>
        <v>708963.34521856811</v>
      </c>
    </row>
    <row r="108" spans="1:54" x14ac:dyDescent="0.25">
      <c r="A108" s="62" t="s">
        <v>89</v>
      </c>
      <c r="B108" s="7">
        <f>50700*B39</f>
        <v>2104050</v>
      </c>
      <c r="C108" s="7">
        <f t="shared" ref="C108:E108" si="250">47350*C39</f>
        <v>0</v>
      </c>
      <c r="D108" s="7">
        <v>0</v>
      </c>
      <c r="E108" s="7">
        <f t="shared" si="250"/>
        <v>0</v>
      </c>
      <c r="F108" s="7">
        <f t="shared" si="239"/>
        <v>2104050</v>
      </c>
      <c r="G108" s="214">
        <f>F108/B39</f>
        <v>50700</v>
      </c>
      <c r="H108" s="7">
        <f>50700*H39</f>
        <v>5019300</v>
      </c>
      <c r="I108" s="7">
        <f t="shared" ref="I108" si="251">47350*I39</f>
        <v>0</v>
      </c>
      <c r="J108" s="7">
        <v>0</v>
      </c>
      <c r="K108" s="7">
        <f t="shared" ref="K108" si="252">47350*K39</f>
        <v>0</v>
      </c>
      <c r="L108" s="7">
        <f t="shared" si="240"/>
        <v>5019300</v>
      </c>
      <c r="M108" s="214">
        <f>L108/H39</f>
        <v>50700</v>
      </c>
      <c r="N108" s="7">
        <f>50700*N39</f>
        <v>2180100</v>
      </c>
      <c r="O108" s="7">
        <f t="shared" ref="O108" si="253">47350*O39</f>
        <v>0</v>
      </c>
      <c r="P108" s="7">
        <v>0</v>
      </c>
      <c r="Q108" s="7">
        <f t="shared" ref="Q108" si="254">47350*Q39</f>
        <v>0</v>
      </c>
      <c r="R108" s="7">
        <f t="shared" si="241"/>
        <v>2180100</v>
      </c>
      <c r="S108" s="214">
        <f>R108/N39</f>
        <v>50700</v>
      </c>
      <c r="T108" s="7">
        <f>50700*T39</f>
        <v>2687100</v>
      </c>
      <c r="U108" s="7">
        <f t="shared" ref="U108" si="255">47350*U39</f>
        <v>0</v>
      </c>
      <c r="V108" s="7">
        <v>0</v>
      </c>
      <c r="W108" s="7">
        <f t="shared" ref="W108" si="256">47350*W39</f>
        <v>0</v>
      </c>
      <c r="X108" s="7">
        <f t="shared" si="242"/>
        <v>2687100</v>
      </c>
      <c r="Y108" s="214">
        <f>X108/T39</f>
        <v>50700</v>
      </c>
      <c r="Z108" s="7">
        <f>50700*Z39</f>
        <v>4943250</v>
      </c>
      <c r="AA108" s="7">
        <f t="shared" ref="AA108" si="257">47350*AA39</f>
        <v>0</v>
      </c>
      <c r="AB108" s="7">
        <v>0</v>
      </c>
      <c r="AC108" s="7">
        <f t="shared" ref="AC108" si="258">47350*AC39</f>
        <v>0</v>
      </c>
      <c r="AD108" s="7">
        <f t="shared" si="243"/>
        <v>4943250</v>
      </c>
      <c r="AE108" s="214">
        <f>AD108/Z39</f>
        <v>50700</v>
      </c>
      <c r="AF108" s="7">
        <f>50700*AF39</f>
        <v>2078700</v>
      </c>
      <c r="AG108" s="7">
        <f t="shared" ref="AG108" si="259">47350*AG39</f>
        <v>0</v>
      </c>
      <c r="AH108" s="7">
        <v>0</v>
      </c>
      <c r="AI108" s="7">
        <f t="shared" ref="AI108" si="260">47350*AI39</f>
        <v>0</v>
      </c>
      <c r="AJ108" s="7">
        <f t="shared" si="244"/>
        <v>2078700</v>
      </c>
      <c r="AK108" s="214">
        <f>AJ108/AF39</f>
        <v>50700</v>
      </c>
      <c r="AL108" s="15">
        <v>0</v>
      </c>
      <c r="AM108" s="15">
        <v>0</v>
      </c>
      <c r="AN108" s="15">
        <v>0</v>
      </c>
      <c r="AO108" s="15">
        <v>0</v>
      </c>
      <c r="AP108" s="7">
        <f t="shared" si="245"/>
        <v>0</v>
      </c>
      <c r="AQ108" s="214"/>
      <c r="AR108" s="7">
        <f>(115*AR19)*6</f>
        <v>220800</v>
      </c>
      <c r="AS108" s="7"/>
      <c r="AT108" s="7"/>
      <c r="AU108" s="7"/>
      <c r="AV108" s="7">
        <f t="shared" si="246"/>
        <v>220800</v>
      </c>
      <c r="AX108" s="7">
        <f t="shared" si="249"/>
        <v>19233300</v>
      </c>
      <c r="AY108" s="7">
        <f t="shared" si="247"/>
        <v>0</v>
      </c>
      <c r="AZ108" s="7">
        <f t="shared" si="247"/>
        <v>0</v>
      </c>
      <c r="BA108" s="7">
        <f t="shared" si="247"/>
        <v>0</v>
      </c>
      <c r="BB108" s="7">
        <f t="shared" si="248"/>
        <v>19233300</v>
      </c>
    </row>
    <row r="109" spans="1:54" x14ac:dyDescent="0.25">
      <c r="A109" s="62" t="s">
        <v>90</v>
      </c>
      <c r="B109" s="14">
        <v>0</v>
      </c>
      <c r="C109" s="14"/>
      <c r="D109" s="14"/>
      <c r="E109" s="14"/>
      <c r="F109" s="7">
        <f t="shared" si="239"/>
        <v>0</v>
      </c>
      <c r="G109" s="214">
        <f>G108*1.02</f>
        <v>51714</v>
      </c>
      <c r="H109" s="14">
        <v>0</v>
      </c>
      <c r="I109" s="14"/>
      <c r="J109" s="14"/>
      <c r="K109" s="14"/>
      <c r="L109" s="7">
        <f t="shared" si="240"/>
        <v>0</v>
      </c>
      <c r="N109" s="14">
        <v>0</v>
      </c>
      <c r="O109" s="14"/>
      <c r="P109" s="14"/>
      <c r="Q109" s="14"/>
      <c r="R109" s="7">
        <f t="shared" si="241"/>
        <v>0</v>
      </c>
      <c r="T109" s="14">
        <v>0</v>
      </c>
      <c r="U109" s="14"/>
      <c r="V109" s="14"/>
      <c r="W109" s="14"/>
      <c r="X109" s="7">
        <f t="shared" si="242"/>
        <v>0</v>
      </c>
      <c r="Z109" s="14">
        <v>0</v>
      </c>
      <c r="AA109" s="14"/>
      <c r="AB109" s="14"/>
      <c r="AC109" s="14"/>
      <c r="AD109" s="7">
        <f t="shared" si="243"/>
        <v>0</v>
      </c>
      <c r="AF109" s="14">
        <v>0</v>
      </c>
      <c r="AG109" s="14"/>
      <c r="AH109" s="14"/>
      <c r="AI109" s="14"/>
      <c r="AJ109" s="7">
        <f t="shared" si="244"/>
        <v>0</v>
      </c>
      <c r="AL109" s="15">
        <v>0</v>
      </c>
      <c r="AM109" s="15">
        <v>0</v>
      </c>
      <c r="AN109" s="15">
        <v>0</v>
      </c>
      <c r="AO109" s="15">
        <v>0</v>
      </c>
      <c r="AP109" s="7">
        <f t="shared" si="245"/>
        <v>0</v>
      </c>
      <c r="AR109" s="14">
        <v>0</v>
      </c>
      <c r="AS109" s="14"/>
      <c r="AT109" s="14"/>
      <c r="AU109" s="14"/>
      <c r="AV109" s="7">
        <f t="shared" si="246"/>
        <v>0</v>
      </c>
      <c r="AX109" s="7">
        <f t="shared" si="249"/>
        <v>0</v>
      </c>
      <c r="AY109" s="7">
        <f t="shared" si="247"/>
        <v>0</v>
      </c>
      <c r="AZ109" s="7">
        <f t="shared" si="247"/>
        <v>0</v>
      </c>
      <c r="BA109" s="7">
        <f t="shared" si="247"/>
        <v>0</v>
      </c>
      <c r="BB109" s="7">
        <f t="shared" si="248"/>
        <v>0</v>
      </c>
    </row>
    <row r="110" spans="1:54" x14ac:dyDescent="0.25">
      <c r="A110" s="62" t="s">
        <v>30</v>
      </c>
      <c r="B110" s="7">
        <v>0</v>
      </c>
      <c r="C110" s="7"/>
      <c r="D110" s="7">
        <f>50700*D30</f>
        <v>202800</v>
      </c>
      <c r="E110" s="7"/>
      <c r="F110" s="7">
        <f t="shared" si="239"/>
        <v>202800</v>
      </c>
      <c r="H110" s="7">
        <v>0</v>
      </c>
      <c r="I110" s="7"/>
      <c r="J110" s="7">
        <f>50700*J30</f>
        <v>659100</v>
      </c>
      <c r="K110" s="7"/>
      <c r="L110" s="7">
        <f t="shared" si="240"/>
        <v>659100</v>
      </c>
      <c r="N110" s="7">
        <v>0</v>
      </c>
      <c r="O110" s="7"/>
      <c r="P110" s="7">
        <f>50700*P30</f>
        <v>202800</v>
      </c>
      <c r="Q110" s="7"/>
      <c r="R110" s="7">
        <f t="shared" si="241"/>
        <v>202800</v>
      </c>
      <c r="T110" s="7">
        <v>0</v>
      </c>
      <c r="U110" s="7"/>
      <c r="V110" s="7">
        <f>50700*V30</f>
        <v>253500</v>
      </c>
      <c r="W110" s="7"/>
      <c r="X110" s="7">
        <f t="shared" si="242"/>
        <v>253500</v>
      </c>
      <c r="Z110" s="7">
        <v>0</v>
      </c>
      <c r="AA110" s="7"/>
      <c r="AB110" s="7">
        <f>50700*AB30</f>
        <v>507000</v>
      </c>
      <c r="AC110" s="7"/>
      <c r="AD110" s="7">
        <f t="shared" si="243"/>
        <v>507000</v>
      </c>
      <c r="AF110" s="7">
        <v>0</v>
      </c>
      <c r="AG110" s="7"/>
      <c r="AH110" s="7">
        <f>50700*AH30</f>
        <v>202800</v>
      </c>
      <c r="AI110" s="7"/>
      <c r="AJ110" s="7">
        <f t="shared" si="244"/>
        <v>202800</v>
      </c>
      <c r="AL110" s="15">
        <v>0</v>
      </c>
      <c r="AM110" s="15">
        <v>0</v>
      </c>
      <c r="AN110" s="15">
        <v>0</v>
      </c>
      <c r="AO110" s="15">
        <v>0</v>
      </c>
      <c r="AP110" s="7">
        <f t="shared" si="245"/>
        <v>0</v>
      </c>
      <c r="AR110" s="7">
        <v>0</v>
      </c>
      <c r="AS110" s="7"/>
      <c r="AT110" s="7">
        <f>50000*1.02</f>
        <v>51000</v>
      </c>
      <c r="AU110" s="7"/>
      <c r="AV110" s="7">
        <f t="shared" si="246"/>
        <v>51000</v>
      </c>
      <c r="AX110" s="7">
        <f t="shared" si="249"/>
        <v>0</v>
      </c>
      <c r="AY110" s="7">
        <f t="shared" si="247"/>
        <v>0</v>
      </c>
      <c r="AZ110" s="7">
        <f t="shared" si="247"/>
        <v>2079000</v>
      </c>
      <c r="BA110" s="7">
        <f t="shared" si="247"/>
        <v>0</v>
      </c>
      <c r="BB110" s="7">
        <f t="shared" si="248"/>
        <v>2079000</v>
      </c>
    </row>
    <row r="111" spans="1:54" x14ac:dyDescent="0.25">
      <c r="A111" s="62" t="s">
        <v>91</v>
      </c>
      <c r="B111" s="15">
        <f>'FY25'!B111*1.02</f>
        <v>120679.69733802661</v>
      </c>
      <c r="C111" s="7"/>
      <c r="D111" s="7"/>
      <c r="E111" s="7"/>
      <c r="F111" s="7">
        <f t="shared" si="239"/>
        <v>120679.69733802661</v>
      </c>
      <c r="H111" s="15">
        <f>'FY25'!H111*1.02</f>
        <v>206352.70211808002</v>
      </c>
      <c r="I111" s="7"/>
      <c r="J111" s="7"/>
      <c r="K111" s="7"/>
      <c r="L111" s="7">
        <f t="shared" si="240"/>
        <v>206352.70211808002</v>
      </c>
      <c r="N111" s="15">
        <f>'FY25'!N111*1.02</f>
        <v>106124.7988439856</v>
      </c>
      <c r="O111" s="7"/>
      <c r="P111" s="7"/>
      <c r="Q111" s="7"/>
      <c r="R111" s="7">
        <f t="shared" si="241"/>
        <v>106124.7988439856</v>
      </c>
      <c r="T111" s="15">
        <f>'FY25'!T111*1.02</f>
        <v>98280.304737249593</v>
      </c>
      <c r="U111" s="7"/>
      <c r="V111" s="7"/>
      <c r="W111" s="7"/>
      <c r="X111" s="7">
        <f t="shared" si="242"/>
        <v>98280.304737249593</v>
      </c>
      <c r="Z111" s="15">
        <f>'FY25'!Z111*1.02</f>
        <v>169425.25306560003</v>
      </c>
      <c r="AA111" s="7"/>
      <c r="AB111" s="7"/>
      <c r="AC111" s="7"/>
      <c r="AD111" s="7">
        <f t="shared" si="243"/>
        <v>169425.25306560003</v>
      </c>
      <c r="AF111" s="15">
        <f>'FY25'!AF111*1.02</f>
        <v>92718</v>
      </c>
      <c r="AG111" s="7"/>
      <c r="AH111" s="7"/>
      <c r="AI111" s="7"/>
      <c r="AJ111" s="7">
        <f t="shared" si="244"/>
        <v>92718</v>
      </c>
      <c r="AL111" s="15">
        <f>'FY25'!AL111*1.02</f>
        <v>77285.656224000006</v>
      </c>
      <c r="AM111" s="15">
        <v>0</v>
      </c>
      <c r="AN111" s="15">
        <v>0</v>
      </c>
      <c r="AO111" s="15">
        <v>0</v>
      </c>
      <c r="AP111" s="7">
        <f t="shared" si="245"/>
        <v>77285.656224000006</v>
      </c>
      <c r="AR111" s="7">
        <f>(46725*1.02)*(AR47+AR48)</f>
        <v>0</v>
      </c>
      <c r="AS111" s="7"/>
      <c r="AT111" s="7"/>
      <c r="AU111" s="7"/>
      <c r="AV111" s="7">
        <f t="shared" si="246"/>
        <v>0</v>
      </c>
      <c r="AX111" s="7">
        <f t="shared" si="249"/>
        <v>870866.41232694197</v>
      </c>
      <c r="AY111" s="7">
        <f t="shared" si="247"/>
        <v>0</v>
      </c>
      <c r="AZ111" s="7">
        <f t="shared" si="247"/>
        <v>0</v>
      </c>
      <c r="BA111" s="7">
        <f t="shared" si="247"/>
        <v>0</v>
      </c>
      <c r="BB111" s="7">
        <f t="shared" si="248"/>
        <v>870866.41232694197</v>
      </c>
    </row>
    <row r="112" spans="1:54" x14ac:dyDescent="0.25">
      <c r="A112" s="62" t="s">
        <v>92</v>
      </c>
      <c r="B112" s="15">
        <f>'FY25'!B112*1.02</f>
        <v>62818.708806741888</v>
      </c>
      <c r="C112" s="7"/>
      <c r="D112" s="7"/>
      <c r="E112" s="7"/>
      <c r="F112" s="7">
        <f t="shared" si="239"/>
        <v>62818.708806741888</v>
      </c>
      <c r="H112" s="7">
        <f>((42750+43800+56000)+(33000+19000))*1.015*1.02*1.0125</f>
        <v>203935.33518749996</v>
      </c>
      <c r="I112" s="7"/>
      <c r="J112" s="7"/>
      <c r="K112" s="7"/>
      <c r="L112" s="7">
        <f t="shared" si="240"/>
        <v>203935.33518749996</v>
      </c>
      <c r="N112" s="7">
        <f>(17*8*190)*(N49+N50)</f>
        <v>51680</v>
      </c>
      <c r="O112" s="7"/>
      <c r="P112" s="7"/>
      <c r="Q112" s="7"/>
      <c r="R112" s="7">
        <f t="shared" si="241"/>
        <v>51680</v>
      </c>
      <c r="T112" s="7">
        <f>(14.75*8*190)*(T49+T50)</f>
        <v>44840</v>
      </c>
      <c r="U112" s="7"/>
      <c r="V112" s="7"/>
      <c r="W112" s="7"/>
      <c r="X112" s="7">
        <f t="shared" si="242"/>
        <v>44840</v>
      </c>
      <c r="Z112" s="7">
        <f>(14*8*200)*(Z49+Z50)</f>
        <v>89600</v>
      </c>
      <c r="AA112" s="7"/>
      <c r="AB112" s="7"/>
      <c r="AC112" s="7"/>
      <c r="AD112" s="7">
        <f t="shared" si="243"/>
        <v>89600</v>
      </c>
      <c r="AF112" s="7">
        <f>(14.5*8*200)*(AF49+AF50)</f>
        <v>46400</v>
      </c>
      <c r="AG112" s="7"/>
      <c r="AH112" s="7"/>
      <c r="AI112" s="7"/>
      <c r="AJ112" s="7">
        <f t="shared" si="244"/>
        <v>46400</v>
      </c>
      <c r="AL112" s="15">
        <v>0</v>
      </c>
      <c r="AM112" s="15">
        <v>0</v>
      </c>
      <c r="AN112" s="15">
        <v>0</v>
      </c>
      <c r="AO112" s="15">
        <v>0</v>
      </c>
      <c r="AP112" s="7">
        <f t="shared" si="245"/>
        <v>0</v>
      </c>
      <c r="AR112" s="7">
        <v>0</v>
      </c>
      <c r="AS112" s="7"/>
      <c r="AT112" s="7"/>
      <c r="AU112" s="7"/>
      <c r="AV112" s="7">
        <f t="shared" si="246"/>
        <v>0</v>
      </c>
      <c r="AX112" s="7">
        <f t="shared" si="249"/>
        <v>499274.04399424186</v>
      </c>
      <c r="AY112" s="7">
        <f t="shared" si="247"/>
        <v>0</v>
      </c>
      <c r="AZ112" s="7">
        <f t="shared" si="247"/>
        <v>0</v>
      </c>
      <c r="BA112" s="7">
        <f t="shared" si="247"/>
        <v>0</v>
      </c>
      <c r="BB112" s="7">
        <f t="shared" si="248"/>
        <v>499274.04399424186</v>
      </c>
    </row>
    <row r="113" spans="1:54" x14ac:dyDescent="0.25">
      <c r="A113" s="62" t="s">
        <v>93</v>
      </c>
      <c r="B113" s="7">
        <f>(13.5*8*200)*B51</f>
        <v>0</v>
      </c>
      <c r="C113" s="7">
        <f>(14.75*8*180)*C51</f>
        <v>31860</v>
      </c>
      <c r="D113" s="7">
        <f>(14.75*8*180)*D51</f>
        <v>84960</v>
      </c>
      <c r="E113" s="7">
        <v>0</v>
      </c>
      <c r="F113" s="7">
        <f t="shared" si="239"/>
        <v>116820</v>
      </c>
      <c r="H113" s="7">
        <f>(13.5*8*200)*H51</f>
        <v>0</v>
      </c>
      <c r="I113" s="7">
        <f>(15*8*180)*I51</f>
        <v>172800</v>
      </c>
      <c r="J113" s="7">
        <f>(15*8*180)*J51</f>
        <v>280800</v>
      </c>
      <c r="K113" s="7">
        <v>0</v>
      </c>
      <c r="L113" s="7">
        <f t="shared" si="240"/>
        <v>453600</v>
      </c>
      <c r="N113" s="7">
        <f>(13.5*8*200)*N51</f>
        <v>0</v>
      </c>
      <c r="O113" s="7">
        <f>(15.25*8*180)*O51</f>
        <v>98820</v>
      </c>
      <c r="P113" s="7">
        <f>(15.25*8*180)*P51</f>
        <v>87840</v>
      </c>
      <c r="Q113" s="7">
        <v>0</v>
      </c>
      <c r="R113" s="7">
        <f t="shared" si="241"/>
        <v>186660</v>
      </c>
      <c r="T113" s="7">
        <f>(14.75*8*180)*T51</f>
        <v>31860</v>
      </c>
      <c r="U113" s="7">
        <f>(14.75*8*180)*U51</f>
        <v>42480</v>
      </c>
      <c r="V113" s="7">
        <f>(14.75*8*180)*V51</f>
        <v>106200</v>
      </c>
      <c r="W113" s="7">
        <v>0</v>
      </c>
      <c r="X113" s="7">
        <f t="shared" si="242"/>
        <v>180540</v>
      </c>
      <c r="Z113" s="7">
        <f>(13.5*8*200)*Z51</f>
        <v>0</v>
      </c>
      <c r="AA113" s="7">
        <f>(15*8*180)*AA51</f>
        <v>86400</v>
      </c>
      <c r="AB113" s="7">
        <f>(15*8*180)*AB51</f>
        <v>216000</v>
      </c>
      <c r="AC113" s="7">
        <v>0</v>
      </c>
      <c r="AD113" s="7">
        <f t="shared" si="243"/>
        <v>302400</v>
      </c>
      <c r="AF113" s="7">
        <f>(13.5*8*200)*AF51</f>
        <v>0</v>
      </c>
      <c r="AG113" s="7">
        <f>(14.5*8*180)*AG51</f>
        <v>0</v>
      </c>
      <c r="AH113" s="7">
        <f>(14.5*8*180)*AH51</f>
        <v>104400</v>
      </c>
      <c r="AI113" s="7">
        <v>0</v>
      </c>
      <c r="AJ113" s="7">
        <f t="shared" si="244"/>
        <v>104400</v>
      </c>
      <c r="AL113" s="15">
        <v>0</v>
      </c>
      <c r="AM113" s="15">
        <v>0</v>
      </c>
      <c r="AN113" s="15">
        <v>0</v>
      </c>
      <c r="AO113" s="15">
        <v>0</v>
      </c>
      <c r="AP113" s="7">
        <f t="shared" si="245"/>
        <v>0</v>
      </c>
      <c r="AR113" s="7">
        <f>(15*8*200)*AR51</f>
        <v>0</v>
      </c>
      <c r="AS113" s="7">
        <f>(15*8*180)*AS51</f>
        <v>0</v>
      </c>
      <c r="AT113" s="7">
        <f>(15*8*180)*AT51</f>
        <v>21600</v>
      </c>
      <c r="AU113" s="7">
        <f>(14.5*8*180)*AU51</f>
        <v>0</v>
      </c>
      <c r="AV113" s="7">
        <f t="shared" si="246"/>
        <v>21600</v>
      </c>
      <c r="AX113" s="7">
        <f t="shared" si="249"/>
        <v>31860</v>
      </c>
      <c r="AY113" s="7">
        <f t="shared" si="247"/>
        <v>432360</v>
      </c>
      <c r="AZ113" s="7">
        <f t="shared" si="247"/>
        <v>901800</v>
      </c>
      <c r="BA113" s="7">
        <f t="shared" si="247"/>
        <v>0</v>
      </c>
      <c r="BB113" s="7">
        <f t="shared" si="248"/>
        <v>1366020</v>
      </c>
    </row>
    <row r="114" spans="1:54" x14ac:dyDescent="0.25">
      <c r="A114" s="62" t="s">
        <v>94</v>
      </c>
      <c r="B114" s="7">
        <f>(23.5*8*240)*B52</f>
        <v>45120</v>
      </c>
      <c r="C114" s="7"/>
      <c r="D114" s="7">
        <f>(22.75*8*240)*D52</f>
        <v>0</v>
      </c>
      <c r="E114" s="7"/>
      <c r="F114" s="7">
        <f t="shared" si="239"/>
        <v>45120</v>
      </c>
      <c r="H114" s="7">
        <f>(15.75*8*240)*H52</f>
        <v>151200</v>
      </c>
      <c r="I114" s="7"/>
      <c r="J114" s="7">
        <f>(22.75*8*240)*J52</f>
        <v>0</v>
      </c>
      <c r="K114" s="7"/>
      <c r="L114" s="7">
        <f t="shared" si="240"/>
        <v>151200</v>
      </c>
      <c r="N114" s="7">
        <f>(16.25*8*240)*N52</f>
        <v>62400</v>
      </c>
      <c r="O114" s="7"/>
      <c r="P114" s="7">
        <f>(22.75*8*240)*P52</f>
        <v>0</v>
      </c>
      <c r="Q114" s="7"/>
      <c r="R114" s="7">
        <f t="shared" si="241"/>
        <v>62400</v>
      </c>
      <c r="T114" s="7">
        <f>(14.75*8*240)*T52</f>
        <v>56640</v>
      </c>
      <c r="U114" s="7"/>
      <c r="V114" s="7">
        <f>(22.75*8*240)*V52</f>
        <v>0</v>
      </c>
      <c r="W114" s="7"/>
      <c r="X114" s="7">
        <f t="shared" si="242"/>
        <v>56640</v>
      </c>
      <c r="Z114" s="7">
        <f>(15.75*8*240)*Z52</f>
        <v>120960</v>
      </c>
      <c r="AA114" s="7"/>
      <c r="AB114" s="7">
        <f>(22.75*8*240)*AB52</f>
        <v>0</v>
      </c>
      <c r="AC114" s="7"/>
      <c r="AD114" s="7">
        <f t="shared" si="243"/>
        <v>120960</v>
      </c>
      <c r="AF114" s="7">
        <f>(14.5*8*240)*AF52</f>
        <v>55680</v>
      </c>
      <c r="AG114" s="7"/>
      <c r="AH114" s="7">
        <f>(22.75*8*240)*AH52</f>
        <v>0</v>
      </c>
      <c r="AI114" s="7"/>
      <c r="AJ114" s="7">
        <f t="shared" si="244"/>
        <v>55680</v>
      </c>
      <c r="AL114" s="15">
        <v>0</v>
      </c>
      <c r="AM114" s="15">
        <v>0</v>
      </c>
      <c r="AN114" s="15">
        <v>0</v>
      </c>
      <c r="AO114" s="15">
        <v>0</v>
      </c>
      <c r="AP114" s="7">
        <f t="shared" si="245"/>
        <v>0</v>
      </c>
      <c r="AR114" s="7">
        <f>(14*8*240)*AR52</f>
        <v>0</v>
      </c>
      <c r="AS114" s="7"/>
      <c r="AT114" s="7"/>
      <c r="AU114" s="7"/>
      <c r="AV114" s="7">
        <f t="shared" si="246"/>
        <v>0</v>
      </c>
      <c r="AX114" s="7">
        <f t="shared" si="249"/>
        <v>492000</v>
      </c>
      <c r="AY114" s="7">
        <f t="shared" si="247"/>
        <v>0</v>
      </c>
      <c r="AZ114" s="7">
        <f t="shared" si="247"/>
        <v>0</v>
      </c>
      <c r="BA114" s="7">
        <f t="shared" si="247"/>
        <v>0</v>
      </c>
      <c r="BB114" s="7">
        <f t="shared" si="248"/>
        <v>492000</v>
      </c>
    </row>
    <row r="115" spans="1:54" x14ac:dyDescent="0.25">
      <c r="A115" s="62" t="s">
        <v>248</v>
      </c>
      <c r="B115" s="7">
        <v>0</v>
      </c>
      <c r="C115" s="7">
        <f>(12.75*8*180)*C54</f>
        <v>0</v>
      </c>
      <c r="D115" s="7"/>
      <c r="E115" s="7"/>
      <c r="F115" s="7">
        <f t="shared" si="239"/>
        <v>0</v>
      </c>
      <c r="H115" s="7">
        <v>0</v>
      </c>
      <c r="I115" s="7">
        <f>(12.75*8*180)*I54</f>
        <v>0</v>
      </c>
      <c r="J115" s="7"/>
      <c r="K115" s="7"/>
      <c r="L115" s="7">
        <f t="shared" si="240"/>
        <v>0</v>
      </c>
      <c r="N115" s="7">
        <v>0</v>
      </c>
      <c r="O115" s="7">
        <f>(12.75*8*180)*O54</f>
        <v>0</v>
      </c>
      <c r="P115" s="7"/>
      <c r="Q115" s="7"/>
      <c r="R115" s="7">
        <f t="shared" si="241"/>
        <v>0</v>
      </c>
      <c r="T115" s="7">
        <v>0</v>
      </c>
      <c r="U115" s="7">
        <f>(12.75*8*180)*U54</f>
        <v>0</v>
      </c>
      <c r="V115" s="7"/>
      <c r="W115" s="7"/>
      <c r="X115" s="7">
        <f t="shared" si="242"/>
        <v>0</v>
      </c>
      <c r="Z115" s="7">
        <v>0</v>
      </c>
      <c r="AA115" s="7">
        <f>(12.75*8*180)*AA54</f>
        <v>0</v>
      </c>
      <c r="AB115" s="7"/>
      <c r="AC115" s="7"/>
      <c r="AD115" s="7">
        <f t="shared" si="243"/>
        <v>0</v>
      </c>
      <c r="AF115" s="7">
        <v>0</v>
      </c>
      <c r="AG115" s="7">
        <f>(12.75*8*180)*AG54</f>
        <v>0</v>
      </c>
      <c r="AH115" s="7"/>
      <c r="AI115" s="7"/>
      <c r="AJ115" s="7">
        <f t="shared" si="244"/>
        <v>0</v>
      </c>
      <c r="AL115" s="15">
        <v>0</v>
      </c>
      <c r="AM115" s="15">
        <v>0</v>
      </c>
      <c r="AN115" s="15">
        <v>0</v>
      </c>
      <c r="AO115" s="15">
        <v>0</v>
      </c>
      <c r="AP115" s="7">
        <f t="shared" si="245"/>
        <v>0</v>
      </c>
      <c r="AR115" s="7">
        <f>(55000*1.06)*2</f>
        <v>116600</v>
      </c>
      <c r="AS115" s="7">
        <f>(12.75*8*180)*AS54</f>
        <v>0</v>
      </c>
      <c r="AT115" s="7"/>
      <c r="AU115" s="7"/>
      <c r="AV115" s="7">
        <f t="shared" si="246"/>
        <v>116600</v>
      </c>
      <c r="AX115" s="7">
        <f t="shared" si="249"/>
        <v>116600</v>
      </c>
      <c r="AY115" s="7">
        <f t="shared" si="247"/>
        <v>0</v>
      </c>
      <c r="AZ115" s="7">
        <f t="shared" si="247"/>
        <v>0</v>
      </c>
      <c r="BA115" s="7">
        <f t="shared" si="247"/>
        <v>0</v>
      </c>
      <c r="BB115" s="7">
        <f t="shared" si="248"/>
        <v>116600</v>
      </c>
    </row>
    <row r="116" spans="1:54" ht="15.75" thickBot="1" x14ac:dyDescent="0.3">
      <c r="A116" s="82" t="s">
        <v>95</v>
      </c>
      <c r="B116" s="83">
        <f>SUM(B103:B115)</f>
        <v>2685072.33739577</v>
      </c>
      <c r="C116" s="83">
        <f>SUM(C103:C115)</f>
        <v>107630.2512</v>
      </c>
      <c r="D116" s="83">
        <f t="shared" ref="D116:F116" si="261">SUM(D103:D115)</f>
        <v>287760</v>
      </c>
      <c r="E116" s="83">
        <f t="shared" si="261"/>
        <v>0</v>
      </c>
      <c r="F116" s="83">
        <f t="shared" si="261"/>
        <v>3080462.5885957698</v>
      </c>
      <c r="H116" s="83">
        <f>SUM(H103:H115)</f>
        <v>6467642.187272964</v>
      </c>
      <c r="I116" s="83">
        <f>SUM(I103:I115)</f>
        <v>172800</v>
      </c>
      <c r="J116" s="83">
        <f t="shared" ref="J116:L116" si="262">SUM(J103:J115)</f>
        <v>939900</v>
      </c>
      <c r="K116" s="83">
        <f t="shared" si="262"/>
        <v>0</v>
      </c>
      <c r="L116" s="83">
        <f t="shared" si="262"/>
        <v>7580342.187272964</v>
      </c>
      <c r="N116" s="83">
        <f>SUM(N103:N115)</f>
        <v>2754498.2502391855</v>
      </c>
      <c r="O116" s="83">
        <f>SUM(O103:O115)</f>
        <v>159544.44417600002</v>
      </c>
      <c r="P116" s="83">
        <f t="shared" ref="P116:R116" si="263">SUM(P103:P115)</f>
        <v>290640</v>
      </c>
      <c r="Q116" s="83">
        <f t="shared" si="263"/>
        <v>0</v>
      </c>
      <c r="R116" s="83">
        <f t="shared" si="263"/>
        <v>3204682.6944151856</v>
      </c>
      <c r="T116" s="83">
        <f>SUM(T103:T115)</f>
        <v>3409926.8325147056</v>
      </c>
      <c r="U116" s="83">
        <f>SUM(U103:U115)</f>
        <v>42480</v>
      </c>
      <c r="V116" s="83">
        <f t="shared" ref="V116:X116" si="264">SUM(V103:V115)</f>
        <v>359700</v>
      </c>
      <c r="W116" s="83">
        <f t="shared" si="264"/>
        <v>0</v>
      </c>
      <c r="X116" s="83">
        <f t="shared" si="264"/>
        <v>3812106.8325147056</v>
      </c>
      <c r="Z116" s="83">
        <f>SUM(Z103:Z115)</f>
        <v>5909499.3452411843</v>
      </c>
      <c r="AA116" s="83">
        <f>SUM(AA103:AA115)</f>
        <v>86400</v>
      </c>
      <c r="AB116" s="83">
        <f t="shared" ref="AB116:AD116" si="265">SUM(AB103:AB115)</f>
        <v>818508.72</v>
      </c>
      <c r="AC116" s="83">
        <f t="shared" si="265"/>
        <v>0</v>
      </c>
      <c r="AD116" s="83">
        <f t="shared" si="265"/>
        <v>6814408.0652411841</v>
      </c>
      <c r="AF116" s="83">
        <f>SUM(AF103:AF115)</f>
        <v>2542472</v>
      </c>
      <c r="AG116" s="83">
        <f>SUM(AG103:AG115)</f>
        <v>161626</v>
      </c>
      <c r="AH116" s="83">
        <f t="shared" ref="AH116:AJ116" si="266">SUM(AH103:AH115)</f>
        <v>307200</v>
      </c>
      <c r="AI116" s="83">
        <f t="shared" si="266"/>
        <v>0</v>
      </c>
      <c r="AJ116" s="83">
        <f t="shared" si="266"/>
        <v>3011298</v>
      </c>
      <c r="AL116" s="83">
        <f>SUM(AL103:AL115)</f>
        <v>154571.31244800001</v>
      </c>
      <c r="AM116" s="83">
        <f>SUM(AM103:AM115)</f>
        <v>0</v>
      </c>
      <c r="AN116" s="83">
        <f t="shared" ref="AN116:AP116" si="267">SUM(AN103:AN115)</f>
        <v>0</v>
      </c>
      <c r="AO116" s="83">
        <f t="shared" si="267"/>
        <v>0</v>
      </c>
      <c r="AP116" s="83">
        <f t="shared" si="267"/>
        <v>154571.31244800001</v>
      </c>
      <c r="AR116" s="83">
        <f>SUM(AR103:AR115)</f>
        <v>337400</v>
      </c>
      <c r="AS116" s="83">
        <f>SUM(AS103:AS115)</f>
        <v>0</v>
      </c>
      <c r="AT116" s="83">
        <f t="shared" ref="AT116:AV116" si="268">SUM(AT103:AT115)</f>
        <v>72600</v>
      </c>
      <c r="AU116" s="83">
        <f t="shared" si="268"/>
        <v>0</v>
      </c>
      <c r="AV116" s="83">
        <f t="shared" si="268"/>
        <v>410000</v>
      </c>
      <c r="AX116" s="83">
        <f>SUM(AX103:AX115)</f>
        <v>24261082.265111808</v>
      </c>
      <c r="AY116" s="83">
        <f>SUM(AY103:AY115)</f>
        <v>730480.69537600002</v>
      </c>
      <c r="AZ116" s="83">
        <f t="shared" ref="AZ116:BB116" si="269">SUM(AZ103:AZ115)</f>
        <v>3076308.72</v>
      </c>
      <c r="BA116" s="83">
        <f t="shared" si="269"/>
        <v>0</v>
      </c>
      <c r="BB116" s="83">
        <f t="shared" si="269"/>
        <v>28067871.680487808</v>
      </c>
    </row>
    <row r="117" spans="1:54" x14ac:dyDescent="0.25">
      <c r="A117" s="84" t="s">
        <v>96</v>
      </c>
      <c r="B117" s="150" t="str">
        <f>B1</f>
        <v>Operating</v>
      </c>
      <c r="C117" s="150" t="str">
        <f>C1</f>
        <v>Weights</v>
      </c>
      <c r="D117" s="150" t="str">
        <f>D1</f>
        <v>SPED</v>
      </c>
      <c r="E117" s="150" t="str">
        <f t="shared" ref="E117:F117" si="270">E1</f>
        <v>NSLP</v>
      </c>
      <c r="F117" s="150" t="str">
        <f t="shared" si="270"/>
        <v>Horizon</v>
      </c>
      <c r="H117" s="150" t="str">
        <f>H1</f>
        <v>Operating</v>
      </c>
      <c r="I117" s="150" t="str">
        <f>I1</f>
        <v>Weights</v>
      </c>
      <c r="J117" s="150" t="str">
        <f>J1</f>
        <v>SPED</v>
      </c>
      <c r="K117" s="150" t="str">
        <f t="shared" ref="K117:L117" si="271">K1</f>
        <v>NSLP</v>
      </c>
      <c r="L117" s="150" t="str">
        <f t="shared" si="271"/>
        <v>Cadence</v>
      </c>
      <c r="N117" s="150" t="str">
        <f>N1</f>
        <v>Operating</v>
      </c>
      <c r="O117" s="150" t="str">
        <f>O1</f>
        <v>Weights</v>
      </c>
      <c r="P117" s="150" t="str">
        <f>P1</f>
        <v>SPED</v>
      </c>
      <c r="Q117" s="150" t="str">
        <f t="shared" ref="Q117:R117" si="272">Q1</f>
        <v>NSLP</v>
      </c>
      <c r="R117" s="150" t="str">
        <f t="shared" si="272"/>
        <v>St. Rose</v>
      </c>
      <c r="T117" s="150" t="str">
        <f>T1</f>
        <v>Operating</v>
      </c>
      <c r="U117" s="150" t="str">
        <f>U1</f>
        <v>Weights</v>
      </c>
      <c r="V117" s="150" t="str">
        <f>V1</f>
        <v>SPED</v>
      </c>
      <c r="W117" s="150" t="str">
        <f t="shared" ref="W117:X117" si="273">W1</f>
        <v>NSLP</v>
      </c>
      <c r="X117" s="150" t="str">
        <f t="shared" si="273"/>
        <v>Inspirada</v>
      </c>
      <c r="Z117" s="150" t="str">
        <f>Z1</f>
        <v>Operating</v>
      </c>
      <c r="AA117" s="150" t="str">
        <f>AA1</f>
        <v>Weights</v>
      </c>
      <c r="AB117" s="150" t="str">
        <f>AB1</f>
        <v>SPED</v>
      </c>
      <c r="AC117" s="150" t="str">
        <f t="shared" ref="AC117:AD117" si="274">AC1</f>
        <v>NSLP</v>
      </c>
      <c r="AD117" s="150" t="str">
        <f t="shared" si="274"/>
        <v>Sloan Canyon</v>
      </c>
      <c r="AF117" s="150" t="str">
        <f>AF1</f>
        <v>Operating</v>
      </c>
      <c r="AG117" s="150" t="str">
        <f>AG1</f>
        <v>Weights</v>
      </c>
      <c r="AH117" s="150" t="str">
        <f>AH1</f>
        <v>SPED</v>
      </c>
      <c r="AI117" s="150" t="str">
        <f t="shared" ref="AI117:AJ117" si="275">AI1</f>
        <v>NSLP</v>
      </c>
      <c r="AJ117" s="150" t="str">
        <f t="shared" si="275"/>
        <v>Springs</v>
      </c>
      <c r="AL117" s="150" t="str">
        <f>AL1</f>
        <v>Operating</v>
      </c>
      <c r="AM117" s="150" t="str">
        <f>AM1</f>
        <v>Weights</v>
      </c>
      <c r="AN117" s="150" t="str">
        <f>AN1</f>
        <v>SPED</v>
      </c>
      <c r="AO117" s="150" t="str">
        <f t="shared" ref="AO117:AP117" si="276">AO1</f>
        <v>NSLP</v>
      </c>
      <c r="AP117" s="150" t="str">
        <f t="shared" si="276"/>
        <v>System Wide</v>
      </c>
      <c r="AR117" s="150" t="str">
        <f>AR1</f>
        <v>Operating</v>
      </c>
      <c r="AS117" s="150" t="str">
        <f>AS1</f>
        <v>Weights</v>
      </c>
      <c r="AT117" s="150" t="str">
        <f>AT1</f>
        <v>SPED</v>
      </c>
      <c r="AU117" s="150" t="str">
        <f t="shared" ref="AU117:AV117" si="277">AU1</f>
        <v>NSLP</v>
      </c>
      <c r="AV117" s="150" t="str">
        <f t="shared" si="277"/>
        <v>Virtual</v>
      </c>
      <c r="AX117" s="150" t="str">
        <f>AX1</f>
        <v>Operating</v>
      </c>
      <c r="AY117" s="150" t="str">
        <f>AY1</f>
        <v>Weights</v>
      </c>
      <c r="AZ117" s="150" t="str">
        <f>AZ1</f>
        <v>SPED</v>
      </c>
      <c r="BA117" s="150" t="str">
        <f t="shared" ref="BA117:BB117" si="278">BA1</f>
        <v>NSLP</v>
      </c>
      <c r="BB117" s="150" t="str">
        <f t="shared" si="278"/>
        <v>Pinecrest System</v>
      </c>
    </row>
    <row r="118" spans="1:54" x14ac:dyDescent="0.25">
      <c r="A118" s="62"/>
      <c r="B118" s="7"/>
      <c r="C118" s="7"/>
      <c r="D118" s="7"/>
      <c r="E118" s="7"/>
      <c r="F118" s="7">
        <f t="shared" ref="F118:F127" si="279">SUM(B118:E118)</f>
        <v>0</v>
      </c>
      <c r="H118" s="7"/>
      <c r="I118" s="7"/>
      <c r="J118" s="7"/>
      <c r="K118" s="7"/>
      <c r="L118" s="7">
        <f t="shared" ref="L118:L127" si="280">SUM(H118:K118)</f>
        <v>0</v>
      </c>
      <c r="N118" s="7"/>
      <c r="O118" s="7"/>
      <c r="P118" s="7"/>
      <c r="Q118" s="7"/>
      <c r="R118" s="7">
        <f t="shared" ref="R118:R127" si="281">SUM(N118:Q118)</f>
        <v>0</v>
      </c>
      <c r="T118" s="7"/>
      <c r="U118" s="7"/>
      <c r="V118" s="7"/>
      <c r="W118" s="7"/>
      <c r="X118" s="7">
        <f t="shared" ref="X118:X127" si="282">SUM(T118:W118)</f>
        <v>0</v>
      </c>
      <c r="Z118" s="7"/>
      <c r="AA118" s="7"/>
      <c r="AB118" s="7"/>
      <c r="AC118" s="7"/>
      <c r="AD118" s="7">
        <f t="shared" ref="AD118:AD127" si="283">SUM(Z118:AC118)</f>
        <v>0</v>
      </c>
      <c r="AF118" s="7"/>
      <c r="AG118" s="7"/>
      <c r="AH118" s="7"/>
      <c r="AI118" s="7"/>
      <c r="AJ118" s="7">
        <f t="shared" ref="AJ118:AJ127" si="284">SUM(AF118:AI118)</f>
        <v>0</v>
      </c>
      <c r="AL118" s="7"/>
      <c r="AM118" s="7"/>
      <c r="AN118" s="7"/>
      <c r="AO118" s="7"/>
      <c r="AP118" s="7">
        <f t="shared" ref="AP118:AP127" si="285">SUM(AL118:AO118)</f>
        <v>0</v>
      </c>
      <c r="AR118" s="7"/>
      <c r="AS118" s="7"/>
      <c r="AT118" s="7"/>
      <c r="AU118" s="7"/>
      <c r="AV118" s="7">
        <f t="shared" ref="AV118:AV127" si="286">SUM(AR118:AU118)</f>
        <v>0</v>
      </c>
      <c r="AX118" s="7">
        <f>B118+H118+N118+T118+Z118+AF118+AL118+AR118</f>
        <v>0</v>
      </c>
      <c r="AY118" s="7">
        <f t="shared" ref="AY118:BA127" si="287">C118+I118+O118+U118+AA118+AG118+AM118+AS118</f>
        <v>0</v>
      </c>
      <c r="AZ118" s="7">
        <f t="shared" si="287"/>
        <v>0</v>
      </c>
      <c r="BA118" s="7">
        <f t="shared" si="287"/>
        <v>0</v>
      </c>
      <c r="BB118" s="7">
        <f t="shared" ref="BB118:BB127" si="288">SUM(AX118:BA118)</f>
        <v>0</v>
      </c>
    </row>
    <row r="119" spans="1:54" x14ac:dyDescent="0.25">
      <c r="A119" s="62" t="s">
        <v>54</v>
      </c>
      <c r="B119" s="7">
        <v>0</v>
      </c>
      <c r="C119" s="15">
        <f>'FY25'!C119*1.02</f>
        <v>0</v>
      </c>
      <c r="D119" s="15">
        <f>'FY25'!D119*1.02</f>
        <v>70053.926963040023</v>
      </c>
      <c r="E119" s="15">
        <f>'FY25'!E119*1.02</f>
        <v>0</v>
      </c>
      <c r="F119" s="7">
        <f t="shared" si="279"/>
        <v>70053.926963040023</v>
      </c>
      <c r="H119" s="7">
        <v>0</v>
      </c>
      <c r="I119" s="15">
        <f>'FY25'!I119*1.02</f>
        <v>0</v>
      </c>
      <c r="J119" s="15">
        <f>'FY25'!J119*1.02</f>
        <v>69854.016600000003</v>
      </c>
      <c r="K119" s="15">
        <f>'FY25'!K119*1.02</f>
        <v>0</v>
      </c>
      <c r="L119" s="7">
        <f t="shared" si="280"/>
        <v>69854.016600000003</v>
      </c>
      <c r="N119" s="7">
        <v>0</v>
      </c>
      <c r="O119" s="15">
        <f>'FY25'!O119*1.02</f>
        <v>0</v>
      </c>
      <c r="P119" s="15">
        <f>'FY25'!P119*1.02</f>
        <v>64733.688000000002</v>
      </c>
      <c r="Q119" s="15">
        <f>'FY25'!Q119*1.02</f>
        <v>0</v>
      </c>
      <c r="R119" s="7">
        <f t="shared" si="281"/>
        <v>64733.688000000002</v>
      </c>
      <c r="T119" s="7">
        <v>0</v>
      </c>
      <c r="U119" s="15">
        <f>'FY25'!U119*1.02</f>
        <v>0</v>
      </c>
      <c r="V119" s="15">
        <f>'FY25'!V119*1.02</f>
        <v>48815.567999999999</v>
      </c>
      <c r="W119" s="15">
        <f>'FY25'!W119*1.02</f>
        <v>0</v>
      </c>
      <c r="X119" s="7">
        <f t="shared" si="282"/>
        <v>48815.567999999999</v>
      </c>
      <c r="Z119" s="7">
        <v>0</v>
      </c>
      <c r="AA119" s="15">
        <f>'FY25'!AA119*1.02</f>
        <v>0</v>
      </c>
      <c r="AB119" s="15">
        <f>'FY25'!AB119*1.02</f>
        <v>0</v>
      </c>
      <c r="AC119" s="15">
        <f>'FY25'!AC119*1.02</f>
        <v>0</v>
      </c>
      <c r="AD119" s="7">
        <f t="shared" si="283"/>
        <v>0</v>
      </c>
      <c r="AF119" s="7">
        <v>0</v>
      </c>
      <c r="AG119" s="7">
        <f>'FY23'!AG119*1.02</f>
        <v>0</v>
      </c>
      <c r="AH119" s="7">
        <f>'FY23'!AH119*1.02</f>
        <v>0</v>
      </c>
      <c r="AI119" s="7">
        <f>'FY23'!AI119*1.02</f>
        <v>0</v>
      </c>
      <c r="AJ119" s="7">
        <f t="shared" si="284"/>
        <v>0</v>
      </c>
      <c r="AL119" s="7">
        <v>0</v>
      </c>
      <c r="AM119" s="15">
        <f>'FY25'!AM119*1.02</f>
        <v>0</v>
      </c>
      <c r="AN119" s="15">
        <f>'FY25'!AN119*1.02</f>
        <v>0</v>
      </c>
      <c r="AO119" s="15">
        <f>'FY25'!AO119*1.02</f>
        <v>0</v>
      </c>
      <c r="AP119" s="7">
        <f t="shared" si="285"/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f t="shared" si="286"/>
        <v>0</v>
      </c>
      <c r="AX119" s="7">
        <f t="shared" ref="AX119:AX127" si="289">B119+H119+N119+T119+Z119+AF119+AL119+AR119</f>
        <v>0</v>
      </c>
      <c r="AY119" s="7">
        <f t="shared" si="287"/>
        <v>0</v>
      </c>
      <c r="AZ119" s="7">
        <f t="shared" si="287"/>
        <v>253457.19956304002</v>
      </c>
      <c r="BA119" s="7">
        <f t="shared" si="287"/>
        <v>0</v>
      </c>
      <c r="BB119" s="7">
        <f t="shared" si="288"/>
        <v>253457.19956304002</v>
      </c>
    </row>
    <row r="120" spans="1:54" x14ac:dyDescent="0.25">
      <c r="A120" s="62" t="s">
        <v>55</v>
      </c>
      <c r="B120" s="7">
        <v>0</v>
      </c>
      <c r="C120" s="15">
        <f>'FY25'!C120*1.02</f>
        <v>0</v>
      </c>
      <c r="D120" s="15">
        <f>'FY25'!D120*1.02</f>
        <v>0</v>
      </c>
      <c r="E120" s="15">
        <f>'FY25'!E120*1.02</f>
        <v>0</v>
      </c>
      <c r="F120" s="7">
        <f t="shared" si="279"/>
        <v>0</v>
      </c>
      <c r="H120" s="7">
        <v>0</v>
      </c>
      <c r="I120" s="15">
        <f>'FY25'!I120*1.02</f>
        <v>0</v>
      </c>
      <c r="J120" s="15">
        <f>'FY25'!J120*1.02</f>
        <v>50937.984000000004</v>
      </c>
      <c r="K120" s="15">
        <f>'FY25'!K120*1.02</f>
        <v>0</v>
      </c>
      <c r="L120" s="7">
        <f t="shared" si="280"/>
        <v>50937.984000000004</v>
      </c>
      <c r="N120" s="7">
        <v>0</v>
      </c>
      <c r="O120" s="15">
        <f>'FY25'!O120*1.02</f>
        <v>0</v>
      </c>
      <c r="P120" s="15">
        <f>'FY25'!P120*1.02</f>
        <v>0</v>
      </c>
      <c r="Q120" s="15">
        <f>'FY25'!Q120*1.02</f>
        <v>0</v>
      </c>
      <c r="R120" s="7">
        <f t="shared" si="281"/>
        <v>0</v>
      </c>
      <c r="T120" s="7">
        <v>0</v>
      </c>
      <c r="U120" s="15">
        <f>'FY25'!U120*1.02</f>
        <v>0</v>
      </c>
      <c r="V120" s="15">
        <f>'FY25'!V120*1.02</f>
        <v>45180.9306</v>
      </c>
      <c r="W120" s="15">
        <f>'FY25'!W120*1.02</f>
        <v>0</v>
      </c>
      <c r="X120" s="7">
        <f t="shared" si="282"/>
        <v>45180.9306</v>
      </c>
      <c r="Z120" s="7">
        <v>0</v>
      </c>
      <c r="AA120" s="15">
        <f>'FY25'!AA120*1.02</f>
        <v>0</v>
      </c>
      <c r="AB120" s="15">
        <f>'FY25'!AB120*1.02</f>
        <v>50787.716947200002</v>
      </c>
      <c r="AC120" s="15">
        <f>'FY25'!AC120*1.02</f>
        <v>0</v>
      </c>
      <c r="AD120" s="7">
        <f t="shared" si="283"/>
        <v>50787.716947200002</v>
      </c>
      <c r="AF120" s="7">
        <v>0</v>
      </c>
      <c r="AG120" s="7">
        <f>'FY23'!AG120*1.02</f>
        <v>0</v>
      </c>
      <c r="AH120" s="7">
        <f>'FY23'!AH120*1.02</f>
        <v>0</v>
      </c>
      <c r="AI120" s="7">
        <f>'FY23'!AI120*1.02</f>
        <v>0</v>
      </c>
      <c r="AJ120" s="7">
        <f t="shared" si="284"/>
        <v>0</v>
      </c>
      <c r="AL120" s="7">
        <v>0</v>
      </c>
      <c r="AM120" s="15">
        <f>'FY25'!AM120*1.02</f>
        <v>0</v>
      </c>
      <c r="AN120" s="15">
        <f>'FY25'!AN120*1.02</f>
        <v>0</v>
      </c>
      <c r="AO120" s="15">
        <f>'FY25'!AO120*1.02</f>
        <v>0</v>
      </c>
      <c r="AP120" s="7">
        <f t="shared" si="285"/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f t="shared" si="286"/>
        <v>0</v>
      </c>
      <c r="AX120" s="7">
        <f t="shared" si="289"/>
        <v>0</v>
      </c>
      <c r="AY120" s="7">
        <f t="shared" si="287"/>
        <v>0</v>
      </c>
      <c r="AZ120" s="7">
        <f t="shared" si="287"/>
        <v>146906.6315472</v>
      </c>
      <c r="BA120" s="7">
        <f t="shared" si="287"/>
        <v>0</v>
      </c>
      <c r="BB120" s="7">
        <f t="shared" si="288"/>
        <v>146906.6315472</v>
      </c>
    </row>
    <row r="121" spans="1:54" x14ac:dyDescent="0.25">
      <c r="A121" s="62" t="s">
        <v>56</v>
      </c>
      <c r="B121" s="7">
        <v>0</v>
      </c>
      <c r="C121" s="15">
        <f>'FY25'!C121*1.02</f>
        <v>0</v>
      </c>
      <c r="D121" s="15">
        <f>'FY25'!D121*1.02</f>
        <v>0</v>
      </c>
      <c r="E121" s="15">
        <f>'FY25'!E121*1.02</f>
        <v>0</v>
      </c>
      <c r="F121" s="7">
        <f t="shared" si="279"/>
        <v>0</v>
      </c>
      <c r="H121" s="7">
        <v>0</v>
      </c>
      <c r="I121" s="15">
        <f>'FY25'!I121*1.02</f>
        <v>0</v>
      </c>
      <c r="J121" s="15">
        <f>'FY25'!J121*1.02</f>
        <v>84896.639999999999</v>
      </c>
      <c r="K121" s="15">
        <f>'FY25'!K121*1.02</f>
        <v>0</v>
      </c>
      <c r="L121" s="7">
        <f t="shared" si="280"/>
        <v>84896.639999999999</v>
      </c>
      <c r="N121" s="7">
        <v>0</v>
      </c>
      <c r="O121" s="15">
        <f>'FY25'!O121*1.02</f>
        <v>0</v>
      </c>
      <c r="P121" s="15">
        <f>'FY25'!P121*1.02</f>
        <v>37142.28</v>
      </c>
      <c r="Q121" s="15">
        <f>'FY25'!Q121*1.02</f>
        <v>0</v>
      </c>
      <c r="R121" s="7">
        <f t="shared" si="281"/>
        <v>37142.28</v>
      </c>
      <c r="T121" s="7">
        <v>0</v>
      </c>
      <c r="U121" s="15">
        <f>'FY25'!U121*1.02</f>
        <v>0</v>
      </c>
      <c r="V121" s="15">
        <f>'FY25'!V121*1.02</f>
        <v>37142.28</v>
      </c>
      <c r="W121" s="15">
        <f>'FY25'!W121*1.02</f>
        <v>0</v>
      </c>
      <c r="X121" s="7">
        <f t="shared" si="282"/>
        <v>37142.28</v>
      </c>
      <c r="Z121" s="7">
        <v>0</v>
      </c>
      <c r="AA121" s="15">
        <f>'FY25'!AA121*1.02</f>
        <v>0</v>
      </c>
      <c r="AB121" s="15">
        <f>'FY25'!AB121*1.02</f>
        <v>68978.52</v>
      </c>
      <c r="AC121" s="15">
        <f>'FY25'!AC121*1.02</f>
        <v>0</v>
      </c>
      <c r="AD121" s="7">
        <f t="shared" si="283"/>
        <v>68978.52</v>
      </c>
      <c r="AF121" s="7">
        <v>0</v>
      </c>
      <c r="AG121" s="7">
        <f>'FY23'!AG121*1.02</f>
        <v>0</v>
      </c>
      <c r="AH121" s="7">
        <f>'FY23'!AH121*1.02</f>
        <v>0</v>
      </c>
      <c r="AI121" s="7">
        <f>'FY23'!AI121*1.02</f>
        <v>0</v>
      </c>
      <c r="AJ121" s="7">
        <f t="shared" si="284"/>
        <v>0</v>
      </c>
      <c r="AL121" s="7">
        <v>0</v>
      </c>
      <c r="AM121" s="15">
        <f>'FY25'!AM121*1.02</f>
        <v>0</v>
      </c>
      <c r="AN121" s="15">
        <f>'FY25'!AN121*1.02</f>
        <v>0</v>
      </c>
      <c r="AO121" s="15">
        <f>'FY25'!AO121*1.02</f>
        <v>0</v>
      </c>
      <c r="AP121" s="7">
        <f t="shared" si="285"/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f t="shared" si="286"/>
        <v>0</v>
      </c>
      <c r="AX121" s="7">
        <f t="shared" si="289"/>
        <v>0</v>
      </c>
      <c r="AY121" s="7">
        <f t="shared" si="287"/>
        <v>0</v>
      </c>
      <c r="AZ121" s="7">
        <f t="shared" si="287"/>
        <v>228159.72000000003</v>
      </c>
      <c r="BA121" s="7">
        <f t="shared" si="287"/>
        <v>0</v>
      </c>
      <c r="BB121" s="7">
        <f t="shared" si="288"/>
        <v>228159.72000000003</v>
      </c>
    </row>
    <row r="122" spans="1:54" x14ac:dyDescent="0.25">
      <c r="A122" s="62" t="s">
        <v>97</v>
      </c>
      <c r="B122" s="7">
        <v>0</v>
      </c>
      <c r="C122" s="15">
        <f>'FY25'!C122*1.02</f>
        <v>0</v>
      </c>
      <c r="D122" s="15">
        <f>'FY25'!D122*1.02</f>
        <v>0</v>
      </c>
      <c r="E122" s="15">
        <f>'FY25'!E122*1.02</f>
        <v>0</v>
      </c>
      <c r="F122" s="7">
        <f t="shared" si="279"/>
        <v>0</v>
      </c>
      <c r="H122" s="7">
        <v>0</v>
      </c>
      <c r="I122" s="15">
        <f>'FY25'!I122*1.02</f>
        <v>0</v>
      </c>
      <c r="J122" s="15">
        <f>'FY25'!J122*1.02</f>
        <v>0</v>
      </c>
      <c r="K122" s="15">
        <f>'FY25'!K122*1.02</f>
        <v>0</v>
      </c>
      <c r="L122" s="7">
        <f t="shared" si="280"/>
        <v>0</v>
      </c>
      <c r="N122" s="7">
        <v>0</v>
      </c>
      <c r="O122" s="15">
        <f>'FY25'!O122*1.02</f>
        <v>0</v>
      </c>
      <c r="P122" s="15">
        <f>'FY25'!P122*1.02</f>
        <v>0</v>
      </c>
      <c r="Q122" s="15">
        <f>'FY25'!Q122*1.02</f>
        <v>0</v>
      </c>
      <c r="R122" s="7">
        <f t="shared" si="281"/>
        <v>0</v>
      </c>
      <c r="T122" s="7">
        <v>0</v>
      </c>
      <c r="U122" s="15">
        <f>'FY25'!U122*1.02</f>
        <v>0</v>
      </c>
      <c r="V122" s="15">
        <f>'FY25'!V122*1.02</f>
        <v>0</v>
      </c>
      <c r="W122" s="15">
        <f>'FY25'!W122*1.02</f>
        <v>0</v>
      </c>
      <c r="X122" s="7">
        <f t="shared" si="282"/>
        <v>0</v>
      </c>
      <c r="Z122" s="7">
        <v>0</v>
      </c>
      <c r="AA122" s="15">
        <f>'FY25'!AA122*1.02</f>
        <v>0</v>
      </c>
      <c r="AB122" s="15">
        <f>'FY25'!AB122*1.02</f>
        <v>18327.741333120004</v>
      </c>
      <c r="AC122" s="15">
        <f>'FY25'!AC122*1.02</f>
        <v>0</v>
      </c>
      <c r="AD122" s="7">
        <f t="shared" si="283"/>
        <v>18327.741333120004</v>
      </c>
      <c r="AF122" s="7">
        <v>0</v>
      </c>
      <c r="AG122" s="7">
        <f>'FY23'!AG122*1.02</f>
        <v>0</v>
      </c>
      <c r="AH122" s="7">
        <f>'FY23'!AH122*1.02</f>
        <v>0</v>
      </c>
      <c r="AI122" s="7">
        <f>'FY23'!AI122*1.02</f>
        <v>0</v>
      </c>
      <c r="AJ122" s="7">
        <f t="shared" si="284"/>
        <v>0</v>
      </c>
      <c r="AL122" s="7">
        <v>0</v>
      </c>
      <c r="AM122" s="15">
        <f>'FY25'!AM122*1.02</f>
        <v>0</v>
      </c>
      <c r="AN122" s="15">
        <f>'FY25'!AN122*1.02</f>
        <v>0</v>
      </c>
      <c r="AO122" s="15">
        <f>'FY25'!AO122*1.02</f>
        <v>0</v>
      </c>
      <c r="AP122" s="7">
        <f t="shared" si="285"/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f t="shared" si="286"/>
        <v>0</v>
      </c>
      <c r="AX122" s="7">
        <f t="shared" si="289"/>
        <v>0</v>
      </c>
      <c r="AY122" s="7">
        <f t="shared" si="287"/>
        <v>0</v>
      </c>
      <c r="AZ122" s="7">
        <f t="shared" si="287"/>
        <v>18327.741333120004</v>
      </c>
      <c r="BA122" s="7">
        <f t="shared" si="287"/>
        <v>0</v>
      </c>
      <c r="BB122" s="7">
        <f t="shared" si="288"/>
        <v>18327.741333120004</v>
      </c>
    </row>
    <row r="123" spans="1:54" x14ac:dyDescent="0.25">
      <c r="A123" s="62" t="s">
        <v>58</v>
      </c>
      <c r="B123" s="7">
        <v>0</v>
      </c>
      <c r="C123" s="15">
        <f>'FY25'!C123*1.02</f>
        <v>0</v>
      </c>
      <c r="D123" s="15">
        <f>'FY25'!D123*1.02</f>
        <v>0</v>
      </c>
      <c r="E123" s="15">
        <f>'FY25'!E123*1.02</f>
        <v>0</v>
      </c>
      <c r="F123" s="7">
        <f t="shared" si="279"/>
        <v>0</v>
      </c>
      <c r="H123" s="7">
        <v>0</v>
      </c>
      <c r="I123" s="15">
        <f>'FY25'!I123*1.02</f>
        <v>0</v>
      </c>
      <c r="J123" s="15">
        <f>'FY25'!J123*1.02</f>
        <v>64733.688000000002</v>
      </c>
      <c r="K123" s="15">
        <f>'FY25'!K123*1.02</f>
        <v>0</v>
      </c>
      <c r="L123" s="7">
        <f t="shared" si="280"/>
        <v>64733.688000000002</v>
      </c>
      <c r="N123" s="7">
        <v>0</v>
      </c>
      <c r="O123" s="15">
        <f>'FY25'!O123*1.02</f>
        <v>0</v>
      </c>
      <c r="P123" s="15">
        <f>'FY25'!P123*1.02</f>
        <v>0</v>
      </c>
      <c r="Q123" s="15">
        <f>'FY25'!Q123*1.02</f>
        <v>0</v>
      </c>
      <c r="R123" s="7">
        <f t="shared" si="281"/>
        <v>0</v>
      </c>
      <c r="T123" s="7">
        <v>0</v>
      </c>
      <c r="U123" s="15">
        <f>'FY25'!U123*1.02</f>
        <v>0</v>
      </c>
      <c r="V123" s="15">
        <f>'FY25'!V123*1.02</f>
        <v>0</v>
      </c>
      <c r="W123" s="15">
        <f>'FY25'!W123*1.02</f>
        <v>0</v>
      </c>
      <c r="X123" s="7">
        <f t="shared" si="282"/>
        <v>0</v>
      </c>
      <c r="Z123" s="7">
        <v>0</v>
      </c>
      <c r="AA123" s="15">
        <f>'FY25'!AA123*1.02</f>
        <v>0</v>
      </c>
      <c r="AB123" s="15">
        <f>'FY25'!AB123*1.02</f>
        <v>71765.252208000005</v>
      </c>
      <c r="AC123" s="15">
        <f>'FY25'!AC123*1.02</f>
        <v>0</v>
      </c>
      <c r="AD123" s="7">
        <f t="shared" si="283"/>
        <v>71765.252208000005</v>
      </c>
      <c r="AF123" s="7">
        <v>0</v>
      </c>
      <c r="AG123" s="7">
        <f>'FY23'!AG123*1.02</f>
        <v>0</v>
      </c>
      <c r="AH123" s="7">
        <f>'FY23'!AH123*1.02</f>
        <v>0</v>
      </c>
      <c r="AI123" s="7">
        <f>'FY23'!AI123*1.02</f>
        <v>0</v>
      </c>
      <c r="AJ123" s="7">
        <f t="shared" si="284"/>
        <v>0</v>
      </c>
      <c r="AL123" s="7">
        <v>0</v>
      </c>
      <c r="AM123" s="15">
        <f>'FY25'!AM123*1.02</f>
        <v>0</v>
      </c>
      <c r="AN123" s="15">
        <f>'FY25'!AN123*1.02</f>
        <v>0</v>
      </c>
      <c r="AO123" s="15">
        <f>'FY25'!AO123*1.02</f>
        <v>0</v>
      </c>
      <c r="AP123" s="7">
        <f t="shared" si="285"/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f t="shared" si="286"/>
        <v>0</v>
      </c>
      <c r="AX123" s="7">
        <f t="shared" si="289"/>
        <v>0</v>
      </c>
      <c r="AY123" s="7">
        <f t="shared" si="287"/>
        <v>0</v>
      </c>
      <c r="AZ123" s="7">
        <f t="shared" si="287"/>
        <v>136498.94020800001</v>
      </c>
      <c r="BA123" s="7">
        <f t="shared" si="287"/>
        <v>0</v>
      </c>
      <c r="BB123" s="7">
        <f t="shared" si="288"/>
        <v>136498.94020800001</v>
      </c>
    </row>
    <row r="124" spans="1:54" x14ac:dyDescent="0.25">
      <c r="A124" s="62" t="s">
        <v>98</v>
      </c>
      <c r="B124" s="7">
        <v>0</v>
      </c>
      <c r="C124" s="15">
        <f>'FY25'!C124*1.02</f>
        <v>25774.766350704005</v>
      </c>
      <c r="D124" s="15">
        <f>'FY25'!D124*1.02</f>
        <v>0</v>
      </c>
      <c r="E124" s="15">
        <f>'FY25'!E124*1.02</f>
        <v>0</v>
      </c>
      <c r="F124" s="7">
        <f t="shared" si="279"/>
        <v>25774.766350704005</v>
      </c>
      <c r="H124" s="7">
        <v>0</v>
      </c>
      <c r="I124" s="15">
        <f>'FY25'!I124*1.02</f>
        <v>45946.32262516801</v>
      </c>
      <c r="J124" s="15">
        <f>'FY25'!J124*1.02</f>
        <v>0</v>
      </c>
      <c r="K124" s="15">
        <f>'FY25'!K124*1.02</f>
        <v>0</v>
      </c>
      <c r="L124" s="7">
        <f t="shared" si="280"/>
        <v>45946.32262516801</v>
      </c>
      <c r="N124" s="7">
        <v>0</v>
      </c>
      <c r="O124" s="15">
        <f>'FY25'!O124*1.02</f>
        <v>25774.766350704002</v>
      </c>
      <c r="P124" s="15">
        <f>'FY25'!P124*1.02</f>
        <v>0</v>
      </c>
      <c r="Q124" s="15">
        <f>'FY25'!Q124*1.02</f>
        <v>0</v>
      </c>
      <c r="R124" s="7">
        <f t="shared" si="281"/>
        <v>25774.766350704002</v>
      </c>
      <c r="T124" s="7">
        <v>0</v>
      </c>
      <c r="U124" s="15">
        <f>'FY25'!U124*1.02</f>
        <v>71631.540000000008</v>
      </c>
      <c r="V124" s="15">
        <f>'FY25'!V124*1.02</f>
        <v>0</v>
      </c>
      <c r="W124" s="15">
        <f>'FY25'!W124*1.02</f>
        <v>0</v>
      </c>
      <c r="X124" s="7">
        <f t="shared" si="282"/>
        <v>71631.540000000008</v>
      </c>
      <c r="Z124" s="7">
        <v>0</v>
      </c>
      <c r="AA124" s="15">
        <f>'FY25'!AA124*1.02</f>
        <v>73753.956000000006</v>
      </c>
      <c r="AB124" s="15">
        <f>'FY25'!AB124*1.02</f>
        <v>0</v>
      </c>
      <c r="AC124" s="15">
        <f>'FY25'!AC124*1.02</f>
        <v>0</v>
      </c>
      <c r="AD124" s="7">
        <f t="shared" si="283"/>
        <v>73753.956000000006</v>
      </c>
      <c r="AF124" s="7">
        <v>0</v>
      </c>
      <c r="AG124" s="15">
        <f>'FY25'!AG124*1.02</f>
        <v>35700</v>
      </c>
      <c r="AH124" s="7">
        <f>'FY23'!AH124*1.02</f>
        <v>0</v>
      </c>
      <c r="AI124" s="7">
        <f>'FY23'!AI124*1.02</f>
        <v>0</v>
      </c>
      <c r="AJ124" s="7">
        <f t="shared" si="284"/>
        <v>35700</v>
      </c>
      <c r="AL124" s="7">
        <v>0</v>
      </c>
      <c r="AM124" s="15">
        <f>'FY25'!AM124*1.02</f>
        <v>27466.716059999999</v>
      </c>
      <c r="AN124" s="15">
        <f>'FY25'!AN124*1.02</f>
        <v>0</v>
      </c>
      <c r="AO124" s="15">
        <f>'FY25'!AO124*1.02</f>
        <v>0</v>
      </c>
      <c r="AP124" s="7">
        <f t="shared" si="285"/>
        <v>27466.716059999999</v>
      </c>
      <c r="AR124" s="7">
        <v>0</v>
      </c>
      <c r="AS124" s="7">
        <v>0</v>
      </c>
      <c r="AT124" s="7">
        <v>0</v>
      </c>
      <c r="AU124" s="7">
        <v>0</v>
      </c>
      <c r="AV124" s="7">
        <f t="shared" si="286"/>
        <v>0</v>
      </c>
      <c r="AX124" s="7">
        <f t="shared" si="289"/>
        <v>0</v>
      </c>
      <c r="AY124" s="7">
        <f t="shared" si="287"/>
        <v>306048.06738657603</v>
      </c>
      <c r="AZ124" s="7">
        <f t="shared" si="287"/>
        <v>0</v>
      </c>
      <c r="BA124" s="7">
        <f t="shared" si="287"/>
        <v>0</v>
      </c>
      <c r="BB124" s="7">
        <f t="shared" si="288"/>
        <v>306048.06738657603</v>
      </c>
    </row>
    <row r="125" spans="1:54" x14ac:dyDescent="0.25">
      <c r="A125" s="62" t="s">
        <v>99</v>
      </c>
      <c r="B125" s="7">
        <v>0</v>
      </c>
      <c r="C125" s="7">
        <v>0</v>
      </c>
      <c r="D125" s="7">
        <v>0</v>
      </c>
      <c r="E125" s="7">
        <v>0</v>
      </c>
      <c r="F125" s="7">
        <f t="shared" si="279"/>
        <v>0</v>
      </c>
      <c r="H125" s="7">
        <v>0</v>
      </c>
      <c r="I125" s="7">
        <v>0</v>
      </c>
      <c r="J125" s="7">
        <v>0</v>
      </c>
      <c r="K125" s="7">
        <v>0</v>
      </c>
      <c r="L125" s="7">
        <f t="shared" si="280"/>
        <v>0</v>
      </c>
      <c r="N125" s="7">
        <v>0</v>
      </c>
      <c r="O125" s="7">
        <v>0</v>
      </c>
      <c r="P125" s="7">
        <v>0</v>
      </c>
      <c r="Q125" s="7">
        <v>0</v>
      </c>
      <c r="R125" s="7">
        <f t="shared" si="281"/>
        <v>0</v>
      </c>
      <c r="T125" s="7">
        <v>0</v>
      </c>
      <c r="U125" s="7">
        <v>0</v>
      </c>
      <c r="V125" s="7">
        <v>0</v>
      </c>
      <c r="W125" s="7">
        <v>0</v>
      </c>
      <c r="X125" s="7">
        <f t="shared" si="282"/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f t="shared" si="283"/>
        <v>0</v>
      </c>
      <c r="AF125" s="7">
        <v>0</v>
      </c>
      <c r="AG125" s="7">
        <v>0</v>
      </c>
      <c r="AH125" s="7">
        <v>0</v>
      </c>
      <c r="AI125" s="7">
        <f>(14.5*180*8)*AI51</f>
        <v>0</v>
      </c>
      <c r="AJ125" s="7">
        <f t="shared" si="284"/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f t="shared" si="285"/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f t="shared" si="286"/>
        <v>0</v>
      </c>
      <c r="AX125" s="7">
        <f t="shared" si="289"/>
        <v>0</v>
      </c>
      <c r="AY125" s="7">
        <f t="shared" si="287"/>
        <v>0</v>
      </c>
      <c r="AZ125" s="7">
        <f t="shared" si="287"/>
        <v>0</v>
      </c>
      <c r="BA125" s="7">
        <f t="shared" si="287"/>
        <v>0</v>
      </c>
      <c r="BB125" s="7">
        <f t="shared" si="288"/>
        <v>0</v>
      </c>
    </row>
    <row r="126" spans="1:54" x14ac:dyDescent="0.25">
      <c r="A126" s="62" t="s">
        <v>100</v>
      </c>
      <c r="B126" s="7">
        <v>0</v>
      </c>
      <c r="C126" s="7">
        <v>0</v>
      </c>
      <c r="D126" s="7">
        <v>0</v>
      </c>
      <c r="E126" s="7">
        <f>(14.75*8*180)*E53</f>
        <v>21240</v>
      </c>
      <c r="F126" s="7">
        <f t="shared" si="279"/>
        <v>21240</v>
      </c>
      <c r="H126" s="7">
        <v>0</v>
      </c>
      <c r="I126" s="7">
        <v>0</v>
      </c>
      <c r="J126" s="7">
        <v>0</v>
      </c>
      <c r="K126" s="7">
        <f>(15*8*180)*K53</f>
        <v>64800</v>
      </c>
      <c r="L126" s="7">
        <f t="shared" si="280"/>
        <v>64800</v>
      </c>
      <c r="N126" s="7">
        <v>0</v>
      </c>
      <c r="O126" s="7">
        <v>0</v>
      </c>
      <c r="P126" s="7">
        <v>0</v>
      </c>
      <c r="Q126" s="7">
        <f>(15*8*180)*Q53</f>
        <v>21600</v>
      </c>
      <c r="R126" s="7">
        <f t="shared" si="281"/>
        <v>21600</v>
      </c>
      <c r="T126" s="7">
        <v>0</v>
      </c>
      <c r="U126" s="7">
        <v>0</v>
      </c>
      <c r="V126" s="7">
        <v>0</v>
      </c>
      <c r="W126" s="7">
        <f>(14.75*8*180)*W53</f>
        <v>21240</v>
      </c>
      <c r="X126" s="7">
        <f t="shared" si="282"/>
        <v>21240</v>
      </c>
      <c r="Z126" s="7">
        <v>0</v>
      </c>
      <c r="AA126" s="7">
        <v>0</v>
      </c>
      <c r="AB126" s="7">
        <v>0</v>
      </c>
      <c r="AC126" s="7">
        <f>(14.75*8*180)*AC53</f>
        <v>42480</v>
      </c>
      <c r="AD126" s="7">
        <f t="shared" si="283"/>
        <v>42480</v>
      </c>
      <c r="AF126" s="7">
        <v>0</v>
      </c>
      <c r="AG126" s="7">
        <v>0</v>
      </c>
      <c r="AH126" s="7">
        <v>0</v>
      </c>
      <c r="AI126" s="7">
        <f>(15.5*8*180)*AI53</f>
        <v>22320</v>
      </c>
      <c r="AJ126" s="7">
        <f t="shared" si="284"/>
        <v>22320</v>
      </c>
      <c r="AL126" s="7">
        <v>0</v>
      </c>
      <c r="AM126" s="7">
        <v>0</v>
      </c>
      <c r="AN126" s="7">
        <v>0</v>
      </c>
      <c r="AO126" s="7">
        <f>(14*8*180)*AO53</f>
        <v>0</v>
      </c>
      <c r="AP126" s="7">
        <f t="shared" si="285"/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f t="shared" si="286"/>
        <v>0</v>
      </c>
      <c r="AX126" s="7">
        <f t="shared" si="289"/>
        <v>0</v>
      </c>
      <c r="AY126" s="7">
        <f t="shared" si="287"/>
        <v>0</v>
      </c>
      <c r="AZ126" s="7">
        <f t="shared" si="287"/>
        <v>0</v>
      </c>
      <c r="BA126" s="7">
        <f t="shared" si="287"/>
        <v>193680</v>
      </c>
      <c r="BB126" s="7">
        <f t="shared" si="288"/>
        <v>193680</v>
      </c>
    </row>
    <row r="127" spans="1:54" x14ac:dyDescent="0.25">
      <c r="A127" s="62" t="s">
        <v>101</v>
      </c>
      <c r="B127" s="37">
        <f>135*180</f>
        <v>24300</v>
      </c>
      <c r="C127" s="37"/>
      <c r="D127" s="37"/>
      <c r="E127" s="37"/>
      <c r="F127" s="7">
        <f t="shared" si="279"/>
        <v>24300</v>
      </c>
      <c r="H127" s="37">
        <f>135*180*2</f>
        <v>48600</v>
      </c>
      <c r="I127" s="37"/>
      <c r="J127" s="37"/>
      <c r="K127" s="37"/>
      <c r="L127" s="7">
        <f t="shared" si="280"/>
        <v>48600</v>
      </c>
      <c r="N127" s="37">
        <f>125*180</f>
        <v>22500</v>
      </c>
      <c r="O127" s="37"/>
      <c r="P127" s="37"/>
      <c r="Q127" s="37"/>
      <c r="R127" s="7">
        <f t="shared" si="281"/>
        <v>22500</v>
      </c>
      <c r="T127" s="37">
        <f>125*180</f>
        <v>22500</v>
      </c>
      <c r="U127" s="37"/>
      <c r="V127" s="37"/>
      <c r="W127" s="37"/>
      <c r="X127" s="7">
        <f t="shared" si="282"/>
        <v>22500</v>
      </c>
      <c r="Z127" s="37">
        <f>135*180</f>
        <v>24300</v>
      </c>
      <c r="AA127" s="37"/>
      <c r="AB127" s="37"/>
      <c r="AC127" s="37"/>
      <c r="AD127" s="7">
        <f t="shared" si="283"/>
        <v>24300</v>
      </c>
      <c r="AF127" s="37">
        <f>125*180</f>
        <v>22500</v>
      </c>
      <c r="AG127" s="7">
        <v>0</v>
      </c>
      <c r="AH127" s="7">
        <v>0</v>
      </c>
      <c r="AI127" s="7">
        <v>0</v>
      </c>
      <c r="AJ127" s="7">
        <f t="shared" si="284"/>
        <v>22500</v>
      </c>
      <c r="AL127" s="7">
        <v>0</v>
      </c>
      <c r="AM127" s="7">
        <v>0</v>
      </c>
      <c r="AN127" s="7">
        <v>0</v>
      </c>
      <c r="AO127" s="7">
        <v>0</v>
      </c>
      <c r="AP127" s="7">
        <f t="shared" si="285"/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f t="shared" si="286"/>
        <v>0</v>
      </c>
      <c r="AX127" s="7">
        <f t="shared" si="289"/>
        <v>164700</v>
      </c>
      <c r="AY127" s="7">
        <f t="shared" si="287"/>
        <v>0</v>
      </c>
      <c r="AZ127" s="7">
        <f t="shared" si="287"/>
        <v>0</v>
      </c>
      <c r="BA127" s="7">
        <f t="shared" si="287"/>
        <v>0</v>
      </c>
      <c r="BB127" s="7">
        <f t="shared" si="288"/>
        <v>164700</v>
      </c>
    </row>
    <row r="128" spans="1:54" ht="15.75" thickBot="1" x14ac:dyDescent="0.3">
      <c r="A128" s="82" t="s">
        <v>102</v>
      </c>
      <c r="B128" s="87">
        <f>SUM(B118:B127)</f>
        <v>24300</v>
      </c>
      <c r="C128" s="87">
        <f>SUM(C118:C127)</f>
        <v>25774.766350704005</v>
      </c>
      <c r="D128" s="87">
        <f>SUM(D118:D127)</f>
        <v>70053.926963040023</v>
      </c>
      <c r="E128" s="87">
        <f t="shared" ref="E128:F128" si="290">SUM(E118:E127)</f>
        <v>21240</v>
      </c>
      <c r="F128" s="87">
        <f t="shared" si="290"/>
        <v>141368.69331374404</v>
      </c>
      <c r="H128" s="87">
        <f>SUM(H118:H127)</f>
        <v>48600</v>
      </c>
      <c r="I128" s="87">
        <f>SUM(I118:I127)</f>
        <v>45946.32262516801</v>
      </c>
      <c r="J128" s="87">
        <f>SUM(J118:J127)</f>
        <v>270422.32860000001</v>
      </c>
      <c r="K128" s="87">
        <f t="shared" ref="K128:L128" si="291">SUM(K118:K127)</f>
        <v>64800</v>
      </c>
      <c r="L128" s="87">
        <f t="shared" si="291"/>
        <v>429768.65122516803</v>
      </c>
      <c r="N128" s="87">
        <f>SUM(N118:N127)</f>
        <v>22500</v>
      </c>
      <c r="O128" s="87">
        <f>SUM(O118:O127)</f>
        <v>25774.766350704002</v>
      </c>
      <c r="P128" s="87">
        <f>SUM(P118:P127)</f>
        <v>101875.96799999999</v>
      </c>
      <c r="Q128" s="87">
        <f t="shared" ref="Q128:R128" si="292">SUM(Q118:Q127)</f>
        <v>21600</v>
      </c>
      <c r="R128" s="87">
        <f t="shared" si="292"/>
        <v>171750.73435070401</v>
      </c>
      <c r="T128" s="87">
        <f>SUM(T118:T127)</f>
        <v>22500</v>
      </c>
      <c r="U128" s="87">
        <f>SUM(U118:U127)</f>
        <v>71631.540000000008</v>
      </c>
      <c r="V128" s="87">
        <f>SUM(V118:V127)</f>
        <v>131138.77859999999</v>
      </c>
      <c r="W128" s="87">
        <f t="shared" ref="W128:X128" si="293">SUM(W118:W127)</f>
        <v>21240</v>
      </c>
      <c r="X128" s="87">
        <f t="shared" si="293"/>
        <v>246510.3186</v>
      </c>
      <c r="Z128" s="87">
        <f>SUM(Z118:Z127)</f>
        <v>24300</v>
      </c>
      <c r="AA128" s="87">
        <f>SUM(AA118:AA127)</f>
        <v>73753.956000000006</v>
      </c>
      <c r="AB128" s="87">
        <f>SUM(AB118:AB127)</f>
        <v>209859.23048832</v>
      </c>
      <c r="AC128" s="87">
        <f t="shared" ref="AC128:AD128" si="294">SUM(AC118:AC127)</f>
        <v>42480</v>
      </c>
      <c r="AD128" s="87">
        <f t="shared" si="294"/>
        <v>350393.18648832</v>
      </c>
      <c r="AF128" s="87">
        <f>SUM(AF118:AF127)</f>
        <v>22500</v>
      </c>
      <c r="AG128" s="87">
        <f>SUM(AG118:AG127)</f>
        <v>35700</v>
      </c>
      <c r="AH128" s="87">
        <f>SUM(AH118:AH127)</f>
        <v>0</v>
      </c>
      <c r="AI128" s="87">
        <f t="shared" ref="AI128:AJ128" si="295">SUM(AI118:AI127)</f>
        <v>22320</v>
      </c>
      <c r="AJ128" s="87">
        <f t="shared" si="295"/>
        <v>80520</v>
      </c>
      <c r="AL128" s="87">
        <f>SUM(AL118:AL127)</f>
        <v>0</v>
      </c>
      <c r="AM128" s="87">
        <f>SUM(AM118:AM127)</f>
        <v>27466.716059999999</v>
      </c>
      <c r="AN128" s="87">
        <f>SUM(AN118:AN127)</f>
        <v>0</v>
      </c>
      <c r="AO128" s="87">
        <f t="shared" ref="AO128:AP128" si="296">SUM(AO118:AO127)</f>
        <v>0</v>
      </c>
      <c r="AP128" s="87">
        <f t="shared" si="296"/>
        <v>27466.716059999999</v>
      </c>
      <c r="AR128" s="87">
        <f>SUM(AR118:AR127)</f>
        <v>0</v>
      </c>
      <c r="AS128" s="87">
        <f>SUM(AS118:AS127)</f>
        <v>0</v>
      </c>
      <c r="AT128" s="87">
        <f>SUM(AT118:AT127)</f>
        <v>0</v>
      </c>
      <c r="AU128" s="87">
        <f t="shared" ref="AU128:AV128" si="297">SUM(AU118:AU127)</f>
        <v>0</v>
      </c>
      <c r="AV128" s="87">
        <f t="shared" si="297"/>
        <v>0</v>
      </c>
      <c r="AX128" s="87">
        <f>SUM(AX118:AX127)</f>
        <v>164700</v>
      </c>
      <c r="AY128" s="87">
        <f>SUM(AY118:AY127)</f>
        <v>306048.06738657603</v>
      </c>
      <c r="AZ128" s="87">
        <f>SUM(AZ118:AZ127)</f>
        <v>783350.2326513601</v>
      </c>
      <c r="BA128" s="87">
        <f t="shared" ref="BA128:BB128" si="298">SUM(BA118:BA127)</f>
        <v>193680</v>
      </c>
      <c r="BB128" s="87">
        <f t="shared" si="298"/>
        <v>1447778.3000379361</v>
      </c>
    </row>
    <row r="129" spans="1:54" ht="15.75" thickBot="1" x14ac:dyDescent="0.3">
      <c r="A129" s="89" t="s">
        <v>103</v>
      </c>
      <c r="B129" s="90">
        <f>B116+B128</f>
        <v>2709372.33739577</v>
      </c>
      <c r="C129" s="90">
        <f>C116+C128</f>
        <v>133405.01755070401</v>
      </c>
      <c r="D129" s="90">
        <f>D116+D128</f>
        <v>357813.92696304002</v>
      </c>
      <c r="E129" s="90">
        <f t="shared" ref="E129" si="299">E116+E128</f>
        <v>21240</v>
      </c>
      <c r="F129" s="90">
        <f>F116+F128</f>
        <v>3221831.2819095138</v>
      </c>
      <c r="H129" s="90">
        <f>H116+H128</f>
        <v>6516242.187272964</v>
      </c>
      <c r="I129" s="90">
        <f>I116+I128</f>
        <v>218746.32262516802</v>
      </c>
      <c r="J129" s="90">
        <f>J116+J128</f>
        <v>1210322.3286000001</v>
      </c>
      <c r="K129" s="90">
        <f t="shared" ref="K129" si="300">K116+K128</f>
        <v>64800</v>
      </c>
      <c r="L129" s="90">
        <f>L116+L128</f>
        <v>8010110.8384981323</v>
      </c>
      <c r="N129" s="90">
        <f>N116+N128</f>
        <v>2776998.2502391855</v>
      </c>
      <c r="O129" s="90">
        <f>O116+O128</f>
        <v>185319.21052670403</v>
      </c>
      <c r="P129" s="90">
        <f>P116+P128</f>
        <v>392515.96799999999</v>
      </c>
      <c r="Q129" s="90">
        <f t="shared" ref="Q129" si="301">Q116+Q128</f>
        <v>21600</v>
      </c>
      <c r="R129" s="90">
        <f>R116+R128</f>
        <v>3376433.4287658897</v>
      </c>
      <c r="T129" s="90">
        <f>T116+T128</f>
        <v>3432426.8325147056</v>
      </c>
      <c r="U129" s="90">
        <f>U116+U128</f>
        <v>114111.54000000001</v>
      </c>
      <c r="V129" s="90">
        <f>V116+V128</f>
        <v>490838.77859999996</v>
      </c>
      <c r="W129" s="90">
        <f t="shared" ref="W129" si="302">W116+W128</f>
        <v>21240</v>
      </c>
      <c r="X129" s="90">
        <f>X116+X128</f>
        <v>4058617.1511147055</v>
      </c>
      <c r="Z129" s="90">
        <f>Z116+Z128</f>
        <v>5933799.3452411843</v>
      </c>
      <c r="AA129" s="90">
        <f>AA116+AA128</f>
        <v>160153.95600000001</v>
      </c>
      <c r="AB129" s="90">
        <f>AB116+AB128</f>
        <v>1028367.95048832</v>
      </c>
      <c r="AC129" s="90">
        <f t="shared" ref="AC129" si="303">AC116+AC128</f>
        <v>42480</v>
      </c>
      <c r="AD129" s="90">
        <f>AD116+AD128</f>
        <v>7164801.2517295042</v>
      </c>
      <c r="AF129" s="90">
        <f>AF116+AF128</f>
        <v>2564972</v>
      </c>
      <c r="AG129" s="90">
        <f>AG116+AG128</f>
        <v>197326</v>
      </c>
      <c r="AH129" s="90">
        <f>AH116+AH128</f>
        <v>307200</v>
      </c>
      <c r="AI129" s="90">
        <f t="shared" ref="AI129" si="304">AI116+AI128</f>
        <v>22320</v>
      </c>
      <c r="AJ129" s="90">
        <f>AJ116+AJ128</f>
        <v>3091818</v>
      </c>
      <c r="AL129" s="90">
        <f>AL116+AL128</f>
        <v>154571.31244800001</v>
      </c>
      <c r="AM129" s="90">
        <f>AM116+AM128</f>
        <v>27466.716059999999</v>
      </c>
      <c r="AN129" s="90">
        <f>AN116+AN128</f>
        <v>0</v>
      </c>
      <c r="AO129" s="90">
        <f t="shared" ref="AO129" si="305">AO116+AO128</f>
        <v>0</v>
      </c>
      <c r="AP129" s="90">
        <f>AP116+AP128</f>
        <v>182038.02850800002</v>
      </c>
      <c r="AR129" s="90">
        <f>AR116+AR128</f>
        <v>337400</v>
      </c>
      <c r="AS129" s="90">
        <f>AS116+AS128</f>
        <v>0</v>
      </c>
      <c r="AT129" s="90">
        <f>AT116+AT128</f>
        <v>72600</v>
      </c>
      <c r="AU129" s="90">
        <f t="shared" ref="AU129" si="306">AU116+AU128</f>
        <v>0</v>
      </c>
      <c r="AV129" s="90">
        <f>AV116+AV128</f>
        <v>410000</v>
      </c>
      <c r="AX129" s="90">
        <f>AX116+AX128</f>
        <v>24425782.265111808</v>
      </c>
      <c r="AY129" s="90">
        <f>AY116+AY128</f>
        <v>1036528.7627625761</v>
      </c>
      <c r="AZ129" s="90">
        <f>AZ116+AZ128</f>
        <v>3859658.9526513601</v>
      </c>
      <c r="BA129" s="90">
        <f t="shared" ref="BA129" si="307">BA116+BA128</f>
        <v>193680</v>
      </c>
      <c r="BB129" s="90">
        <f>BB116+BB128</f>
        <v>29515649.980525743</v>
      </c>
    </row>
    <row r="130" spans="1:54" x14ac:dyDescent="0.25">
      <c r="A130" s="62" t="s">
        <v>104</v>
      </c>
      <c r="B130" s="80">
        <f>B129*0.2975</f>
        <v>806038.27037524153</v>
      </c>
      <c r="C130" s="61">
        <f t="shared" ref="C130:E130" si="308">C129*0.2975</f>
        <v>39687.992721334442</v>
      </c>
      <c r="D130" s="61">
        <f t="shared" si="308"/>
        <v>106449.64327150441</v>
      </c>
      <c r="E130" s="61">
        <f t="shared" si="308"/>
        <v>6318.9</v>
      </c>
      <c r="F130" s="61">
        <f>SUM(B130:E130)</f>
        <v>958494.80636808043</v>
      </c>
      <c r="H130" s="61">
        <f>H129*0.2975</f>
        <v>1938582.0507137068</v>
      </c>
      <c r="I130" s="61">
        <f t="shared" ref="I130:K130" si="309">I129*0.2975</f>
        <v>65077.030980987482</v>
      </c>
      <c r="J130" s="61">
        <f t="shared" si="309"/>
        <v>360070.89275850001</v>
      </c>
      <c r="K130" s="61">
        <f t="shared" si="309"/>
        <v>19278</v>
      </c>
      <c r="L130" s="61">
        <f>SUM(H130:K130)</f>
        <v>2383007.9744531941</v>
      </c>
      <c r="N130" s="61">
        <f>N129*0.2975</f>
        <v>826156.9794461577</v>
      </c>
      <c r="O130" s="61">
        <f t="shared" ref="O130:Q130" si="310">O129*0.2975</f>
        <v>55132.465131694444</v>
      </c>
      <c r="P130" s="61">
        <f t="shared" si="310"/>
        <v>116773.50047999999</v>
      </c>
      <c r="Q130" s="61">
        <f t="shared" si="310"/>
        <v>6426</v>
      </c>
      <c r="R130" s="61">
        <f>SUM(N130:Q130)</f>
        <v>1004488.9450578522</v>
      </c>
      <c r="T130" s="61">
        <f>T129*0.2975</f>
        <v>1021146.9826731249</v>
      </c>
      <c r="U130" s="61">
        <f t="shared" ref="U130:W130" si="311">U129*0.2975</f>
        <v>33948.183150000004</v>
      </c>
      <c r="V130" s="61">
        <f t="shared" si="311"/>
        <v>146024.53663349999</v>
      </c>
      <c r="W130" s="61">
        <f t="shared" si="311"/>
        <v>6318.9</v>
      </c>
      <c r="X130" s="61">
        <f>SUM(T130:W130)</f>
        <v>1207438.6024566246</v>
      </c>
      <c r="Z130" s="61">
        <f>Z129*0.2975</f>
        <v>1765305.3052092523</v>
      </c>
      <c r="AA130" s="61">
        <f t="shared" ref="AA130:AC130" si="312">AA129*0.2975</f>
        <v>47645.801910000002</v>
      </c>
      <c r="AB130" s="61">
        <f t="shared" si="312"/>
        <v>305939.46527027519</v>
      </c>
      <c r="AC130" s="61">
        <f t="shared" si="312"/>
        <v>12637.8</v>
      </c>
      <c r="AD130" s="61">
        <f>SUM(Z130:AC130)</f>
        <v>2131528.372389527</v>
      </c>
      <c r="AF130" s="61">
        <f>AF129*0.2975</f>
        <v>763079.16999999993</v>
      </c>
      <c r="AG130" s="61">
        <f t="shared" ref="AG130:AI130" si="313">AG129*0.2975</f>
        <v>58704.485000000001</v>
      </c>
      <c r="AH130" s="61">
        <f t="shared" si="313"/>
        <v>91392</v>
      </c>
      <c r="AI130" s="61">
        <f t="shared" si="313"/>
        <v>6640.2</v>
      </c>
      <c r="AJ130" s="61">
        <f>SUM(AF130:AI130)</f>
        <v>919815.85499999986</v>
      </c>
      <c r="AL130" s="61">
        <f>AL129*0.2975</f>
        <v>45984.965453279998</v>
      </c>
      <c r="AM130" s="61">
        <f t="shared" ref="AM130:AO130" si="314">AM129*0.2975</f>
        <v>8171.3480278499992</v>
      </c>
      <c r="AN130" s="61">
        <f t="shared" si="314"/>
        <v>0</v>
      </c>
      <c r="AO130" s="61">
        <f t="shared" si="314"/>
        <v>0</v>
      </c>
      <c r="AP130" s="61">
        <f>SUM(AL130:AO130)</f>
        <v>54156.313481129997</v>
      </c>
      <c r="AR130" s="61">
        <f>AR129*0.2975</f>
        <v>100376.5</v>
      </c>
      <c r="AS130" s="61">
        <f t="shared" ref="AS130:AU130" si="315">AS129*0.2975</f>
        <v>0</v>
      </c>
      <c r="AT130" s="61">
        <f t="shared" si="315"/>
        <v>21598.5</v>
      </c>
      <c r="AU130" s="61">
        <f t="shared" si="315"/>
        <v>0</v>
      </c>
      <c r="AV130" s="61">
        <f>SUM(AR130:AU130)</f>
        <v>121975</v>
      </c>
      <c r="AX130" s="7">
        <f>B130+H130+N130+T130+Z130+AF130+AL130+AR130</f>
        <v>7266670.2238707626</v>
      </c>
      <c r="AY130" s="7">
        <f t="shared" ref="AY130:BA137" si="316">C130+I130+O130+U130+AA130+AG130+AM130+AS130</f>
        <v>308367.30692186637</v>
      </c>
      <c r="AZ130" s="7">
        <f t="shared" si="316"/>
        <v>1148248.5384137796</v>
      </c>
      <c r="BA130" s="7">
        <f t="shared" si="316"/>
        <v>57619.8</v>
      </c>
      <c r="BB130" s="61">
        <f>SUM(AX130:BA130)</f>
        <v>8780905.8692064099</v>
      </c>
    </row>
    <row r="131" spans="1:54" x14ac:dyDescent="0.25">
      <c r="A131" s="62" t="s">
        <v>105</v>
      </c>
      <c r="B131" s="14">
        <f>B129*0.185</f>
        <v>501233.88241821743</v>
      </c>
      <c r="C131" s="14">
        <f t="shared" ref="C131:E131" si="317">C129*0.185</f>
        <v>24679.928246880241</v>
      </c>
      <c r="D131" s="14">
        <f t="shared" si="317"/>
        <v>66195.576488162405</v>
      </c>
      <c r="E131" s="14">
        <f t="shared" si="317"/>
        <v>3929.4</v>
      </c>
      <c r="F131" s="61">
        <f t="shared" ref="F131:F137" si="318">SUM(B131:E131)</f>
        <v>596038.78715326008</v>
      </c>
      <c r="H131" s="14">
        <f>H129*0.185</f>
        <v>1205504.8046454983</v>
      </c>
      <c r="I131" s="14">
        <f t="shared" ref="I131:K131" si="319">I129*0.185</f>
        <v>40468.069685656083</v>
      </c>
      <c r="J131" s="14">
        <f t="shared" si="319"/>
        <v>223909.63079100003</v>
      </c>
      <c r="K131" s="14">
        <f t="shared" si="319"/>
        <v>11988</v>
      </c>
      <c r="L131" s="61">
        <f t="shared" ref="L131:L137" si="320">SUM(H131:K131)</f>
        <v>1481870.5051221545</v>
      </c>
      <c r="N131" s="14">
        <f>N129*0.185</f>
        <v>513744.67629424931</v>
      </c>
      <c r="O131" s="14">
        <f t="shared" ref="O131:Q131" si="321">O129*0.185</f>
        <v>34284.053947440247</v>
      </c>
      <c r="P131" s="14">
        <f t="shared" si="321"/>
        <v>72615.454079999996</v>
      </c>
      <c r="Q131" s="14">
        <f t="shared" si="321"/>
        <v>3996</v>
      </c>
      <c r="R131" s="61">
        <f t="shared" ref="R131:R137" si="322">SUM(N131:Q131)</f>
        <v>624640.18432168965</v>
      </c>
      <c r="T131" s="14">
        <f>T129*0.185</f>
        <v>634998.96401522052</v>
      </c>
      <c r="U131" s="14">
        <f t="shared" ref="U131:W131" si="323">U129*0.185</f>
        <v>21110.634900000001</v>
      </c>
      <c r="V131" s="14">
        <f t="shared" si="323"/>
        <v>90805.174040999991</v>
      </c>
      <c r="W131" s="14">
        <f t="shared" si="323"/>
        <v>3929.4</v>
      </c>
      <c r="X131" s="61">
        <f t="shared" ref="X131:X137" si="324">SUM(T131:W131)</f>
        <v>750844.17295622046</v>
      </c>
      <c r="Z131" s="14">
        <f>Z129*0.185</f>
        <v>1097752.878869619</v>
      </c>
      <c r="AA131" s="14">
        <f t="shared" ref="AA131:AC131" si="325">AA129*0.185</f>
        <v>29628.48186</v>
      </c>
      <c r="AB131" s="14">
        <f t="shared" si="325"/>
        <v>190248.07084033921</v>
      </c>
      <c r="AC131" s="14">
        <f t="shared" si="325"/>
        <v>7858.8</v>
      </c>
      <c r="AD131" s="61">
        <f t="shared" ref="AD131:AD137" si="326">SUM(Z131:AC131)</f>
        <v>1325488.2315699582</v>
      </c>
      <c r="AF131" s="14">
        <f>AF129*0.185</f>
        <v>474519.82</v>
      </c>
      <c r="AG131" s="14">
        <f t="shared" ref="AG131:AI131" si="327">AG129*0.185</f>
        <v>36505.31</v>
      </c>
      <c r="AH131" s="14">
        <f t="shared" si="327"/>
        <v>56832</v>
      </c>
      <c r="AI131" s="14">
        <f t="shared" si="327"/>
        <v>4129.2</v>
      </c>
      <c r="AJ131" s="61">
        <f t="shared" ref="AJ131:AJ137" si="328">SUM(AF131:AI131)</f>
        <v>571986.32999999996</v>
      </c>
      <c r="AL131" s="14">
        <f>AL129*0.185</f>
        <v>28595.692802880003</v>
      </c>
      <c r="AM131" s="14">
        <f t="shared" ref="AM131:AO131" si="329">AM129*0.185</f>
        <v>5081.3424710999998</v>
      </c>
      <c r="AN131" s="14">
        <f t="shared" si="329"/>
        <v>0</v>
      </c>
      <c r="AO131" s="14">
        <f t="shared" si="329"/>
        <v>0</v>
      </c>
      <c r="AP131" s="61">
        <f t="shared" ref="AP131:AP137" si="330">SUM(AL131:AO131)</f>
        <v>33677.03527398</v>
      </c>
      <c r="AR131" s="14">
        <f>AR129*0.185</f>
        <v>62419</v>
      </c>
      <c r="AS131" s="14">
        <f t="shared" ref="AS131:AU131" si="331">AS129*0.185</f>
        <v>0</v>
      </c>
      <c r="AT131" s="14">
        <f t="shared" si="331"/>
        <v>13431</v>
      </c>
      <c r="AU131" s="14">
        <f t="shared" si="331"/>
        <v>0</v>
      </c>
      <c r="AV131" s="61">
        <f t="shared" ref="AV131:AV137" si="332">SUM(AR131:AU131)</f>
        <v>75850</v>
      </c>
      <c r="AX131" s="7">
        <f t="shared" ref="AX131:AX137" si="333">B131+H131+N131+T131+Z131+AF131+AL131+AR131</f>
        <v>4518769.7190456847</v>
      </c>
      <c r="AY131" s="7">
        <f t="shared" si="316"/>
        <v>191757.8211110766</v>
      </c>
      <c r="AZ131" s="7">
        <f t="shared" si="316"/>
        <v>714036.90624050156</v>
      </c>
      <c r="BA131" s="7">
        <f t="shared" si="316"/>
        <v>35830.800000000003</v>
      </c>
      <c r="BB131" s="61">
        <f t="shared" ref="BB131:BB137" si="334">SUM(AX131:BA131)</f>
        <v>5460395.2463972624</v>
      </c>
    </row>
    <row r="132" spans="1:54" x14ac:dyDescent="0.25">
      <c r="A132" s="62" t="s">
        <v>249</v>
      </c>
      <c r="B132" s="11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1">
        <f t="shared" ref="C132:E132" si="335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1">
        <f t="shared" si="335"/>
        <v>5456</v>
      </c>
      <c r="E132" s="11">
        <f t="shared" si="335"/>
        <v>264</v>
      </c>
      <c r="F132" s="61">
        <f t="shared" si="318"/>
        <v>52404</v>
      </c>
      <c r="H132" s="11">
        <f>(((H42*2000)+(H43*1500)+(H44*1200)+(H45*1200)+(H46*1200)+(H47*1000)+(H48*1000)+(H49*300)+(H50*300)+(H51*300)+(H52*300)+(H53*300)+(H55*1000)+(H56*1000)+(H57*1000)+(H58*1000)+(H59*1000)+(H60*1000)+(H39*1000)+(1000*H54)))*0.9</f>
        <v>108810</v>
      </c>
      <c r="I132" s="11">
        <f t="shared" ref="I132:K132" si="336">(((I42*2000)+(I43*1500)+(I44*1200)+(I45*1200)+(I46*1200)+(I47*1000)+(I48*1000)+(I49*300)+(I50*300)+(I51*300)+(I52*300)+(I53*300)+(I55*1000)+(I56*1000)+(I57*1000)+(I58*1000)+(I59*1000)+(I60*1000)+(I39*1000)+(1000*I54)))*0.9</f>
        <v>4140</v>
      </c>
      <c r="J132" s="11">
        <f t="shared" si="336"/>
        <v>17910</v>
      </c>
      <c r="K132" s="11">
        <f t="shared" si="336"/>
        <v>810</v>
      </c>
      <c r="L132" s="61">
        <f t="shared" si="320"/>
        <v>131670</v>
      </c>
      <c r="N132" s="11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1">
        <f t="shared" ref="O132:Q132" si="337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1">
        <f t="shared" si="337"/>
        <v>4977</v>
      </c>
      <c r="Q132" s="11">
        <f t="shared" si="337"/>
        <v>270</v>
      </c>
      <c r="R132" s="61">
        <f t="shared" ref="R132:R135" si="338">SUM(N132:Q132)</f>
        <v>55152</v>
      </c>
      <c r="T132" s="11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1">
        <f t="shared" ref="U132:W132" si="339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1">
        <f t="shared" si="339"/>
        <v>8856</v>
      </c>
      <c r="W132" s="11">
        <f t="shared" si="339"/>
        <v>270</v>
      </c>
      <c r="X132" s="61">
        <f t="shared" si="324"/>
        <v>69741</v>
      </c>
      <c r="Z132" s="11">
        <f>(((Z42*2000)+(Z43*1500)+(Z44*1200)+(Z45*1200)+(Z46*1200)+(Z47*1000)+(Z48*1000)+(Z49*300)+(Z50*300)+(Z51*300)+(Z52*300)+(Z53*300)+(Z55*1000)+(Z56*1000)+(Z57*1000)+(Z58*1000)+(Z59*1000)+(Z60*1000)+(Z39*1000)+(1000*Z54)))*0.88</f>
        <v>100936</v>
      </c>
      <c r="AA132" s="11">
        <f t="shared" ref="AA132:AC132" si="340">(((AA42*2000)+(AA43*1500)+(AA44*1200)+(AA45*1200)+(AA46*1200)+(AA47*1000)+(AA48*1000)+(AA49*300)+(AA50*300)+(AA51*300)+(AA52*300)+(AA53*300)+(AA55*1000)+(AA56*1000)+(AA57*1000)+(AA58*1000)+(AA59*1000)+(AA60*1000)+(AA39*1000)+(1000*AA54)))*0.88</f>
        <v>2376</v>
      </c>
      <c r="AB132" s="11">
        <f t="shared" si="340"/>
        <v>14370.4</v>
      </c>
      <c r="AC132" s="11">
        <f t="shared" si="340"/>
        <v>528</v>
      </c>
      <c r="AD132" s="61">
        <f t="shared" si="326"/>
        <v>118210.4</v>
      </c>
      <c r="AF132" s="11">
        <f>(((AF42*2000)+(AF43*1500)+(AF44*1200)+(AF45*1200)+(AF46*1200)+(AF47*1000)+(AF48*1000)+(AF49*300)+(AF50*300)+(AF51*300)+(AF52*300)+(AF53*300)+(AF55*1000)+(AF56*1000)+(AF57*1000)+(AF58*1000)+(AF59*1000)+(AF60*1000)+(AF39*1000)+(1000*AF54)))*0.88</f>
        <v>43296</v>
      </c>
      <c r="AG132" s="11">
        <f t="shared" ref="AG132:AI132" si="341">(((AG42*2000)+(AG43*1500)+(AG44*1200)+(AG45*1200)+(AG46*1200)+(AG47*1000)+(AG48*1000)+(AG49*300)+(AG50*300)+(AG51*300)+(AG52*300)+(AG53*300)+(AG55*1000)+(AG56*1000)+(AG57*1000)+(AG58*1000)+(AG59*1000)+(AG60*1000)+(AG39*1000)+(1000*AG54)))*0.88</f>
        <v>3080</v>
      </c>
      <c r="AH132" s="11">
        <f t="shared" si="341"/>
        <v>4840</v>
      </c>
      <c r="AI132" s="11">
        <f t="shared" si="341"/>
        <v>264</v>
      </c>
      <c r="AJ132" s="61">
        <f t="shared" si="328"/>
        <v>51480</v>
      </c>
      <c r="AL132" s="11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1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1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1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61">
        <f t="shared" si="330"/>
        <v>4137.5</v>
      </c>
      <c r="AR132" s="11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1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1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1420</v>
      </c>
      <c r="AU132" s="11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61">
        <f t="shared" si="332"/>
        <v>3445</v>
      </c>
      <c r="AX132" s="7">
        <f t="shared" si="333"/>
        <v>410185</v>
      </c>
      <c r="AY132" s="7">
        <f t="shared" si="316"/>
        <v>15819.5</v>
      </c>
      <c r="AZ132" s="7">
        <f t="shared" si="316"/>
        <v>57829.4</v>
      </c>
      <c r="BA132" s="7">
        <f t="shared" si="316"/>
        <v>2406</v>
      </c>
      <c r="BB132" s="61">
        <f t="shared" si="334"/>
        <v>486239.9</v>
      </c>
    </row>
    <row r="133" spans="1:54" x14ac:dyDescent="0.25">
      <c r="A133" s="62" t="s">
        <v>250</v>
      </c>
      <c r="B133" s="11">
        <f>125*B66+2500</f>
        <v>8812.5</v>
      </c>
      <c r="C133" s="11">
        <f t="shared" ref="C133:E133" si="342">125*C66</f>
        <v>375</v>
      </c>
      <c r="D133" s="11">
        <f t="shared" si="342"/>
        <v>1125</v>
      </c>
      <c r="E133" s="11">
        <f t="shared" si="342"/>
        <v>125</v>
      </c>
      <c r="F133" s="61">
        <f t="shared" si="318"/>
        <v>10437.5</v>
      </c>
      <c r="H133" s="11">
        <f>125*H66+3000</f>
        <v>18375</v>
      </c>
      <c r="I133" s="11">
        <f t="shared" ref="I133:K133" si="343">125*I66</f>
        <v>1250</v>
      </c>
      <c r="J133" s="11">
        <f t="shared" si="343"/>
        <v>3625</v>
      </c>
      <c r="K133" s="11">
        <f t="shared" si="343"/>
        <v>375</v>
      </c>
      <c r="L133" s="61">
        <f t="shared" si="320"/>
        <v>23625</v>
      </c>
      <c r="N133" s="11">
        <f>125*N66+2500</f>
        <v>9250</v>
      </c>
      <c r="O133" s="11">
        <f t="shared" ref="O133:Q133" si="344">125*O66</f>
        <v>625</v>
      </c>
      <c r="P133" s="11">
        <f t="shared" si="344"/>
        <v>1041.25</v>
      </c>
      <c r="Q133" s="11">
        <f t="shared" si="344"/>
        <v>125</v>
      </c>
      <c r="R133" s="61">
        <f t="shared" si="338"/>
        <v>11041.25</v>
      </c>
      <c r="T133" s="11">
        <f>125*T66+2500</f>
        <v>10812.5</v>
      </c>
      <c r="U133" s="11">
        <f t="shared" ref="U133:W133" si="345">125*U66</f>
        <v>437.5</v>
      </c>
      <c r="V133" s="11">
        <f t="shared" si="345"/>
        <v>1667.5</v>
      </c>
      <c r="W133" s="11">
        <f t="shared" si="345"/>
        <v>125</v>
      </c>
      <c r="X133" s="61">
        <f t="shared" si="324"/>
        <v>13042.5</v>
      </c>
      <c r="Z133" s="11">
        <f>125*Z66+3000</f>
        <v>17625</v>
      </c>
      <c r="AA133" s="11">
        <f t="shared" ref="AA133:AC133" si="346">125*AA66</f>
        <v>687.5</v>
      </c>
      <c r="AB133" s="11">
        <f t="shared" si="346"/>
        <v>2853.75</v>
      </c>
      <c r="AC133" s="11">
        <f t="shared" si="346"/>
        <v>250</v>
      </c>
      <c r="AD133" s="61">
        <f t="shared" si="326"/>
        <v>21416.25</v>
      </c>
      <c r="AF133" s="11">
        <f>125*AF66+3000</f>
        <v>9250</v>
      </c>
      <c r="AG133" s="11">
        <f t="shared" ref="AG133:AI133" si="347">125*AG66</f>
        <v>375</v>
      </c>
      <c r="AH133" s="11">
        <f t="shared" si="347"/>
        <v>1125</v>
      </c>
      <c r="AI133" s="11">
        <f t="shared" si="347"/>
        <v>125</v>
      </c>
      <c r="AJ133" s="61">
        <f t="shared" si="328"/>
        <v>10875</v>
      </c>
      <c r="AL133" s="11"/>
      <c r="AM133" s="11"/>
      <c r="AN133" s="11"/>
      <c r="AO133" s="11"/>
      <c r="AP133" s="61">
        <f t="shared" si="330"/>
        <v>0</v>
      </c>
      <c r="AR133" s="11"/>
      <c r="AS133" s="11"/>
      <c r="AT133" s="11"/>
      <c r="AU133" s="11"/>
      <c r="AV133" s="61">
        <f t="shared" si="332"/>
        <v>0</v>
      </c>
      <c r="AX133" s="7">
        <f t="shared" si="333"/>
        <v>74125</v>
      </c>
      <c r="AY133" s="7">
        <f t="shared" si="316"/>
        <v>3750</v>
      </c>
      <c r="AZ133" s="7">
        <f t="shared" si="316"/>
        <v>11437.5</v>
      </c>
      <c r="BA133" s="7">
        <f t="shared" si="316"/>
        <v>1125</v>
      </c>
      <c r="BB133" s="61">
        <f t="shared" si="334"/>
        <v>90437.5</v>
      </c>
    </row>
    <row r="134" spans="1:54" x14ac:dyDescent="0.25">
      <c r="A134" s="62" t="s">
        <v>107</v>
      </c>
      <c r="B134" s="14">
        <v>2500</v>
      </c>
      <c r="C134" s="14"/>
      <c r="D134" s="14"/>
      <c r="E134" s="14"/>
      <c r="F134" s="61">
        <f t="shared" si="318"/>
        <v>2500</v>
      </c>
      <c r="H134" s="14">
        <v>2500</v>
      </c>
      <c r="I134" s="14"/>
      <c r="J134" s="14"/>
      <c r="K134" s="14"/>
      <c r="L134" s="61">
        <f t="shared" si="320"/>
        <v>2500</v>
      </c>
      <c r="N134" s="14">
        <v>2500</v>
      </c>
      <c r="O134" s="14"/>
      <c r="P134" s="14"/>
      <c r="Q134" s="14"/>
      <c r="R134" s="61">
        <f t="shared" si="338"/>
        <v>2500</v>
      </c>
      <c r="T134" s="14">
        <f>2500+15000</f>
        <v>17500</v>
      </c>
      <c r="U134" s="14"/>
      <c r="V134" s="14"/>
      <c r="W134" s="14"/>
      <c r="X134" s="61">
        <f t="shared" si="324"/>
        <v>17500</v>
      </c>
      <c r="Z134" s="14">
        <v>15000</v>
      </c>
      <c r="AA134" s="14"/>
      <c r="AB134" s="14"/>
      <c r="AC134" s="14"/>
      <c r="AD134" s="61">
        <f t="shared" si="326"/>
        <v>15000</v>
      </c>
      <c r="AF134" s="14">
        <v>15000</v>
      </c>
      <c r="AG134" s="14"/>
      <c r="AH134" s="14"/>
      <c r="AI134" s="14"/>
      <c r="AJ134" s="61">
        <f t="shared" si="328"/>
        <v>15000</v>
      </c>
      <c r="AL134" s="14"/>
      <c r="AM134" s="14"/>
      <c r="AN134" s="14"/>
      <c r="AO134" s="14"/>
      <c r="AP134" s="61">
        <f t="shared" si="330"/>
        <v>0</v>
      </c>
      <c r="AR134" s="14"/>
      <c r="AS134" s="14"/>
      <c r="AT134" s="14"/>
      <c r="AU134" s="14"/>
      <c r="AV134" s="61">
        <f t="shared" si="332"/>
        <v>0</v>
      </c>
      <c r="AX134" s="7">
        <f t="shared" si="333"/>
        <v>55000</v>
      </c>
      <c r="AY134" s="7">
        <f t="shared" si="316"/>
        <v>0</v>
      </c>
      <c r="AZ134" s="7">
        <f t="shared" si="316"/>
        <v>0</v>
      </c>
      <c r="BA134" s="7">
        <f t="shared" si="316"/>
        <v>0</v>
      </c>
      <c r="BB134" s="61">
        <f t="shared" si="334"/>
        <v>55000</v>
      </c>
    </row>
    <row r="135" spans="1:54" x14ac:dyDescent="0.25">
      <c r="A135" s="62" t="s">
        <v>251</v>
      </c>
      <c r="B135" s="14">
        <f>(500*B39)+((500*(B42+B43+B44+B45+B46+B47+B48))+((250*(B49+B50+B51+B52+B53+B54))+((500*(B55+B56+B57+B58+B59+B60+B61)))))</f>
        <v>24500</v>
      </c>
      <c r="C135" s="14">
        <f t="shared" ref="C135:E135" si="348">(500*C39)+((500*(C42+C43+C44+C45+C46+C47+C48))+((250*(C49+C50+C51+C52+C53+C54))+((500*(C55+C56+C57+C58+C59+C60+C61)))))</f>
        <v>1125</v>
      </c>
      <c r="D135" s="14">
        <f t="shared" si="348"/>
        <v>3500</v>
      </c>
      <c r="E135" s="14">
        <f t="shared" si="348"/>
        <v>250</v>
      </c>
      <c r="F135" s="61">
        <f t="shared" si="318"/>
        <v>29375</v>
      </c>
      <c r="H135" s="14">
        <f>(500*H39)+((500*(H42+H43+H44+H45+H46+H47+H48))+((250*(H49+H50+H51+H52+H53+H54))+((500*(H55+H56+H57+H58+H59+H60+H61)))))</f>
        <v>59250</v>
      </c>
      <c r="I135" s="14">
        <f t="shared" ref="I135:K135" si="349">(1000*I39)+((1000*(I42+I43+I44+I45+I46+I47+I48))+((500*(I49+I50+I51+I52+I53+I54))+((1000*(I55+I56+I57+I58+I59+I60+I61)))))</f>
        <v>6000</v>
      </c>
      <c r="J135" s="14">
        <f t="shared" si="349"/>
        <v>22500</v>
      </c>
      <c r="K135" s="14">
        <f t="shared" si="349"/>
        <v>1500</v>
      </c>
      <c r="L135" s="61">
        <f t="shared" si="320"/>
        <v>89250</v>
      </c>
      <c r="N135" s="14">
        <f>(500*N39)+((500*(N42+N43+N44+N45+N46+N47+N48))+((250*(N49+N50+N51+N52+N53+N54))+((500*(N55+N56+N57+N58+N59+N60+N61)))))</f>
        <v>26000</v>
      </c>
      <c r="O135" s="14">
        <f t="shared" ref="O135:Q135" si="350">(500*O39)+((500*(O42+O43+O44+O45+O46+O47+O48))+((250*(O49+O50+O51+O52+O53+O54))+((500*(O55+O56+O57+O58+O59+O60+O61)))))</f>
        <v>1375</v>
      </c>
      <c r="P135" s="14">
        <f t="shared" si="350"/>
        <v>3165</v>
      </c>
      <c r="Q135" s="14">
        <f t="shared" si="350"/>
        <v>250</v>
      </c>
      <c r="R135" s="61">
        <f t="shared" si="338"/>
        <v>30790</v>
      </c>
      <c r="T135" s="14">
        <f>(500*T39)+((500*(T42+T43+T44+T45+T46+T47+T48))+((250*(T49+T50+T51+T52+T53+T54))+((500*(T55+T56+T57+T58+T59+T60+T61)))))</f>
        <v>31875</v>
      </c>
      <c r="U135" s="14">
        <f t="shared" ref="U135:W135" si="351">(500*U39)+((500*(U42+U43+U44+U45+U46+U47+U48))+((250*(U49+U50+U51+U52+U53+U54))+((500*(U55+U56+U57+U58+U59+U60+U61)))))</f>
        <v>1250</v>
      </c>
      <c r="V135" s="14">
        <f t="shared" si="351"/>
        <v>5420</v>
      </c>
      <c r="W135" s="14">
        <f t="shared" si="351"/>
        <v>250</v>
      </c>
      <c r="X135" s="61">
        <f t="shared" si="324"/>
        <v>38795</v>
      </c>
      <c r="Z135" s="14">
        <f>(500*Z39)+((500*(Z42+Z43+Z44+Z45+Z46+Z47+Z48))+((250*(Z49+Z50+Z51+Z52+Z53+Z54))+((500*(Z55+Z56+Z57+Z58+Z59+Z60+Z61)))))</f>
        <v>56500</v>
      </c>
      <c r="AA135" s="14">
        <f t="shared" ref="AA135:AC135" si="352">(500*AA39)+((500*(AA42+AA43+AA44+AA45+AA46+AA47+AA48))+((250*(AA49+AA50+AA51+AA52+AA53+AA54))+((500*(AA55+AA56+AA57+AA58+AA59+AA60+AA61)))))</f>
        <v>1750</v>
      </c>
      <c r="AB135" s="14">
        <f t="shared" si="352"/>
        <v>8915</v>
      </c>
      <c r="AC135" s="14">
        <f t="shared" si="352"/>
        <v>500</v>
      </c>
      <c r="AD135" s="61">
        <f t="shared" si="326"/>
        <v>67665</v>
      </c>
      <c r="AF135" s="14">
        <f>(500*AF39)+((500*(AF42+AF43+AF44+AF45+AF46+AF47+AF48))+((250*(AF49+AF50+AF51+AF52+AF53+AF54))+((500*(AF55+AF56+AF57+AF58+AF59+AF60+AF61)))))</f>
        <v>24000</v>
      </c>
      <c r="AG135" s="14">
        <f t="shared" ref="AG135:AI135" si="353">(500*AG39)+((500*(AG42+AG43+AG44+AG45+AG46+AG47+AG48))+((250*(AG49+AG50+AG51+AG52+AG53+AG54))+((500*(AG55+AG56+AG57+AG58+AG59+AG60+AG61)))))</f>
        <v>1500</v>
      </c>
      <c r="AH135" s="14">
        <f t="shared" si="353"/>
        <v>3250</v>
      </c>
      <c r="AI135" s="14">
        <f t="shared" si="353"/>
        <v>250</v>
      </c>
      <c r="AJ135" s="61">
        <f t="shared" si="328"/>
        <v>29000</v>
      </c>
      <c r="AL135" s="14"/>
      <c r="AM135" s="14"/>
      <c r="AN135" s="14"/>
      <c r="AO135" s="14"/>
      <c r="AP135" s="61">
        <f t="shared" si="330"/>
        <v>0</v>
      </c>
      <c r="AR135" s="14"/>
      <c r="AS135" s="14"/>
      <c r="AT135" s="14"/>
      <c r="AU135" s="14"/>
      <c r="AV135" s="61">
        <f t="shared" si="332"/>
        <v>0</v>
      </c>
      <c r="AX135" s="7">
        <f t="shared" si="333"/>
        <v>222125</v>
      </c>
      <c r="AY135" s="7">
        <f t="shared" si="316"/>
        <v>13000</v>
      </c>
      <c r="AZ135" s="7">
        <f t="shared" si="316"/>
        <v>46750</v>
      </c>
      <c r="BA135" s="7">
        <f t="shared" si="316"/>
        <v>3000</v>
      </c>
      <c r="BB135" s="61">
        <f t="shared" si="334"/>
        <v>284875</v>
      </c>
    </row>
    <row r="136" spans="1:54" x14ac:dyDescent="0.25">
      <c r="A136" s="62" t="s">
        <v>108</v>
      </c>
      <c r="B136" s="7">
        <v>7500</v>
      </c>
      <c r="C136" s="7"/>
      <c r="D136" s="7"/>
      <c r="E136" s="7"/>
      <c r="F136" s="61">
        <f t="shared" si="318"/>
        <v>7500</v>
      </c>
      <c r="H136" s="7">
        <v>12000</v>
      </c>
      <c r="I136" s="7"/>
      <c r="J136" s="7"/>
      <c r="K136" s="7"/>
      <c r="L136" s="61">
        <f t="shared" si="320"/>
        <v>12000</v>
      </c>
      <c r="N136" s="7">
        <v>12000</v>
      </c>
      <c r="O136" s="7"/>
      <c r="P136" s="7"/>
      <c r="Q136" s="7"/>
      <c r="R136" s="61">
        <f t="shared" si="322"/>
        <v>12000</v>
      </c>
      <c r="T136" s="7">
        <v>12000</v>
      </c>
      <c r="U136" s="7"/>
      <c r="V136" s="7"/>
      <c r="W136" s="7"/>
      <c r="X136" s="61">
        <f t="shared" si="324"/>
        <v>12000</v>
      </c>
      <c r="Z136" s="7">
        <v>12000</v>
      </c>
      <c r="AA136" s="7"/>
      <c r="AB136" s="7"/>
      <c r="AC136" s="7"/>
      <c r="AD136" s="61">
        <f t="shared" si="326"/>
        <v>12000</v>
      </c>
      <c r="AF136" s="7">
        <v>12000</v>
      </c>
      <c r="AG136" s="7"/>
      <c r="AH136" s="7"/>
      <c r="AI136" s="7"/>
      <c r="AJ136" s="61">
        <f t="shared" si="328"/>
        <v>12000</v>
      </c>
      <c r="AL136" s="7">
        <v>0</v>
      </c>
      <c r="AM136" s="7"/>
      <c r="AN136" s="7"/>
      <c r="AO136" s="7"/>
      <c r="AP136" s="61">
        <f t="shared" si="330"/>
        <v>0</v>
      </c>
      <c r="AR136" s="7">
        <v>0</v>
      </c>
      <c r="AS136" s="7"/>
      <c r="AT136" s="7"/>
      <c r="AU136" s="7"/>
      <c r="AV136" s="61">
        <f t="shared" si="332"/>
        <v>0</v>
      </c>
      <c r="AX136" s="7">
        <f t="shared" si="333"/>
        <v>67500</v>
      </c>
      <c r="AY136" s="7">
        <f t="shared" si="316"/>
        <v>0</v>
      </c>
      <c r="AZ136" s="7">
        <f t="shared" si="316"/>
        <v>0</v>
      </c>
      <c r="BA136" s="7">
        <f t="shared" si="316"/>
        <v>0</v>
      </c>
      <c r="BB136" s="61">
        <f t="shared" si="334"/>
        <v>67500</v>
      </c>
    </row>
    <row r="137" spans="1:54" x14ac:dyDescent="0.25">
      <c r="A137" s="62" t="s">
        <v>109</v>
      </c>
      <c r="B137" s="37">
        <f>(175*10*B39)-B127</f>
        <v>48325</v>
      </c>
      <c r="C137" s="37">
        <f t="shared" ref="C137:E137" si="354">(175*10*C39)-C127</f>
        <v>0</v>
      </c>
      <c r="D137" s="37">
        <f t="shared" si="354"/>
        <v>7000</v>
      </c>
      <c r="E137" s="37">
        <f t="shared" si="354"/>
        <v>0</v>
      </c>
      <c r="F137" s="61">
        <f t="shared" si="318"/>
        <v>55325</v>
      </c>
      <c r="H137" s="37">
        <f>(175*10*H39)-H127</f>
        <v>124650</v>
      </c>
      <c r="I137" s="37">
        <f t="shared" ref="I137:K137" si="355">(175*10*I39)-I127</f>
        <v>0</v>
      </c>
      <c r="J137" s="37">
        <f t="shared" si="355"/>
        <v>22750</v>
      </c>
      <c r="K137" s="37">
        <f t="shared" si="355"/>
        <v>0</v>
      </c>
      <c r="L137" s="61">
        <f t="shared" si="320"/>
        <v>147400</v>
      </c>
      <c r="N137" s="37">
        <f>(175*10*N39)-N127</f>
        <v>52750</v>
      </c>
      <c r="O137" s="37">
        <f t="shared" ref="O137:Q137" si="356">(175*10*O39)-O127</f>
        <v>0</v>
      </c>
      <c r="P137" s="37">
        <f t="shared" si="356"/>
        <v>7000</v>
      </c>
      <c r="Q137" s="37">
        <f t="shared" si="356"/>
        <v>0</v>
      </c>
      <c r="R137" s="61">
        <f t="shared" si="322"/>
        <v>59750</v>
      </c>
      <c r="T137" s="37">
        <f>(175*10*T39)-T127</f>
        <v>70250</v>
      </c>
      <c r="U137" s="37">
        <f t="shared" ref="U137:W137" si="357">(175*10*U39)-U127</f>
        <v>0</v>
      </c>
      <c r="V137" s="37">
        <f t="shared" si="357"/>
        <v>8750</v>
      </c>
      <c r="W137" s="37">
        <f t="shared" si="357"/>
        <v>0</v>
      </c>
      <c r="X137" s="61">
        <f t="shared" si="324"/>
        <v>79000</v>
      </c>
      <c r="Z137" s="37">
        <f>(175*10*Z39)-Z127</f>
        <v>146325</v>
      </c>
      <c r="AA137" s="37">
        <f t="shared" ref="AA137:AC137" si="358">(175*10*AA39)-AA127</f>
        <v>0</v>
      </c>
      <c r="AB137" s="37">
        <f t="shared" si="358"/>
        <v>17500</v>
      </c>
      <c r="AC137" s="37">
        <f t="shared" si="358"/>
        <v>0</v>
      </c>
      <c r="AD137" s="61">
        <f t="shared" si="326"/>
        <v>163825</v>
      </c>
      <c r="AF137" s="37">
        <f>(175*10*AF39)-AF127</f>
        <v>49250</v>
      </c>
      <c r="AG137" s="37">
        <f t="shared" ref="AG137:AI137" si="359">(175*10*AG39)-AG127</f>
        <v>0</v>
      </c>
      <c r="AH137" s="37">
        <f t="shared" si="359"/>
        <v>7000</v>
      </c>
      <c r="AI137" s="37">
        <f t="shared" si="359"/>
        <v>0</v>
      </c>
      <c r="AJ137" s="61">
        <f t="shared" si="328"/>
        <v>56250</v>
      </c>
      <c r="AL137" s="37">
        <f>(165*10*AL39)-AL127</f>
        <v>0</v>
      </c>
      <c r="AM137" s="37">
        <v>0</v>
      </c>
      <c r="AN137" s="37">
        <f t="shared" ref="AN137:AO137" si="360">(165*10*AN39)-AN127</f>
        <v>0</v>
      </c>
      <c r="AO137" s="37">
        <f t="shared" si="360"/>
        <v>0</v>
      </c>
      <c r="AP137" s="61">
        <f t="shared" si="330"/>
        <v>0</v>
      </c>
      <c r="AR137" s="37">
        <f>(165*10*AR39)-AR127</f>
        <v>0</v>
      </c>
      <c r="AS137" s="37">
        <v>0</v>
      </c>
      <c r="AT137" s="37">
        <f t="shared" ref="AT137:AU137" si="361">(165*10*AT39)-AT127</f>
        <v>1650</v>
      </c>
      <c r="AU137" s="37">
        <f t="shared" si="361"/>
        <v>0</v>
      </c>
      <c r="AV137" s="61">
        <f t="shared" si="332"/>
        <v>1650</v>
      </c>
      <c r="AX137" s="7">
        <f t="shared" si="333"/>
        <v>491550</v>
      </c>
      <c r="AY137" s="7">
        <f t="shared" si="316"/>
        <v>0</v>
      </c>
      <c r="AZ137" s="7">
        <f t="shared" si="316"/>
        <v>71650</v>
      </c>
      <c r="BA137" s="7">
        <f t="shared" si="316"/>
        <v>0</v>
      </c>
      <c r="BB137" s="61">
        <f t="shared" si="334"/>
        <v>563200</v>
      </c>
    </row>
    <row r="138" spans="1:54" ht="15.75" thickBot="1" x14ac:dyDescent="0.3">
      <c r="A138" s="91" t="s">
        <v>110</v>
      </c>
      <c r="B138" s="87">
        <f>SUM(B130:B137)</f>
        <v>1443437.6527934589</v>
      </c>
      <c r="C138" s="87">
        <f>SUM(C130:C137)</f>
        <v>68023.92096821469</v>
      </c>
      <c r="D138" s="87">
        <f>SUM(D130:D137)</f>
        <v>189726.21975966683</v>
      </c>
      <c r="E138" s="87">
        <f t="shared" ref="E138:F138" si="362">SUM(E130:E137)</f>
        <v>10887.3</v>
      </c>
      <c r="F138" s="87">
        <f t="shared" si="362"/>
        <v>1712075.0935213405</v>
      </c>
      <c r="H138" s="87">
        <f>SUM(H130:H137)</f>
        <v>3469671.855359205</v>
      </c>
      <c r="I138" s="87">
        <f>SUM(I130:I137)</f>
        <v>116935.10066664356</v>
      </c>
      <c r="J138" s="87">
        <f>SUM(J130:J137)</f>
        <v>650765.52354950004</v>
      </c>
      <c r="K138" s="87">
        <f t="shared" ref="K138:L138" si="363">SUM(K130:K137)</f>
        <v>33951</v>
      </c>
      <c r="L138" s="87">
        <f t="shared" si="363"/>
        <v>4271323.479575349</v>
      </c>
      <c r="N138" s="87">
        <f>SUM(N130:N137)</f>
        <v>1490641.6557404071</v>
      </c>
      <c r="O138" s="87">
        <f>SUM(O130:O137)</f>
        <v>93081.519079134683</v>
      </c>
      <c r="P138" s="87">
        <f>SUM(P130:P137)</f>
        <v>205572.20455999998</v>
      </c>
      <c r="Q138" s="87">
        <f t="shared" ref="Q138:R138" si="364">SUM(Q130:Q137)</f>
        <v>11067</v>
      </c>
      <c r="R138" s="87">
        <f t="shared" si="364"/>
        <v>1800362.3793795418</v>
      </c>
      <c r="T138" s="87">
        <f>SUM(T130:T137)</f>
        <v>1857308.4466883454</v>
      </c>
      <c r="U138" s="87">
        <f>SUM(U130:U137)</f>
        <v>58636.318050000002</v>
      </c>
      <c r="V138" s="87">
        <f>SUM(V130:V137)</f>
        <v>261523.21067449998</v>
      </c>
      <c r="W138" s="87">
        <f t="shared" ref="W138:X138" si="365">SUM(W130:W137)</f>
        <v>10893.3</v>
      </c>
      <c r="X138" s="87">
        <f t="shared" si="365"/>
        <v>2188361.275412845</v>
      </c>
      <c r="Z138" s="87">
        <f>SUM(Z130:Z137)</f>
        <v>3211444.1840788713</v>
      </c>
      <c r="AA138" s="87">
        <f>SUM(AA130:AA137)</f>
        <v>82087.783770000009</v>
      </c>
      <c r="AB138" s="87">
        <f>SUM(AB130:AB137)</f>
        <v>539826.68611061445</v>
      </c>
      <c r="AC138" s="87">
        <f t="shared" ref="AC138:AD138" si="366">SUM(AC130:AC137)</f>
        <v>21774.6</v>
      </c>
      <c r="AD138" s="87">
        <f t="shared" si="366"/>
        <v>3855133.2539594849</v>
      </c>
      <c r="AF138" s="87">
        <f>SUM(AF130:AF137)</f>
        <v>1390394.99</v>
      </c>
      <c r="AG138" s="87">
        <f>SUM(AG130:AG137)</f>
        <v>100164.795</v>
      </c>
      <c r="AH138" s="87">
        <f>SUM(AH130:AH137)</f>
        <v>164439</v>
      </c>
      <c r="AI138" s="87">
        <f t="shared" ref="AI138:AJ138" si="367">SUM(AI130:AI137)</f>
        <v>11408.4</v>
      </c>
      <c r="AJ138" s="87">
        <f t="shared" si="367"/>
        <v>1666407.1849999998</v>
      </c>
      <c r="AL138" s="87">
        <f>SUM(AL130:AL137)</f>
        <v>78205.658256160008</v>
      </c>
      <c r="AM138" s="87">
        <f>SUM(AM130:AM137)</f>
        <v>13765.19049895</v>
      </c>
      <c r="AN138" s="87">
        <f>SUM(AN130:AN137)</f>
        <v>0</v>
      </c>
      <c r="AO138" s="87">
        <f t="shared" ref="AO138:AP138" si="368">SUM(AO130:AO137)</f>
        <v>0</v>
      </c>
      <c r="AP138" s="87">
        <f t="shared" si="368"/>
        <v>91970.848755109997</v>
      </c>
      <c r="AR138" s="87">
        <f>SUM(AR130:AR137)</f>
        <v>164820.5</v>
      </c>
      <c r="AS138" s="87">
        <f>SUM(AS130:AS137)</f>
        <v>0</v>
      </c>
      <c r="AT138" s="87">
        <f>SUM(AT130:AT137)</f>
        <v>38099.5</v>
      </c>
      <c r="AU138" s="87">
        <f t="shared" ref="AU138:AV138" si="369">SUM(AU130:AU137)</f>
        <v>0</v>
      </c>
      <c r="AV138" s="87">
        <f t="shared" si="369"/>
        <v>202920</v>
      </c>
      <c r="AX138" s="87">
        <f>SUM(AX130:AX137)</f>
        <v>13105924.942916447</v>
      </c>
      <c r="AY138" s="87">
        <f>SUM(AY130:AY137)</f>
        <v>532694.628032943</v>
      </c>
      <c r="AZ138" s="87">
        <f>SUM(AZ130:AZ137)</f>
        <v>2049952.3446542812</v>
      </c>
      <c r="BA138" s="87">
        <f t="shared" ref="BA138:BB138" si="370">SUM(BA130:BA137)</f>
        <v>99981.6</v>
      </c>
      <c r="BB138" s="87">
        <f t="shared" si="370"/>
        <v>15788553.515603673</v>
      </c>
    </row>
    <row r="139" spans="1:54" ht="15.75" thickBot="1" x14ac:dyDescent="0.3">
      <c r="A139" s="95" t="s">
        <v>111</v>
      </c>
      <c r="B139" s="90">
        <f>B129+B138</f>
        <v>4152809.9901892291</v>
      </c>
      <c r="C139" s="90">
        <f>C129+C138</f>
        <v>201428.9385189187</v>
      </c>
      <c r="D139" s="90">
        <f>D129+D138</f>
        <v>547540.14672270685</v>
      </c>
      <c r="E139" s="90">
        <f t="shared" ref="E139:F139" si="371">E129+E138</f>
        <v>32127.3</v>
      </c>
      <c r="F139" s="90">
        <f t="shared" si="371"/>
        <v>4933906.375430854</v>
      </c>
      <c r="H139" s="90">
        <f>H129+H138</f>
        <v>9985914.04263217</v>
      </c>
      <c r="I139" s="90">
        <f>I129+I138</f>
        <v>335681.4232918116</v>
      </c>
      <c r="J139" s="90">
        <f>J129+J138</f>
        <v>1861087.8521495</v>
      </c>
      <c r="K139" s="90">
        <f t="shared" ref="K139:L139" si="372">K129+K138</f>
        <v>98751</v>
      </c>
      <c r="L139" s="90">
        <f t="shared" si="372"/>
        <v>12281434.318073481</v>
      </c>
      <c r="N139" s="90">
        <f>N129+N138</f>
        <v>4267639.9059795924</v>
      </c>
      <c r="O139" s="90">
        <f>O129+O138</f>
        <v>278400.72960583871</v>
      </c>
      <c r="P139" s="90">
        <f>P129+P138</f>
        <v>598088.17255999998</v>
      </c>
      <c r="Q139" s="90">
        <f t="shared" ref="Q139:R139" si="373">Q129+Q138</f>
        <v>32667</v>
      </c>
      <c r="R139" s="90">
        <f t="shared" si="373"/>
        <v>5176795.8081454318</v>
      </c>
      <c r="T139" s="90">
        <f>T129+T138</f>
        <v>5289735.2792030508</v>
      </c>
      <c r="U139" s="90">
        <f>U129+U138</f>
        <v>172747.85805000001</v>
      </c>
      <c r="V139" s="90">
        <f>V129+V138</f>
        <v>752361.98927449994</v>
      </c>
      <c r="W139" s="90">
        <f t="shared" ref="W139:X139" si="374">W129+W138</f>
        <v>32133.3</v>
      </c>
      <c r="X139" s="90">
        <f t="shared" si="374"/>
        <v>6246978.4265275504</v>
      </c>
      <c r="Z139" s="90">
        <f>Z129+Z138</f>
        <v>9145243.5293200556</v>
      </c>
      <c r="AA139" s="90">
        <f>AA129+AA138</f>
        <v>242241.73977000001</v>
      </c>
      <c r="AB139" s="90">
        <f>AB129+AB138</f>
        <v>1568194.6365989344</v>
      </c>
      <c r="AC139" s="90">
        <f t="shared" ref="AC139:AD139" si="375">AC129+AC138</f>
        <v>64254.6</v>
      </c>
      <c r="AD139" s="90">
        <f t="shared" si="375"/>
        <v>11019934.50568899</v>
      </c>
      <c r="AF139" s="90">
        <f>AF129+AF138</f>
        <v>3955366.99</v>
      </c>
      <c r="AG139" s="90">
        <f>AG129+AG138</f>
        <v>297490.79499999998</v>
      </c>
      <c r="AH139" s="90">
        <f>AH129+AH138</f>
        <v>471639</v>
      </c>
      <c r="AI139" s="90">
        <f t="shared" ref="AI139:AJ139" si="376">AI129+AI138</f>
        <v>33728.400000000001</v>
      </c>
      <c r="AJ139" s="90">
        <f t="shared" si="376"/>
        <v>4758225.1849999996</v>
      </c>
      <c r="AL139" s="90">
        <f>AL129+AL138</f>
        <v>232776.97070416002</v>
      </c>
      <c r="AM139" s="90">
        <f>AM129+AM138</f>
        <v>41231.906558949995</v>
      </c>
      <c r="AN139" s="90">
        <f>AN129+AN138</f>
        <v>0</v>
      </c>
      <c r="AO139" s="90">
        <f t="shared" ref="AO139:AP139" si="377">AO129+AO138</f>
        <v>0</v>
      </c>
      <c r="AP139" s="90">
        <f t="shared" si="377"/>
        <v>274008.87726311001</v>
      </c>
      <c r="AR139" s="90">
        <f>AR129+AR138</f>
        <v>502220.5</v>
      </c>
      <c r="AS139" s="90">
        <f>AS129+AS138</f>
        <v>0</v>
      </c>
      <c r="AT139" s="90">
        <f>AT129+AT138</f>
        <v>110699.5</v>
      </c>
      <c r="AU139" s="90">
        <f t="shared" ref="AU139:AV139" si="378">AU129+AU138</f>
        <v>0</v>
      </c>
      <c r="AV139" s="90">
        <f t="shared" si="378"/>
        <v>612920</v>
      </c>
      <c r="AX139" s="90">
        <f>AX129+AX138</f>
        <v>37531707.208028257</v>
      </c>
      <c r="AY139" s="90">
        <f>AY129+AY138</f>
        <v>1569223.3907955191</v>
      </c>
      <c r="AZ139" s="90">
        <f>AZ129+AZ138</f>
        <v>5909611.2973056417</v>
      </c>
      <c r="BA139" s="90">
        <f t="shared" ref="BA139:BB139" si="379">BA129+BA138</f>
        <v>293661.59999999998</v>
      </c>
      <c r="BB139" s="90">
        <f t="shared" si="379"/>
        <v>45304203.496129416</v>
      </c>
    </row>
    <row r="140" spans="1:54" x14ac:dyDescent="0.25">
      <c r="A140" s="97" t="s">
        <v>112</v>
      </c>
      <c r="B140" s="149" t="str">
        <f>B1</f>
        <v>Operating</v>
      </c>
      <c r="C140" s="149" t="str">
        <f>C1</f>
        <v>Weights</v>
      </c>
      <c r="D140" s="149" t="str">
        <f>D1</f>
        <v>SPED</v>
      </c>
      <c r="E140" s="149" t="str">
        <f t="shared" ref="E140:F140" si="380">E1</f>
        <v>NSLP</v>
      </c>
      <c r="F140" s="149" t="str">
        <f t="shared" si="380"/>
        <v>Horizon</v>
      </c>
      <c r="H140" s="149" t="str">
        <f>H1</f>
        <v>Operating</v>
      </c>
      <c r="I140" s="149" t="str">
        <f>I1</f>
        <v>Weights</v>
      </c>
      <c r="J140" s="149" t="str">
        <f>J1</f>
        <v>SPED</v>
      </c>
      <c r="K140" s="149" t="str">
        <f t="shared" ref="K140:L140" si="381">K1</f>
        <v>NSLP</v>
      </c>
      <c r="L140" s="149" t="str">
        <f t="shared" si="381"/>
        <v>Cadence</v>
      </c>
      <c r="N140" s="149" t="str">
        <f>N1</f>
        <v>Operating</v>
      </c>
      <c r="O140" s="149" t="str">
        <f>O1</f>
        <v>Weights</v>
      </c>
      <c r="P140" s="149" t="str">
        <f>P1</f>
        <v>SPED</v>
      </c>
      <c r="Q140" s="149" t="str">
        <f t="shared" ref="Q140:R140" si="382">Q1</f>
        <v>NSLP</v>
      </c>
      <c r="R140" s="149" t="str">
        <f t="shared" si="382"/>
        <v>St. Rose</v>
      </c>
      <c r="T140" s="149" t="str">
        <f>T1</f>
        <v>Operating</v>
      </c>
      <c r="U140" s="149" t="str">
        <f>U1</f>
        <v>Weights</v>
      </c>
      <c r="V140" s="149" t="str">
        <f>V1</f>
        <v>SPED</v>
      </c>
      <c r="W140" s="149" t="str">
        <f t="shared" ref="W140:X140" si="383">W1</f>
        <v>NSLP</v>
      </c>
      <c r="X140" s="149" t="str">
        <f t="shared" si="383"/>
        <v>Inspirada</v>
      </c>
      <c r="Z140" s="149" t="str">
        <f>Z1</f>
        <v>Operating</v>
      </c>
      <c r="AA140" s="149" t="str">
        <f>AA1</f>
        <v>Weights</v>
      </c>
      <c r="AB140" s="149" t="str">
        <f>AB1</f>
        <v>SPED</v>
      </c>
      <c r="AC140" s="149" t="str">
        <f t="shared" ref="AC140:AD140" si="384">AC1</f>
        <v>NSLP</v>
      </c>
      <c r="AD140" s="149" t="str">
        <f t="shared" si="384"/>
        <v>Sloan Canyon</v>
      </c>
      <c r="AF140" s="149" t="str">
        <f>AF1</f>
        <v>Operating</v>
      </c>
      <c r="AG140" s="149" t="str">
        <f>AG1</f>
        <v>Weights</v>
      </c>
      <c r="AH140" s="149" t="str">
        <f>AH1</f>
        <v>SPED</v>
      </c>
      <c r="AI140" s="149" t="str">
        <f t="shared" ref="AI140:AJ140" si="385">AI1</f>
        <v>NSLP</v>
      </c>
      <c r="AJ140" s="149" t="str">
        <f t="shared" si="385"/>
        <v>Springs</v>
      </c>
      <c r="AL140" s="149" t="str">
        <f>AL1</f>
        <v>Operating</v>
      </c>
      <c r="AM140" s="149" t="str">
        <f>AM1</f>
        <v>Weights</v>
      </c>
      <c r="AN140" s="149" t="str">
        <f>AN1</f>
        <v>SPED</v>
      </c>
      <c r="AO140" s="149" t="str">
        <f t="shared" ref="AO140:AP140" si="386">AO1</f>
        <v>NSLP</v>
      </c>
      <c r="AP140" s="149" t="str">
        <f t="shared" si="386"/>
        <v>System Wide</v>
      </c>
      <c r="AR140" s="149" t="str">
        <f>AR1</f>
        <v>Operating</v>
      </c>
      <c r="AS140" s="149" t="str">
        <f>AS1</f>
        <v>Weights</v>
      </c>
      <c r="AT140" s="149" t="str">
        <f>AT1</f>
        <v>SPED</v>
      </c>
      <c r="AU140" s="149" t="str">
        <f t="shared" ref="AU140:AV140" si="387">AU1</f>
        <v>NSLP</v>
      </c>
      <c r="AV140" s="149" t="str">
        <f t="shared" si="387"/>
        <v>Virtual</v>
      </c>
      <c r="AX140" s="149" t="str">
        <f>AX1</f>
        <v>Operating</v>
      </c>
      <c r="AY140" s="149" t="str">
        <f>AY1</f>
        <v>Weights</v>
      </c>
      <c r="AZ140" s="149" t="str">
        <f>AZ1</f>
        <v>SPED</v>
      </c>
      <c r="BA140" s="149" t="str">
        <f t="shared" ref="BA140:BB140" si="388">BA1</f>
        <v>NSLP</v>
      </c>
      <c r="BB140" s="149" t="str">
        <f t="shared" si="388"/>
        <v>Pinecrest System</v>
      </c>
    </row>
    <row r="141" spans="1:54" x14ac:dyDescent="0.25">
      <c r="A141" s="98" t="s">
        <v>113</v>
      </c>
      <c r="B141" s="15">
        <f>B19*150</f>
        <v>140400</v>
      </c>
      <c r="C141" s="15"/>
      <c r="D141" s="15"/>
      <c r="E141" s="15"/>
      <c r="F141" s="15">
        <f>SUM(B141:E141)</f>
        <v>140400</v>
      </c>
      <c r="H141" s="15">
        <f>H19*150</f>
        <v>366600</v>
      </c>
      <c r="I141" s="15"/>
      <c r="J141" s="15"/>
      <c r="K141" s="15"/>
      <c r="L141" s="15">
        <f>SUM(H141:K141)</f>
        <v>366600</v>
      </c>
      <c r="N141" s="15">
        <f>N19*150</f>
        <v>152400</v>
      </c>
      <c r="O141" s="15"/>
      <c r="P141" s="15"/>
      <c r="Q141" s="15"/>
      <c r="R141" s="15">
        <f>SUM(N141:Q141)</f>
        <v>152400</v>
      </c>
      <c r="T141" s="15">
        <f>T19*150</f>
        <v>182250</v>
      </c>
      <c r="U141" s="15"/>
      <c r="V141" s="15"/>
      <c r="W141" s="15"/>
      <c r="X141" s="15">
        <f>SUM(T141:W141)</f>
        <v>182250</v>
      </c>
      <c r="Z141" s="15">
        <f>Z19*150</f>
        <v>365250</v>
      </c>
      <c r="AA141" s="15"/>
      <c r="AB141" s="15"/>
      <c r="AC141" s="15"/>
      <c r="AD141" s="15">
        <f>SUM(Z141:AC141)</f>
        <v>365250</v>
      </c>
      <c r="AF141" s="15">
        <f>AF19*150</f>
        <v>144000</v>
      </c>
      <c r="AG141" s="15"/>
      <c r="AH141" s="15"/>
      <c r="AI141" s="15"/>
      <c r="AJ141" s="15">
        <f>SUM(AF141:AI141)</f>
        <v>144000</v>
      </c>
      <c r="AL141" s="15">
        <f>AL19*140</f>
        <v>0</v>
      </c>
      <c r="AM141" s="15"/>
      <c r="AN141" s="15"/>
      <c r="AO141" s="15"/>
      <c r="AP141" s="15">
        <f>SUM(AL141:AO141)</f>
        <v>0</v>
      </c>
      <c r="AR141" s="15">
        <f>AR19*375</f>
        <v>120000</v>
      </c>
      <c r="AS141" s="15"/>
      <c r="AT141" s="15"/>
      <c r="AU141" s="15"/>
      <c r="AV141" s="15">
        <f>SUM(AR141:AU141)</f>
        <v>120000</v>
      </c>
      <c r="AX141" s="7">
        <f>B141+H141+N141+T141+Z141+AF141+AL141+AR141</f>
        <v>1470900</v>
      </c>
      <c r="AY141" s="7">
        <f t="shared" ref="AY141:BA150" si="389">C141+I141+O141+U141+AA141+AG141+AM141+AS141</f>
        <v>0</v>
      </c>
      <c r="AZ141" s="7">
        <f t="shared" si="389"/>
        <v>0</v>
      </c>
      <c r="BA141" s="7">
        <f t="shared" si="389"/>
        <v>0</v>
      </c>
      <c r="BB141" s="15">
        <f>SUM(AX141:BA141)</f>
        <v>1470900</v>
      </c>
    </row>
    <row r="142" spans="1:54" x14ac:dyDescent="0.25">
      <c r="A142" s="99" t="s">
        <v>252</v>
      </c>
      <c r="B142" s="15">
        <v>0</v>
      </c>
      <c r="C142" s="7"/>
      <c r="D142" s="7"/>
      <c r="E142" s="7"/>
      <c r="F142" s="15">
        <f t="shared" ref="F142:F150" si="390">SUM(B142:E142)</f>
        <v>0</v>
      </c>
      <c r="H142" s="15">
        <v>245000</v>
      </c>
      <c r="I142" s="7"/>
      <c r="J142" s="7"/>
      <c r="K142" s="7"/>
      <c r="L142" s="15">
        <f t="shared" ref="L142:L147" si="391">SUM(H142:K142)</f>
        <v>245000</v>
      </c>
      <c r="N142" s="15">
        <v>0</v>
      </c>
      <c r="O142" s="7"/>
      <c r="P142" s="7"/>
      <c r="Q142" s="7"/>
      <c r="R142" s="15">
        <f t="shared" ref="R142:R147" si="392">SUM(N142:Q142)</f>
        <v>0</v>
      </c>
      <c r="T142" s="15">
        <v>0</v>
      </c>
      <c r="U142" s="7"/>
      <c r="V142" s="7"/>
      <c r="W142" s="7"/>
      <c r="X142" s="15">
        <f t="shared" ref="X142:X147" si="393">SUM(T142:W142)</f>
        <v>0</v>
      </c>
      <c r="Z142" s="15">
        <v>200000</v>
      </c>
      <c r="AA142" s="7"/>
      <c r="AB142" s="7"/>
      <c r="AC142" s="7"/>
      <c r="AD142" s="15">
        <f t="shared" ref="AD142:AD147" si="394">SUM(Z142:AC142)</f>
        <v>200000</v>
      </c>
      <c r="AF142" s="15">
        <v>0</v>
      </c>
      <c r="AG142" s="7"/>
      <c r="AH142" s="7"/>
      <c r="AI142" s="7"/>
      <c r="AJ142" s="15">
        <f t="shared" ref="AJ142:AJ150" si="395">SUM(AF142:AI142)</f>
        <v>0</v>
      </c>
      <c r="AL142" s="15">
        <v>0</v>
      </c>
      <c r="AM142" s="7"/>
      <c r="AN142" s="7"/>
      <c r="AO142" s="7"/>
      <c r="AP142" s="15">
        <f t="shared" ref="AP142:AP147" si="396">SUM(AL142:AO142)</f>
        <v>0</v>
      </c>
      <c r="AR142" s="197">
        <f>(120*3)*(12*20)</f>
        <v>86400</v>
      </c>
      <c r="AS142" s="7"/>
      <c r="AT142" s="7"/>
      <c r="AU142" s="7"/>
      <c r="AV142" s="15">
        <f t="shared" ref="AV142:AV147" si="397">SUM(AR142:AU142)</f>
        <v>86400</v>
      </c>
      <c r="AX142" s="7">
        <f t="shared" ref="AX142:AX150" si="398">B142+H142+N142+T142+Z142+AF142+AL142+AR142</f>
        <v>531400</v>
      </c>
      <c r="AY142" s="7">
        <f t="shared" si="389"/>
        <v>0</v>
      </c>
      <c r="AZ142" s="7">
        <f t="shared" si="389"/>
        <v>0</v>
      </c>
      <c r="BA142" s="7">
        <f t="shared" si="389"/>
        <v>0</v>
      </c>
      <c r="BB142" s="15">
        <f t="shared" ref="BB142:BB150" si="399">SUM(AX142:BA142)</f>
        <v>531400</v>
      </c>
    </row>
    <row r="143" spans="1:54" x14ac:dyDescent="0.25">
      <c r="A143" s="62" t="s">
        <v>115</v>
      </c>
      <c r="B143" s="11">
        <v>15000</v>
      </c>
      <c r="C143" s="11"/>
      <c r="D143" s="11"/>
      <c r="E143" s="11"/>
      <c r="F143" s="15">
        <f t="shared" si="390"/>
        <v>15000</v>
      </c>
      <c r="H143" s="198">
        <v>175000</v>
      </c>
      <c r="I143" s="11"/>
      <c r="J143" s="11"/>
      <c r="K143" s="11"/>
      <c r="L143" s="15">
        <f t="shared" si="391"/>
        <v>175000</v>
      </c>
      <c r="N143" s="198">
        <v>0</v>
      </c>
      <c r="O143" s="11"/>
      <c r="P143" s="11"/>
      <c r="Q143" s="11"/>
      <c r="R143" s="15">
        <f t="shared" si="392"/>
        <v>0</v>
      </c>
      <c r="T143" s="198">
        <v>0</v>
      </c>
      <c r="U143" s="11"/>
      <c r="V143" s="11"/>
      <c r="W143" s="11"/>
      <c r="X143" s="15">
        <f t="shared" si="393"/>
        <v>0</v>
      </c>
      <c r="Z143" s="11">
        <v>0</v>
      </c>
      <c r="AA143" s="11"/>
      <c r="AB143" s="11"/>
      <c r="AC143" s="11"/>
      <c r="AD143" s="15">
        <f t="shared" si="394"/>
        <v>0</v>
      </c>
      <c r="AF143" s="11">
        <v>280000</v>
      </c>
      <c r="AG143" s="11"/>
      <c r="AH143" s="11"/>
      <c r="AI143" s="11"/>
      <c r="AJ143" s="15">
        <f t="shared" si="395"/>
        <v>280000</v>
      </c>
      <c r="AL143" s="11">
        <v>0</v>
      </c>
      <c r="AM143" s="11"/>
      <c r="AN143" s="11"/>
      <c r="AO143" s="11"/>
      <c r="AP143" s="15">
        <f t="shared" si="396"/>
        <v>0</v>
      </c>
      <c r="AR143" s="11">
        <v>0</v>
      </c>
      <c r="AS143" s="11"/>
      <c r="AT143" s="11"/>
      <c r="AU143" s="11"/>
      <c r="AV143" s="15">
        <f t="shared" ref="AV143" si="400">SUM(AR143:AU143)</f>
        <v>0</v>
      </c>
      <c r="AX143" s="7">
        <f t="shared" si="398"/>
        <v>470000</v>
      </c>
      <c r="AY143" s="7">
        <f t="shared" si="389"/>
        <v>0</v>
      </c>
      <c r="AZ143" s="7">
        <f t="shared" si="389"/>
        <v>0</v>
      </c>
      <c r="BA143" s="7">
        <f t="shared" si="389"/>
        <v>0</v>
      </c>
      <c r="BB143" s="15">
        <f t="shared" si="399"/>
        <v>470000</v>
      </c>
    </row>
    <row r="144" spans="1:54" x14ac:dyDescent="0.25">
      <c r="A144" s="62" t="s">
        <v>116</v>
      </c>
      <c r="B144" s="7">
        <v>0</v>
      </c>
      <c r="C144" s="7">
        <v>0</v>
      </c>
      <c r="D144" s="7"/>
      <c r="E144" s="7"/>
      <c r="F144" s="15">
        <f t="shared" si="390"/>
        <v>0</v>
      </c>
      <c r="H144" s="7">
        <v>75000</v>
      </c>
      <c r="I144" s="7">
        <v>0</v>
      </c>
      <c r="J144" s="7"/>
      <c r="K144" s="7"/>
      <c r="L144" s="15">
        <f t="shared" si="391"/>
        <v>75000</v>
      </c>
      <c r="N144" s="7">
        <v>0</v>
      </c>
      <c r="O144" s="7">
        <v>0</v>
      </c>
      <c r="P144" s="7"/>
      <c r="Q144" s="7"/>
      <c r="R144" s="15">
        <f t="shared" si="392"/>
        <v>0</v>
      </c>
      <c r="T144" s="7">
        <v>0</v>
      </c>
      <c r="U144" s="7">
        <v>0</v>
      </c>
      <c r="V144" s="7"/>
      <c r="W144" s="7"/>
      <c r="X144" s="15">
        <f t="shared" si="393"/>
        <v>0</v>
      </c>
      <c r="Z144" s="7">
        <v>0</v>
      </c>
      <c r="AA144" s="7">
        <v>0</v>
      </c>
      <c r="AB144" s="7"/>
      <c r="AC144" s="7"/>
      <c r="AD144" s="15">
        <f t="shared" si="394"/>
        <v>0</v>
      </c>
      <c r="AF144" s="7">
        <v>0</v>
      </c>
      <c r="AG144" s="7">
        <v>0</v>
      </c>
      <c r="AH144" s="7"/>
      <c r="AI144" s="7"/>
      <c r="AJ144" s="15">
        <f t="shared" si="395"/>
        <v>0</v>
      </c>
      <c r="AL144" s="7">
        <v>0</v>
      </c>
      <c r="AM144" s="7">
        <v>0</v>
      </c>
      <c r="AN144" s="7"/>
      <c r="AO144" s="7"/>
      <c r="AP144" s="15">
        <f t="shared" si="396"/>
        <v>0</v>
      </c>
      <c r="AR144" s="7">
        <f>375*80</f>
        <v>30000</v>
      </c>
      <c r="AS144" s="7">
        <v>0</v>
      </c>
      <c r="AT144" s="7"/>
      <c r="AU144" s="7"/>
      <c r="AV144" s="15">
        <f t="shared" si="397"/>
        <v>30000</v>
      </c>
      <c r="AX144" s="7">
        <f t="shared" si="398"/>
        <v>105000</v>
      </c>
      <c r="AY144" s="7">
        <f t="shared" si="389"/>
        <v>0</v>
      </c>
      <c r="AZ144" s="7">
        <f t="shared" si="389"/>
        <v>0</v>
      </c>
      <c r="BA144" s="7">
        <f t="shared" si="389"/>
        <v>0</v>
      </c>
      <c r="BB144" s="15">
        <f t="shared" si="399"/>
        <v>105000</v>
      </c>
    </row>
    <row r="145" spans="1:54" x14ac:dyDescent="0.25">
      <c r="A145" s="62" t="s">
        <v>117</v>
      </c>
      <c r="B145" s="7">
        <f>14*B19</f>
        <v>13104</v>
      </c>
      <c r="C145" s="7">
        <f>13*C19</f>
        <v>0</v>
      </c>
      <c r="D145" s="7"/>
      <c r="E145" s="7">
        <v>0</v>
      </c>
      <c r="F145" s="15">
        <f t="shared" si="390"/>
        <v>13104</v>
      </c>
      <c r="H145" s="7">
        <f>14*H19</f>
        <v>34216</v>
      </c>
      <c r="I145" s="7">
        <f>13*I19</f>
        <v>0</v>
      </c>
      <c r="J145" s="7"/>
      <c r="K145" s="7">
        <v>0</v>
      </c>
      <c r="L145" s="15">
        <f t="shared" si="391"/>
        <v>34216</v>
      </c>
      <c r="N145" s="7">
        <f>14*N19</f>
        <v>14224</v>
      </c>
      <c r="O145" s="7">
        <f>13*O19</f>
        <v>0</v>
      </c>
      <c r="P145" s="7"/>
      <c r="Q145" s="7">
        <v>0</v>
      </c>
      <c r="R145" s="15">
        <f t="shared" si="392"/>
        <v>14224</v>
      </c>
      <c r="T145" s="7">
        <f>14*T19</f>
        <v>17010</v>
      </c>
      <c r="U145" s="7">
        <f>13*U19</f>
        <v>0</v>
      </c>
      <c r="V145" s="7"/>
      <c r="W145" s="7">
        <v>0</v>
      </c>
      <c r="X145" s="15">
        <f t="shared" si="393"/>
        <v>17010</v>
      </c>
      <c r="Z145" s="7">
        <f>14*Z19</f>
        <v>34090</v>
      </c>
      <c r="AA145" s="7">
        <f>13*AA19</f>
        <v>0</v>
      </c>
      <c r="AB145" s="7"/>
      <c r="AC145" s="7">
        <v>0</v>
      </c>
      <c r="AD145" s="15">
        <f t="shared" si="394"/>
        <v>34090</v>
      </c>
      <c r="AF145" s="7">
        <f>14*AF19</f>
        <v>13440</v>
      </c>
      <c r="AG145" s="7">
        <f>13*AG19</f>
        <v>0</v>
      </c>
      <c r="AH145" s="7"/>
      <c r="AI145" s="7">
        <v>0</v>
      </c>
      <c r="AJ145" s="15">
        <f t="shared" si="395"/>
        <v>13440</v>
      </c>
      <c r="AL145" s="7">
        <v>1000</v>
      </c>
      <c r="AM145" s="7">
        <f>13*AM19</f>
        <v>0</v>
      </c>
      <c r="AN145" s="7"/>
      <c r="AO145" s="7">
        <v>0</v>
      </c>
      <c r="AP145" s="15">
        <f t="shared" si="396"/>
        <v>1000</v>
      </c>
      <c r="AR145" s="7">
        <f>13*AR19</f>
        <v>4160</v>
      </c>
      <c r="AS145" s="7">
        <f>13*AS19</f>
        <v>0</v>
      </c>
      <c r="AT145" s="7"/>
      <c r="AU145" s="7">
        <v>0</v>
      </c>
      <c r="AV145" s="15">
        <f t="shared" si="397"/>
        <v>4160</v>
      </c>
      <c r="AX145" s="7">
        <f t="shared" si="398"/>
        <v>131244</v>
      </c>
      <c r="AY145" s="7">
        <f t="shared" si="389"/>
        <v>0</v>
      </c>
      <c r="AZ145" s="7">
        <f t="shared" si="389"/>
        <v>0</v>
      </c>
      <c r="BA145" s="7">
        <f t="shared" si="389"/>
        <v>0</v>
      </c>
      <c r="BB145" s="15">
        <f t="shared" si="399"/>
        <v>131244</v>
      </c>
    </row>
    <row r="146" spans="1:54" x14ac:dyDescent="0.25">
      <c r="A146" s="62" t="s">
        <v>118</v>
      </c>
      <c r="B146" s="7">
        <f>(29*B19)</f>
        <v>27144</v>
      </c>
      <c r="C146" s="7">
        <v>0</v>
      </c>
      <c r="D146" s="7"/>
      <c r="E146" s="7"/>
      <c r="F146" s="15">
        <f t="shared" si="390"/>
        <v>27144</v>
      </c>
      <c r="H146" s="7">
        <f>(29*H19)</f>
        <v>70876</v>
      </c>
      <c r="I146" s="7">
        <v>0</v>
      </c>
      <c r="J146" s="7"/>
      <c r="K146" s="7"/>
      <c r="L146" s="15">
        <f t="shared" si="391"/>
        <v>70876</v>
      </c>
      <c r="N146" s="7">
        <f>(29*N19)</f>
        <v>29464</v>
      </c>
      <c r="O146" s="7">
        <v>0</v>
      </c>
      <c r="P146" s="7"/>
      <c r="Q146" s="7"/>
      <c r="R146" s="15">
        <f t="shared" si="392"/>
        <v>29464</v>
      </c>
      <c r="T146" s="7">
        <f>(29*T19)</f>
        <v>35235</v>
      </c>
      <c r="U146" s="7">
        <v>0</v>
      </c>
      <c r="V146" s="7"/>
      <c r="W146" s="7"/>
      <c r="X146" s="15">
        <f t="shared" si="393"/>
        <v>35235</v>
      </c>
      <c r="Z146" s="7">
        <f>(29*Z19)</f>
        <v>70615</v>
      </c>
      <c r="AA146" s="7">
        <v>0</v>
      </c>
      <c r="AB146" s="7"/>
      <c r="AC146" s="7"/>
      <c r="AD146" s="15">
        <f t="shared" si="394"/>
        <v>70615</v>
      </c>
      <c r="AF146" s="7">
        <f>(29*AF19)</f>
        <v>27840</v>
      </c>
      <c r="AG146" s="7">
        <v>0</v>
      </c>
      <c r="AH146" s="7"/>
      <c r="AI146" s="7"/>
      <c r="AJ146" s="15">
        <f t="shared" si="395"/>
        <v>27840</v>
      </c>
      <c r="AL146" s="7">
        <f>(27*AL19)</f>
        <v>0</v>
      </c>
      <c r="AM146" s="7">
        <v>0</v>
      </c>
      <c r="AN146" s="7"/>
      <c r="AO146" s="7"/>
      <c r="AP146" s="15">
        <f t="shared" si="396"/>
        <v>0</v>
      </c>
      <c r="AR146" s="7">
        <f>(27*AR19)</f>
        <v>8640</v>
      </c>
      <c r="AS146" s="7">
        <v>0</v>
      </c>
      <c r="AT146" s="7"/>
      <c r="AU146" s="7"/>
      <c r="AV146" s="15">
        <f t="shared" si="397"/>
        <v>8640</v>
      </c>
      <c r="AX146" s="7">
        <f t="shared" si="398"/>
        <v>269814</v>
      </c>
      <c r="AY146" s="7">
        <f t="shared" si="389"/>
        <v>0</v>
      </c>
      <c r="AZ146" s="7">
        <f t="shared" si="389"/>
        <v>0</v>
      </c>
      <c r="BA146" s="7">
        <f t="shared" si="389"/>
        <v>0</v>
      </c>
      <c r="BB146" s="15">
        <f t="shared" si="399"/>
        <v>269814</v>
      </c>
    </row>
    <row r="147" spans="1:54" x14ac:dyDescent="0.25">
      <c r="A147" s="62" t="s">
        <v>119</v>
      </c>
      <c r="B147" s="7">
        <f>4.25*B19</f>
        <v>3978</v>
      </c>
      <c r="C147" s="7">
        <f>4*C19</f>
        <v>0</v>
      </c>
      <c r="D147" s="7"/>
      <c r="E147" s="7"/>
      <c r="F147" s="15">
        <f t="shared" si="390"/>
        <v>3978</v>
      </c>
      <c r="H147" s="7">
        <f>4.25*H19</f>
        <v>10387</v>
      </c>
      <c r="I147" s="7">
        <f>4*I19</f>
        <v>0</v>
      </c>
      <c r="J147" s="7"/>
      <c r="K147" s="7"/>
      <c r="L147" s="15">
        <f t="shared" si="391"/>
        <v>10387</v>
      </c>
      <c r="N147" s="7">
        <f>4.25*N19</f>
        <v>4318</v>
      </c>
      <c r="O147" s="7">
        <f>4*O19</f>
        <v>0</v>
      </c>
      <c r="P147" s="7"/>
      <c r="Q147" s="7"/>
      <c r="R147" s="15">
        <f t="shared" si="392"/>
        <v>4318</v>
      </c>
      <c r="T147" s="7">
        <f>4.25*T19</f>
        <v>5163.75</v>
      </c>
      <c r="U147" s="7">
        <f>4*U19</f>
        <v>0</v>
      </c>
      <c r="V147" s="7"/>
      <c r="W147" s="7"/>
      <c r="X147" s="15">
        <f t="shared" si="393"/>
        <v>5163.75</v>
      </c>
      <c r="Z147" s="7">
        <f>4.25*Z19</f>
        <v>10348.75</v>
      </c>
      <c r="AA147" s="7">
        <f>4*AA19</f>
        <v>0</v>
      </c>
      <c r="AB147" s="7"/>
      <c r="AC147" s="7"/>
      <c r="AD147" s="15">
        <f t="shared" si="394"/>
        <v>10348.75</v>
      </c>
      <c r="AF147" s="7">
        <f>4.25*AF19</f>
        <v>4080</v>
      </c>
      <c r="AG147" s="7">
        <f>4*AG19</f>
        <v>0</v>
      </c>
      <c r="AH147" s="7"/>
      <c r="AI147" s="7"/>
      <c r="AJ147" s="15">
        <f t="shared" si="395"/>
        <v>4080</v>
      </c>
      <c r="AL147" s="7">
        <f>4*AL19</f>
        <v>0</v>
      </c>
      <c r="AM147" s="7">
        <f>4*AM19</f>
        <v>0</v>
      </c>
      <c r="AN147" s="7"/>
      <c r="AO147" s="7"/>
      <c r="AP147" s="15">
        <f t="shared" si="396"/>
        <v>0</v>
      </c>
      <c r="AR147" s="142">
        <v>0</v>
      </c>
      <c r="AS147" s="7">
        <f>4*AS19</f>
        <v>0</v>
      </c>
      <c r="AT147" s="7"/>
      <c r="AU147" s="7"/>
      <c r="AV147" s="15">
        <f t="shared" si="397"/>
        <v>0</v>
      </c>
      <c r="AX147" s="7">
        <f t="shared" si="398"/>
        <v>38275.5</v>
      </c>
      <c r="AY147" s="7">
        <f t="shared" si="389"/>
        <v>0</v>
      </c>
      <c r="AZ147" s="7">
        <f t="shared" si="389"/>
        <v>0</v>
      </c>
      <c r="BA147" s="7">
        <f t="shared" si="389"/>
        <v>0</v>
      </c>
      <c r="BB147" s="15">
        <f t="shared" si="399"/>
        <v>38275.5</v>
      </c>
    </row>
    <row r="148" spans="1:54" x14ac:dyDescent="0.25">
      <c r="A148" s="62" t="s">
        <v>120</v>
      </c>
      <c r="B148" s="7">
        <f>3.25*B19</f>
        <v>3042</v>
      </c>
      <c r="C148" s="7">
        <f>3*C19</f>
        <v>0</v>
      </c>
      <c r="D148" s="7"/>
      <c r="E148" s="7"/>
      <c r="F148" s="15">
        <f t="shared" si="390"/>
        <v>3042</v>
      </c>
      <c r="H148" s="7">
        <f>3.25*H19</f>
        <v>7943</v>
      </c>
      <c r="I148" s="7">
        <f>3*I19</f>
        <v>0</v>
      </c>
      <c r="J148" s="7"/>
      <c r="K148" s="7"/>
      <c r="L148" s="15">
        <f t="shared" ref="L148:L150" si="401">SUM(H148:K148)</f>
        <v>7943</v>
      </c>
      <c r="N148" s="7">
        <f>3.25*N19</f>
        <v>3302</v>
      </c>
      <c r="O148" s="7">
        <f>3*O19</f>
        <v>0</v>
      </c>
      <c r="P148" s="7"/>
      <c r="Q148" s="7"/>
      <c r="R148" s="15">
        <f t="shared" ref="R148:R150" si="402">SUM(N148:Q148)</f>
        <v>3302</v>
      </c>
      <c r="T148" s="7">
        <f>3.25*T19</f>
        <v>3948.75</v>
      </c>
      <c r="U148" s="7">
        <f>3*U19</f>
        <v>0</v>
      </c>
      <c r="V148" s="7"/>
      <c r="W148" s="7"/>
      <c r="X148" s="15">
        <f t="shared" ref="X148:X150" si="403">SUM(T148:W148)</f>
        <v>3948.75</v>
      </c>
      <c r="Z148" s="7">
        <f>3.25*Z19</f>
        <v>7913.75</v>
      </c>
      <c r="AA148" s="7">
        <f>3*AA19</f>
        <v>0</v>
      </c>
      <c r="AB148" s="7"/>
      <c r="AC148" s="7"/>
      <c r="AD148" s="15">
        <f t="shared" ref="AD148:AD150" si="404">SUM(Z148:AC148)</f>
        <v>7913.75</v>
      </c>
      <c r="AF148" s="7">
        <f>3.25*AF19</f>
        <v>3120</v>
      </c>
      <c r="AG148" s="7">
        <f>3*AG19</f>
        <v>0</v>
      </c>
      <c r="AH148" s="7"/>
      <c r="AI148" s="7"/>
      <c r="AJ148" s="15">
        <f t="shared" si="395"/>
        <v>3120</v>
      </c>
      <c r="AL148" s="7">
        <f>3*AL19</f>
        <v>0</v>
      </c>
      <c r="AM148" s="7">
        <f>3*AM19</f>
        <v>0</v>
      </c>
      <c r="AN148" s="7"/>
      <c r="AO148" s="7"/>
      <c r="AP148" s="15">
        <f t="shared" ref="AP148:AP150" si="405">SUM(AL148:AO148)</f>
        <v>0</v>
      </c>
      <c r="AR148" s="142">
        <v>0</v>
      </c>
      <c r="AS148" s="7">
        <f>3*AS19</f>
        <v>0</v>
      </c>
      <c r="AT148" s="7"/>
      <c r="AU148" s="7"/>
      <c r="AV148" s="15">
        <f t="shared" ref="AV148:AV150" si="406">SUM(AR148:AU148)</f>
        <v>0</v>
      </c>
      <c r="AX148" s="7">
        <f t="shared" si="398"/>
        <v>29269.5</v>
      </c>
      <c r="AY148" s="7">
        <f t="shared" si="389"/>
        <v>0</v>
      </c>
      <c r="AZ148" s="7">
        <f t="shared" si="389"/>
        <v>0</v>
      </c>
      <c r="BA148" s="7">
        <f t="shared" si="389"/>
        <v>0</v>
      </c>
      <c r="BB148" s="15">
        <f t="shared" si="399"/>
        <v>29269.5</v>
      </c>
    </row>
    <row r="149" spans="1:54" x14ac:dyDescent="0.25">
      <c r="A149" s="62" t="s">
        <v>121</v>
      </c>
      <c r="B149" s="7">
        <f>120*B22</f>
        <v>0</v>
      </c>
      <c r="C149" s="7">
        <f>120*C22</f>
        <v>0</v>
      </c>
      <c r="D149" s="7">
        <f>129*D22</f>
        <v>13027.995550611791</v>
      </c>
      <c r="E149" s="7"/>
      <c r="F149" s="15">
        <f t="shared" si="390"/>
        <v>13027.995550611791</v>
      </c>
      <c r="H149" s="7">
        <f>120*H22</f>
        <v>0</v>
      </c>
      <c r="I149" s="7">
        <f>120*I22</f>
        <v>0</v>
      </c>
      <c r="J149" s="7">
        <f>129*J22</f>
        <v>40041.737967914443</v>
      </c>
      <c r="K149" s="7"/>
      <c r="L149" s="15">
        <f t="shared" si="401"/>
        <v>40041.737967914443</v>
      </c>
      <c r="N149" s="7">
        <f>120*N22</f>
        <v>0</v>
      </c>
      <c r="O149" s="7">
        <f>120*O22</f>
        <v>0</v>
      </c>
      <c r="P149" s="7">
        <f>129*P22</f>
        <v>9546</v>
      </c>
      <c r="Q149" s="7"/>
      <c r="R149" s="15">
        <f t="shared" si="402"/>
        <v>9546</v>
      </c>
      <c r="T149" s="7">
        <f>120*T22</f>
        <v>0</v>
      </c>
      <c r="U149" s="7">
        <f>120*U22</f>
        <v>0</v>
      </c>
      <c r="V149" s="7">
        <f>129*V22</f>
        <v>14117.91492910759</v>
      </c>
      <c r="W149" s="7"/>
      <c r="X149" s="15">
        <f t="shared" si="403"/>
        <v>14117.91492910759</v>
      </c>
      <c r="Z149" s="7">
        <f>120*Z22</f>
        <v>0</v>
      </c>
      <c r="AA149" s="7">
        <f>120*AA22</f>
        <v>0</v>
      </c>
      <c r="AB149" s="7">
        <f>129*AB22</f>
        <v>25700.31818181818</v>
      </c>
      <c r="AC149" s="7"/>
      <c r="AD149" s="15">
        <f t="shared" si="404"/>
        <v>25700.31818181818</v>
      </c>
      <c r="AF149" s="7">
        <f>120*AF22</f>
        <v>0</v>
      </c>
      <c r="AG149" s="7">
        <f>120*AG22</f>
        <v>0</v>
      </c>
      <c r="AH149" s="7">
        <f>129*AH22</f>
        <v>12616.199999999999</v>
      </c>
      <c r="AI149" s="7"/>
      <c r="AJ149" s="15">
        <f t="shared" si="395"/>
        <v>12616.199999999999</v>
      </c>
      <c r="AL149" s="7">
        <f>120*AL22</f>
        <v>0</v>
      </c>
      <c r="AM149" s="7">
        <f>120*AM22</f>
        <v>0</v>
      </c>
      <c r="AN149" s="7">
        <f>120*AN22</f>
        <v>0</v>
      </c>
      <c r="AO149" s="7"/>
      <c r="AP149" s="15">
        <f t="shared" si="405"/>
        <v>0</v>
      </c>
      <c r="AR149" s="7">
        <f>120*AR22</f>
        <v>0</v>
      </c>
      <c r="AS149" s="7">
        <f>120*AS22</f>
        <v>0</v>
      </c>
      <c r="AT149" s="7">
        <f>150*AT22</f>
        <v>3750</v>
      </c>
      <c r="AU149" s="7"/>
      <c r="AV149" s="15">
        <f t="shared" si="406"/>
        <v>3750</v>
      </c>
      <c r="AX149" s="7">
        <f t="shared" si="398"/>
        <v>0</v>
      </c>
      <c r="AY149" s="7">
        <f t="shared" si="389"/>
        <v>0</v>
      </c>
      <c r="AZ149" s="7">
        <f t="shared" si="389"/>
        <v>118800.166629452</v>
      </c>
      <c r="BA149" s="7">
        <f t="shared" si="389"/>
        <v>0</v>
      </c>
      <c r="BB149" s="15">
        <f t="shared" si="399"/>
        <v>118800.166629452</v>
      </c>
    </row>
    <row r="150" spans="1:54" ht="15.75" thickBot="1" x14ac:dyDescent="0.3">
      <c r="A150" s="62" t="s">
        <v>122</v>
      </c>
      <c r="B150" s="37">
        <v>0</v>
      </c>
      <c r="C150" s="37">
        <v>0</v>
      </c>
      <c r="D150" s="37"/>
      <c r="E150" s="37"/>
      <c r="F150" s="15">
        <f t="shared" si="390"/>
        <v>0</v>
      </c>
      <c r="H150" s="15">
        <f>'FY25'!H150+10000</f>
        <v>80000</v>
      </c>
      <c r="I150" s="37">
        <v>0</v>
      </c>
      <c r="J150" s="37"/>
      <c r="K150" s="37"/>
      <c r="L150" s="15">
        <f t="shared" si="401"/>
        <v>80000</v>
      </c>
      <c r="N150" s="37">
        <v>0</v>
      </c>
      <c r="O150" s="37">
        <v>0</v>
      </c>
      <c r="P150" s="37"/>
      <c r="Q150" s="37"/>
      <c r="R150" s="15">
        <f t="shared" si="402"/>
        <v>0</v>
      </c>
      <c r="T150" s="37">
        <v>0</v>
      </c>
      <c r="U150" s="37">
        <v>0</v>
      </c>
      <c r="V150" s="37"/>
      <c r="W150" s="37"/>
      <c r="X150" s="15">
        <f t="shared" si="403"/>
        <v>0</v>
      </c>
      <c r="Z150" s="37">
        <v>40000</v>
      </c>
      <c r="AA150" s="37">
        <v>0</v>
      </c>
      <c r="AB150" s="37"/>
      <c r="AC150" s="37"/>
      <c r="AD150" s="15">
        <f t="shared" si="404"/>
        <v>40000</v>
      </c>
      <c r="AF150" s="37">
        <v>0</v>
      </c>
      <c r="AG150" s="37">
        <v>0</v>
      </c>
      <c r="AH150" s="37"/>
      <c r="AI150" s="37"/>
      <c r="AJ150" s="15">
        <f t="shared" si="395"/>
        <v>0</v>
      </c>
      <c r="AL150" s="37">
        <v>0</v>
      </c>
      <c r="AM150" s="37">
        <v>0</v>
      </c>
      <c r="AN150" s="37"/>
      <c r="AO150" s="37"/>
      <c r="AP150" s="15">
        <f t="shared" si="405"/>
        <v>0</v>
      </c>
      <c r="AR150" s="37">
        <v>0</v>
      </c>
      <c r="AS150" s="37">
        <v>0</v>
      </c>
      <c r="AT150" s="37"/>
      <c r="AU150" s="37"/>
      <c r="AV150" s="15">
        <f t="shared" si="406"/>
        <v>0</v>
      </c>
      <c r="AX150" s="7">
        <f t="shared" si="398"/>
        <v>120000</v>
      </c>
      <c r="AY150" s="7">
        <f t="shared" si="389"/>
        <v>0</v>
      </c>
      <c r="AZ150" s="7">
        <f t="shared" si="389"/>
        <v>0</v>
      </c>
      <c r="BA150" s="7">
        <f t="shared" si="389"/>
        <v>0</v>
      </c>
      <c r="BB150" s="15">
        <f t="shared" si="399"/>
        <v>120000</v>
      </c>
    </row>
    <row r="151" spans="1:54" ht="15.75" thickBot="1" x14ac:dyDescent="0.3">
      <c r="A151" s="95" t="s">
        <v>123</v>
      </c>
      <c r="B151" s="92">
        <f>SUM(B141:B150)</f>
        <v>202668</v>
      </c>
      <c r="C151" s="92">
        <f>SUM(C141:C150)</f>
        <v>0</v>
      </c>
      <c r="D151" s="92">
        <f>SUM(D141:D150)</f>
        <v>13027.995550611791</v>
      </c>
      <c r="E151" s="92">
        <f>SUM(E141:E150)</f>
        <v>0</v>
      </c>
      <c r="F151" s="92">
        <f>SUM(F141:F150)</f>
        <v>215695.99555061178</v>
      </c>
      <c r="H151" s="92">
        <f>SUM(H141:H150)</f>
        <v>1065022</v>
      </c>
      <c r="I151" s="92">
        <f>SUM(I141:I150)</f>
        <v>0</v>
      </c>
      <c r="J151" s="92">
        <f>SUM(J141:J150)</f>
        <v>40041.737967914443</v>
      </c>
      <c r="K151" s="92">
        <f>SUM(K141:K150)</f>
        <v>0</v>
      </c>
      <c r="L151" s="92">
        <f>SUM(L141:L150)</f>
        <v>1105063.7379679144</v>
      </c>
      <c r="N151" s="92">
        <f>SUM(N141:N150)</f>
        <v>203708</v>
      </c>
      <c r="O151" s="92">
        <f>SUM(O141:O150)</f>
        <v>0</v>
      </c>
      <c r="P151" s="92">
        <f>SUM(P141:P150)</f>
        <v>9546</v>
      </c>
      <c r="Q151" s="92">
        <f>SUM(Q141:Q150)</f>
        <v>0</v>
      </c>
      <c r="R151" s="92">
        <f>SUM(R141:R150)</f>
        <v>213254</v>
      </c>
      <c r="T151" s="92">
        <f>SUM(T141:T150)</f>
        <v>243607.5</v>
      </c>
      <c r="U151" s="92">
        <f>SUM(U141:U150)</f>
        <v>0</v>
      </c>
      <c r="V151" s="92">
        <f>SUM(V141:V150)</f>
        <v>14117.91492910759</v>
      </c>
      <c r="W151" s="92">
        <f>SUM(W141:W150)</f>
        <v>0</v>
      </c>
      <c r="X151" s="92">
        <f>SUM(X141:X150)</f>
        <v>257725.41492910759</v>
      </c>
      <c r="Z151" s="92">
        <f>SUM(Z141:Z150)</f>
        <v>728217.5</v>
      </c>
      <c r="AA151" s="92">
        <f>SUM(AA141:AA150)</f>
        <v>0</v>
      </c>
      <c r="AB151" s="92">
        <f>SUM(AB141:AB150)</f>
        <v>25700.31818181818</v>
      </c>
      <c r="AC151" s="92">
        <f>SUM(AC141:AC150)</f>
        <v>0</v>
      </c>
      <c r="AD151" s="92">
        <f>SUM(AD141:AD150)</f>
        <v>753917.81818181823</v>
      </c>
      <c r="AF151" s="92">
        <f>SUM(AF141:AF150)</f>
        <v>472480</v>
      </c>
      <c r="AG151" s="92">
        <f>SUM(AG141:AG150)</f>
        <v>0</v>
      </c>
      <c r="AH151" s="92">
        <f>SUM(AH141:AH150)</f>
        <v>12616.199999999999</v>
      </c>
      <c r="AI151" s="92">
        <f>SUM(AI141:AI150)</f>
        <v>0</v>
      </c>
      <c r="AJ151" s="92">
        <f>SUM(AJ141:AJ150)</f>
        <v>485096.2</v>
      </c>
      <c r="AL151" s="92">
        <f>SUM(AL141:AL150)</f>
        <v>1000</v>
      </c>
      <c r="AM151" s="92">
        <f>SUM(AM141:AM150)</f>
        <v>0</v>
      </c>
      <c r="AN151" s="92">
        <f>SUM(AN141:AN150)</f>
        <v>0</v>
      </c>
      <c r="AO151" s="92">
        <f>SUM(AO141:AO150)</f>
        <v>0</v>
      </c>
      <c r="AP151" s="92">
        <f>SUM(AP141:AP150)</f>
        <v>1000</v>
      </c>
      <c r="AR151" s="92">
        <f>SUM(AR141:AR150)</f>
        <v>249200</v>
      </c>
      <c r="AS151" s="92">
        <f>SUM(AS141:AS150)</f>
        <v>0</v>
      </c>
      <c r="AT151" s="92">
        <f>SUM(AT141:AT150)</f>
        <v>3750</v>
      </c>
      <c r="AU151" s="92">
        <f>SUM(AU141:AU150)</f>
        <v>0</v>
      </c>
      <c r="AV151" s="92">
        <f>SUM(AV141:AV150)</f>
        <v>252950</v>
      </c>
      <c r="AX151" s="92">
        <f>SUM(AX141:AX150)</f>
        <v>3165903</v>
      </c>
      <c r="AY151" s="92">
        <f>SUM(AY141:AY150)</f>
        <v>0</v>
      </c>
      <c r="AZ151" s="92">
        <f>SUM(AZ141:AZ150)</f>
        <v>118800.166629452</v>
      </c>
      <c r="BA151" s="92">
        <f>SUM(BA141:BA150)</f>
        <v>0</v>
      </c>
      <c r="BB151" s="92">
        <f>SUM(BB141:BB150)</f>
        <v>3284703.1666294518</v>
      </c>
    </row>
    <row r="152" spans="1:54" x14ac:dyDescent="0.25">
      <c r="A152" s="101" t="s">
        <v>124</v>
      </c>
      <c r="B152" s="149" t="str">
        <f>B1</f>
        <v>Operating</v>
      </c>
      <c r="C152" s="149" t="str">
        <f>C1</f>
        <v>Weights</v>
      </c>
      <c r="D152" s="149" t="str">
        <f>D1</f>
        <v>SPED</v>
      </c>
      <c r="E152" s="149" t="str">
        <f>E1</f>
        <v>NSLP</v>
      </c>
      <c r="F152" s="149" t="str">
        <f>F1</f>
        <v>Horizon</v>
      </c>
      <c r="H152" s="149" t="str">
        <f>H1</f>
        <v>Operating</v>
      </c>
      <c r="I152" s="149" t="str">
        <f>I1</f>
        <v>Weights</v>
      </c>
      <c r="J152" s="149" t="str">
        <f>J1</f>
        <v>SPED</v>
      </c>
      <c r="K152" s="149" t="str">
        <f>K1</f>
        <v>NSLP</v>
      </c>
      <c r="L152" s="149" t="str">
        <f>L1</f>
        <v>Cadence</v>
      </c>
      <c r="N152" s="149" t="str">
        <f>N1</f>
        <v>Operating</v>
      </c>
      <c r="O152" s="149" t="str">
        <f>O1</f>
        <v>Weights</v>
      </c>
      <c r="P152" s="149" t="str">
        <f>P1</f>
        <v>SPED</v>
      </c>
      <c r="Q152" s="149" t="str">
        <f>Q1</f>
        <v>NSLP</v>
      </c>
      <c r="R152" s="149" t="str">
        <f>R1</f>
        <v>St. Rose</v>
      </c>
      <c r="T152" s="149" t="str">
        <f>T1</f>
        <v>Operating</v>
      </c>
      <c r="U152" s="149" t="str">
        <f>U1</f>
        <v>Weights</v>
      </c>
      <c r="V152" s="149" t="str">
        <f>V1</f>
        <v>SPED</v>
      </c>
      <c r="W152" s="149" t="str">
        <f>W1</f>
        <v>NSLP</v>
      </c>
      <c r="X152" s="149" t="str">
        <f>X1</f>
        <v>Inspirada</v>
      </c>
      <c r="Z152" s="149" t="str">
        <f>Z1</f>
        <v>Operating</v>
      </c>
      <c r="AA152" s="149" t="str">
        <f>AA1</f>
        <v>Weights</v>
      </c>
      <c r="AB152" s="149" t="str">
        <f>AB1</f>
        <v>SPED</v>
      </c>
      <c r="AC152" s="149" t="str">
        <f>AC1</f>
        <v>NSLP</v>
      </c>
      <c r="AD152" s="149" t="str">
        <f>AD1</f>
        <v>Sloan Canyon</v>
      </c>
      <c r="AF152" s="149" t="str">
        <f>AF1</f>
        <v>Operating</v>
      </c>
      <c r="AG152" s="149" t="str">
        <f>AG1</f>
        <v>Weights</v>
      </c>
      <c r="AH152" s="149" t="str">
        <f>AH1</f>
        <v>SPED</v>
      </c>
      <c r="AI152" s="149" t="str">
        <f>AI1</f>
        <v>NSLP</v>
      </c>
      <c r="AJ152" s="149" t="str">
        <f>AJ1</f>
        <v>Springs</v>
      </c>
      <c r="AL152" s="149" t="str">
        <f>AL1</f>
        <v>Operating</v>
      </c>
      <c r="AM152" s="149" t="str">
        <f>AM1</f>
        <v>Weights</v>
      </c>
      <c r="AN152" s="149" t="str">
        <f>AN1</f>
        <v>SPED</v>
      </c>
      <c r="AO152" s="149" t="str">
        <f>AO1</f>
        <v>NSLP</v>
      </c>
      <c r="AP152" s="149" t="str">
        <f>AP1</f>
        <v>System Wide</v>
      </c>
      <c r="AR152" s="149" t="str">
        <f>AR1</f>
        <v>Operating</v>
      </c>
      <c r="AS152" s="149" t="str">
        <f>AS1</f>
        <v>Weights</v>
      </c>
      <c r="AT152" s="149" t="str">
        <f>AT1</f>
        <v>SPED</v>
      </c>
      <c r="AU152" s="149" t="str">
        <f>AU1</f>
        <v>NSLP</v>
      </c>
      <c r="AV152" s="149" t="str">
        <f>AV1</f>
        <v>Virtual</v>
      </c>
      <c r="AX152" s="149" t="str">
        <f>AX1</f>
        <v>Operating</v>
      </c>
      <c r="AY152" s="149" t="str">
        <f>AY1</f>
        <v>Weights</v>
      </c>
      <c r="AZ152" s="149" t="str">
        <f>AZ1</f>
        <v>SPED</v>
      </c>
      <c r="BA152" s="149" t="str">
        <f>BA1</f>
        <v>NSLP</v>
      </c>
      <c r="BB152" s="149" t="str">
        <f>BB1</f>
        <v>Pinecrest System</v>
      </c>
    </row>
    <row r="153" spans="1:54" x14ac:dyDescent="0.25">
      <c r="A153" s="62" t="s">
        <v>125</v>
      </c>
      <c r="B153" s="80">
        <v>0</v>
      </c>
      <c r="C153" s="15">
        <f>'FY25'!C153*1.03</f>
        <v>9288.1795000000002</v>
      </c>
      <c r="D153" s="80"/>
      <c r="E153" s="80"/>
      <c r="F153" s="80">
        <f>SUM(B153:E153)</f>
        <v>9288.1795000000002</v>
      </c>
      <c r="H153" s="80">
        <v>0</v>
      </c>
      <c r="I153" s="15">
        <f>'FY25'!I153*1.03</f>
        <v>19669.086000000003</v>
      </c>
      <c r="J153" s="80"/>
      <c r="K153" s="80"/>
      <c r="L153" s="80">
        <f>SUM(H153:K153)</f>
        <v>19669.086000000003</v>
      </c>
      <c r="N153" s="80">
        <v>0</v>
      </c>
      <c r="O153" s="15">
        <f>'FY25'!O153*1.03</f>
        <v>13112.724000000002</v>
      </c>
      <c r="P153" s="80"/>
      <c r="Q153" s="80"/>
      <c r="R153" s="80">
        <f>SUM(N153:Q153)</f>
        <v>13112.724000000002</v>
      </c>
      <c r="T153" s="80">
        <v>0</v>
      </c>
      <c r="U153" s="15">
        <f>'FY25'!U153*1.03</f>
        <v>13112.724000000002</v>
      </c>
      <c r="V153" s="80"/>
      <c r="W153" s="80"/>
      <c r="X153" s="80">
        <f>SUM(T153:W153)</f>
        <v>13112.724000000002</v>
      </c>
      <c r="Z153" s="80">
        <v>0</v>
      </c>
      <c r="AA153" s="15">
        <f>'FY25'!AA153*1.03</f>
        <v>19669.086000000003</v>
      </c>
      <c r="AB153" s="80"/>
      <c r="AC153" s="80"/>
      <c r="AD153" s="80">
        <f>SUM(Z153:AC153)</f>
        <v>19669.086000000003</v>
      </c>
      <c r="AF153" s="80">
        <v>0</v>
      </c>
      <c r="AG153" s="15">
        <f>'FY25'!AG153*1.03</f>
        <v>12360</v>
      </c>
      <c r="AH153" s="80"/>
      <c r="AI153" s="80"/>
      <c r="AJ153" s="80">
        <f>SUM(AF153:AI153)</f>
        <v>12360</v>
      </c>
      <c r="AL153" s="80">
        <v>0</v>
      </c>
      <c r="AM153" s="80">
        <v>0</v>
      </c>
      <c r="AN153" s="80"/>
      <c r="AO153" s="80"/>
      <c r="AP153" s="80">
        <f>SUM(AL153:AO153)</f>
        <v>0</v>
      </c>
      <c r="AR153" s="80">
        <v>0</v>
      </c>
      <c r="AS153" s="80">
        <f>7500*1.06*1.03</f>
        <v>8188.5</v>
      </c>
      <c r="AT153" s="80"/>
      <c r="AU153" s="80"/>
      <c r="AV153" s="80">
        <f>SUM(AR153:AU153)</f>
        <v>8188.5</v>
      </c>
      <c r="AX153" s="7">
        <f>B153+H153+N153+T153+Z153+AF153+AL153+AR153</f>
        <v>0</v>
      </c>
      <c r="AY153" s="7">
        <f t="shared" ref="AY153:BA166" si="407">C153+I153+O153+U153+AA153+AG153+AM153+AS153</f>
        <v>95400.299500000008</v>
      </c>
      <c r="AZ153" s="7">
        <f t="shared" si="407"/>
        <v>0</v>
      </c>
      <c r="BA153" s="7">
        <f t="shared" si="407"/>
        <v>0</v>
      </c>
      <c r="BB153" s="80">
        <f>SUM(AX153:BA153)</f>
        <v>95400.299500000008</v>
      </c>
    </row>
    <row r="154" spans="1:54" x14ac:dyDescent="0.25">
      <c r="A154" s="62" t="s">
        <v>126</v>
      </c>
      <c r="B154" s="14">
        <v>0</v>
      </c>
      <c r="C154" s="142"/>
      <c r="D154" s="14">
        <f>315*B19</f>
        <v>294840</v>
      </c>
      <c r="E154" s="142"/>
      <c r="F154" s="80">
        <f t="shared" ref="F154" si="408">SUM(B154:E154)</f>
        <v>294840</v>
      </c>
      <c r="H154" s="14">
        <v>0</v>
      </c>
      <c r="I154" s="142"/>
      <c r="J154" s="14">
        <f>170*H19</f>
        <v>415480</v>
      </c>
      <c r="K154" s="142"/>
      <c r="L154" s="80">
        <f t="shared" ref="L154" si="409">SUM(H154:K154)</f>
        <v>415480</v>
      </c>
      <c r="N154" s="14">
        <v>0</v>
      </c>
      <c r="O154" s="142"/>
      <c r="P154" s="14">
        <f>165*N19</f>
        <v>167640</v>
      </c>
      <c r="Q154" s="142"/>
      <c r="R154" s="80">
        <f t="shared" ref="R154" si="410">SUM(N154:Q154)</f>
        <v>167640</v>
      </c>
      <c r="T154" s="14">
        <v>0</v>
      </c>
      <c r="U154" s="142"/>
      <c r="V154" s="14">
        <f>130*T19</f>
        <v>157950</v>
      </c>
      <c r="W154" s="142"/>
      <c r="X154" s="80">
        <f t="shared" ref="X154" si="411">SUM(T154:W154)</f>
        <v>157950</v>
      </c>
      <c r="Z154" s="14">
        <v>0</v>
      </c>
      <c r="AA154" s="142"/>
      <c r="AB154" s="14">
        <f>110*Z19</f>
        <v>267850</v>
      </c>
      <c r="AC154" s="142"/>
      <c r="AD154" s="80">
        <f t="shared" ref="AD154" si="412">SUM(Z154:AC154)</f>
        <v>267850</v>
      </c>
      <c r="AF154" s="14">
        <v>0</v>
      </c>
      <c r="AG154" s="142"/>
      <c r="AH154" s="360">
        <f>230*AF19</f>
        <v>220800</v>
      </c>
      <c r="AI154" s="142"/>
      <c r="AJ154" s="80">
        <f t="shared" ref="AJ154:AJ165" si="413">SUM(AF154:AI154)</f>
        <v>220800</v>
      </c>
      <c r="AL154" s="14">
        <v>0</v>
      </c>
      <c r="AM154" s="142"/>
      <c r="AN154" s="14">
        <f>105*AL19</f>
        <v>0</v>
      </c>
      <c r="AO154" s="142"/>
      <c r="AP154" s="80">
        <f t="shared" ref="AP154:AP165" si="414">SUM(AL154:AO154)</f>
        <v>0</v>
      </c>
      <c r="AR154" s="14">
        <v>0</v>
      </c>
      <c r="AS154" s="142"/>
      <c r="AT154" s="14">
        <f>260*AR19</f>
        <v>83200</v>
      </c>
      <c r="AU154" s="142"/>
      <c r="AV154" s="80">
        <f t="shared" ref="AV154:AV165" si="415">SUM(AR154:AU154)</f>
        <v>83200</v>
      </c>
      <c r="AX154" s="7">
        <f t="shared" ref="AX154:AX165" si="416">B154+H154+N154+T154+Z154+AF154+AL154+AR154</f>
        <v>0</v>
      </c>
      <c r="AY154" s="7">
        <f t="shared" si="407"/>
        <v>0</v>
      </c>
      <c r="AZ154" s="7">
        <f t="shared" si="407"/>
        <v>1607760</v>
      </c>
      <c r="BA154" s="7">
        <f t="shared" si="407"/>
        <v>0</v>
      </c>
      <c r="BB154" s="80">
        <f t="shared" ref="BB154:BB165" si="417">SUM(AX154:BA154)</f>
        <v>1607760</v>
      </c>
    </row>
    <row r="155" spans="1:54" x14ac:dyDescent="0.25">
      <c r="A155" s="62" t="s">
        <v>253</v>
      </c>
      <c r="B155" s="11">
        <v>0</v>
      </c>
      <c r="C155" s="142"/>
      <c r="D155" s="14"/>
      <c r="E155" s="142"/>
      <c r="F155" s="80">
        <f t="shared" ref="F155:F165" si="418">SUM(B155:E155)</f>
        <v>0</v>
      </c>
      <c r="H155" s="11">
        <v>0</v>
      </c>
      <c r="I155" s="142"/>
      <c r="J155" s="14"/>
      <c r="K155" s="142"/>
      <c r="L155" s="80">
        <f t="shared" ref="L155:L165" si="419">SUM(H155:K155)</f>
        <v>0</v>
      </c>
      <c r="N155" s="11">
        <v>0</v>
      </c>
      <c r="O155" s="142"/>
      <c r="P155" s="14"/>
      <c r="Q155" s="142"/>
      <c r="R155" s="80">
        <f t="shared" ref="R155:R165" si="420">SUM(N155:Q155)</f>
        <v>0</v>
      </c>
      <c r="T155" s="11">
        <v>0</v>
      </c>
      <c r="U155" s="142"/>
      <c r="V155" s="14"/>
      <c r="W155" s="142"/>
      <c r="X155" s="80">
        <f t="shared" ref="X155:X165" si="421">SUM(T155:W155)</f>
        <v>0</v>
      </c>
      <c r="Z155" s="11">
        <v>0</v>
      </c>
      <c r="AA155" s="142"/>
      <c r="AB155" s="14"/>
      <c r="AC155" s="142"/>
      <c r="AD155" s="80">
        <f t="shared" ref="AD155:AD165" si="422">SUM(Z155:AC155)</f>
        <v>0</v>
      </c>
      <c r="AF155" s="11">
        <v>0</v>
      </c>
      <c r="AG155" s="142"/>
      <c r="AH155" s="14"/>
      <c r="AI155" s="142"/>
      <c r="AJ155" s="80">
        <f t="shared" si="413"/>
        <v>0</v>
      </c>
      <c r="AL155" s="11">
        <v>0</v>
      </c>
      <c r="AM155" s="142"/>
      <c r="AN155" s="14"/>
      <c r="AO155" s="142"/>
      <c r="AP155" s="80">
        <f t="shared" si="414"/>
        <v>0</v>
      </c>
      <c r="AR155" s="11">
        <f>(115*10)*AR19</f>
        <v>368000</v>
      </c>
      <c r="AS155" s="142"/>
      <c r="AT155" s="14"/>
      <c r="AU155" s="142"/>
      <c r="AV155" s="80">
        <f t="shared" si="415"/>
        <v>368000</v>
      </c>
      <c r="AX155" s="7">
        <f t="shared" si="416"/>
        <v>368000</v>
      </c>
      <c r="AY155" s="7">
        <f t="shared" si="407"/>
        <v>0</v>
      </c>
      <c r="AZ155" s="7">
        <f t="shared" si="407"/>
        <v>0</v>
      </c>
      <c r="BA155" s="7">
        <f t="shared" si="407"/>
        <v>0</v>
      </c>
      <c r="BB155" s="80">
        <f t="shared" si="417"/>
        <v>368000</v>
      </c>
    </row>
    <row r="156" spans="1:54" x14ac:dyDescent="0.25">
      <c r="A156" s="62" t="s">
        <v>254</v>
      </c>
      <c r="B156" s="11">
        <v>0</v>
      </c>
      <c r="C156" s="142"/>
      <c r="D156" s="14"/>
      <c r="E156" s="142"/>
      <c r="F156" s="80">
        <f t="shared" si="418"/>
        <v>0</v>
      </c>
      <c r="H156" s="11">
        <v>0</v>
      </c>
      <c r="I156" s="142"/>
      <c r="J156" s="14"/>
      <c r="K156" s="142"/>
      <c r="L156" s="80">
        <f t="shared" si="419"/>
        <v>0</v>
      </c>
      <c r="N156" s="11">
        <v>0</v>
      </c>
      <c r="O156" s="142"/>
      <c r="P156" s="14"/>
      <c r="Q156" s="142"/>
      <c r="R156" s="80">
        <f t="shared" si="420"/>
        <v>0</v>
      </c>
      <c r="T156" s="11">
        <v>0</v>
      </c>
      <c r="U156" s="142"/>
      <c r="V156" s="14"/>
      <c r="W156" s="142"/>
      <c r="X156" s="80">
        <f t="shared" si="421"/>
        <v>0</v>
      </c>
      <c r="Z156" s="11">
        <v>0</v>
      </c>
      <c r="AA156" s="142"/>
      <c r="AB156" s="14"/>
      <c r="AC156" s="142"/>
      <c r="AD156" s="80">
        <f t="shared" si="422"/>
        <v>0</v>
      </c>
      <c r="AF156" s="11">
        <v>0</v>
      </c>
      <c r="AG156" s="142"/>
      <c r="AH156" s="14"/>
      <c r="AI156" s="142"/>
      <c r="AJ156" s="80">
        <f t="shared" si="413"/>
        <v>0</v>
      </c>
      <c r="AL156" s="11">
        <v>0</v>
      </c>
      <c r="AM156" s="142"/>
      <c r="AN156" s="14"/>
      <c r="AO156" s="142"/>
      <c r="AP156" s="80">
        <f t="shared" si="414"/>
        <v>0</v>
      </c>
      <c r="AR156" s="11">
        <f>(1500*AR19)</f>
        <v>480000</v>
      </c>
      <c r="AS156" s="142"/>
      <c r="AT156" s="14"/>
      <c r="AU156" s="142"/>
      <c r="AV156" s="80">
        <f t="shared" si="415"/>
        <v>480000</v>
      </c>
      <c r="AX156" s="7">
        <f t="shared" si="416"/>
        <v>480000</v>
      </c>
      <c r="AY156" s="7">
        <f t="shared" si="407"/>
        <v>0</v>
      </c>
      <c r="AZ156" s="7">
        <f t="shared" si="407"/>
        <v>0</v>
      </c>
      <c r="BA156" s="7">
        <f t="shared" si="407"/>
        <v>0</v>
      </c>
      <c r="BB156" s="80">
        <f t="shared" si="417"/>
        <v>480000</v>
      </c>
    </row>
    <row r="157" spans="1:54" x14ac:dyDescent="0.25">
      <c r="A157" s="62" t="s">
        <v>128</v>
      </c>
      <c r="B157" s="7">
        <f>(450*B19)</f>
        <v>421200</v>
      </c>
      <c r="C157" s="7"/>
      <c r="D157" s="7"/>
      <c r="E157" s="7"/>
      <c r="F157" s="80">
        <f t="shared" si="418"/>
        <v>421200</v>
      </c>
      <c r="H157" s="7">
        <f>(450*H19)</f>
        <v>1099800</v>
      </c>
      <c r="I157" s="7"/>
      <c r="J157" s="7"/>
      <c r="K157" s="7"/>
      <c r="L157" s="80">
        <f t="shared" si="419"/>
        <v>1099800</v>
      </c>
      <c r="N157" s="7">
        <f>(450*N19)</f>
        <v>457200</v>
      </c>
      <c r="O157" s="7"/>
      <c r="P157" s="7"/>
      <c r="Q157" s="7"/>
      <c r="R157" s="80">
        <f t="shared" si="420"/>
        <v>457200</v>
      </c>
      <c r="T157" s="7">
        <f>(450*T19)</f>
        <v>546750</v>
      </c>
      <c r="U157" s="7"/>
      <c r="V157" s="7"/>
      <c r="W157" s="7"/>
      <c r="X157" s="80">
        <f t="shared" si="421"/>
        <v>546750</v>
      </c>
      <c r="Z157" s="7">
        <f>(450*Z19)</f>
        <v>1095750</v>
      </c>
      <c r="AA157" s="7"/>
      <c r="AB157" s="7"/>
      <c r="AC157" s="7"/>
      <c r="AD157" s="80">
        <f t="shared" si="422"/>
        <v>1095750</v>
      </c>
      <c r="AF157" s="7">
        <f>(450*AF19)</f>
        <v>432000</v>
      </c>
      <c r="AG157" s="7"/>
      <c r="AH157" s="7"/>
      <c r="AI157" s="7"/>
      <c r="AJ157" s="80">
        <f t="shared" si="413"/>
        <v>432000</v>
      </c>
      <c r="AL157" s="7">
        <f>(450*AL19)</f>
        <v>0</v>
      </c>
      <c r="AM157" s="7"/>
      <c r="AN157" s="7"/>
      <c r="AO157" s="7"/>
      <c r="AP157" s="80">
        <f t="shared" si="414"/>
        <v>0</v>
      </c>
      <c r="AR157" s="7">
        <f>(450*AR19)</f>
        <v>144000</v>
      </c>
      <c r="AS157" s="7"/>
      <c r="AT157" s="7"/>
      <c r="AU157" s="7"/>
      <c r="AV157" s="80">
        <f t="shared" si="415"/>
        <v>144000</v>
      </c>
      <c r="AX157" s="7">
        <f t="shared" si="416"/>
        <v>4196700</v>
      </c>
      <c r="AY157" s="7">
        <f t="shared" si="407"/>
        <v>0</v>
      </c>
      <c r="AZ157" s="7">
        <f t="shared" si="407"/>
        <v>0</v>
      </c>
      <c r="BA157" s="7">
        <f t="shared" si="407"/>
        <v>0</v>
      </c>
      <c r="BB157" s="80">
        <f t="shared" si="417"/>
        <v>4196700</v>
      </c>
    </row>
    <row r="158" spans="1:54" x14ac:dyDescent="0.25">
      <c r="A158" s="62" t="s">
        <v>129</v>
      </c>
      <c r="B158" s="7">
        <f>(240*B66)+2000</f>
        <v>14120</v>
      </c>
      <c r="C158" s="7">
        <f>(240*C66)</f>
        <v>720</v>
      </c>
      <c r="D158" s="7">
        <f>(240*D66)</f>
        <v>2160</v>
      </c>
      <c r="E158" s="7">
        <f>(240*E66)</f>
        <v>240</v>
      </c>
      <c r="F158" s="80">
        <f t="shared" si="418"/>
        <v>17240</v>
      </c>
      <c r="H158" s="7">
        <f>(240*H66)+2000</f>
        <v>31520</v>
      </c>
      <c r="I158" s="7">
        <f>(240*I66)</f>
        <v>2400</v>
      </c>
      <c r="J158" s="7">
        <f>(240*J66)</f>
        <v>6960</v>
      </c>
      <c r="K158" s="7">
        <f>(240*K66)</f>
        <v>720</v>
      </c>
      <c r="L158" s="80">
        <f t="shared" si="419"/>
        <v>41600</v>
      </c>
      <c r="N158" s="7">
        <f>(240*N66)+2000</f>
        <v>14960</v>
      </c>
      <c r="O158" s="7">
        <f>(240*O66)</f>
        <v>1200</v>
      </c>
      <c r="P158" s="7">
        <f>(240*P66)</f>
        <v>1999.2</v>
      </c>
      <c r="Q158" s="7">
        <f>(240*Q66)</f>
        <v>240</v>
      </c>
      <c r="R158" s="80">
        <f t="shared" si="420"/>
        <v>18399.2</v>
      </c>
      <c r="T158" s="7">
        <f>(240*T66)+2000</f>
        <v>17960</v>
      </c>
      <c r="U158" s="7">
        <f>(240*U66)</f>
        <v>840</v>
      </c>
      <c r="V158" s="7">
        <f>(240*V66)</f>
        <v>3201.6</v>
      </c>
      <c r="W158" s="7">
        <f>(240*W66)</f>
        <v>240</v>
      </c>
      <c r="X158" s="80">
        <f t="shared" si="421"/>
        <v>22241.599999999999</v>
      </c>
      <c r="Z158" s="7">
        <f>(240*Z66)+2000</f>
        <v>30080</v>
      </c>
      <c r="AA158" s="7">
        <f>(240*AA66)</f>
        <v>1320</v>
      </c>
      <c r="AB158" s="7">
        <f>(240*AB66)</f>
        <v>5479.2</v>
      </c>
      <c r="AC158" s="7">
        <f>(240*AC66)</f>
        <v>480</v>
      </c>
      <c r="AD158" s="80">
        <f t="shared" si="422"/>
        <v>37359.199999999997</v>
      </c>
      <c r="AF158" s="7">
        <f>(240*AF66)+2000</f>
        <v>14000</v>
      </c>
      <c r="AG158" s="7">
        <f>(240*AG66)</f>
        <v>720</v>
      </c>
      <c r="AH158" s="7">
        <f>(240*AH66)</f>
        <v>2160</v>
      </c>
      <c r="AI158" s="7">
        <f>(240*AI66)</f>
        <v>240</v>
      </c>
      <c r="AJ158" s="80">
        <f t="shared" si="413"/>
        <v>17120</v>
      </c>
      <c r="AL158" s="7">
        <f>(240*AL66)+2000</f>
        <v>2720</v>
      </c>
      <c r="AM158" s="7">
        <f>(240*AM66)</f>
        <v>120</v>
      </c>
      <c r="AN158" s="7">
        <f>(240*AN66)</f>
        <v>0</v>
      </c>
      <c r="AO158" s="7">
        <f>(240*AO66)</f>
        <v>0</v>
      </c>
      <c r="AP158" s="80">
        <f t="shared" si="414"/>
        <v>2840</v>
      </c>
      <c r="AR158" s="7">
        <f>(240*AR66)+2000</f>
        <v>2240</v>
      </c>
      <c r="AS158" s="7">
        <f>(240*AS66)</f>
        <v>0</v>
      </c>
      <c r="AT158" s="7">
        <f>(240*AT66)</f>
        <v>480</v>
      </c>
      <c r="AU158" s="7">
        <f>(240*AU66)</f>
        <v>0</v>
      </c>
      <c r="AV158" s="80">
        <f t="shared" si="415"/>
        <v>2720</v>
      </c>
      <c r="AX158" s="7">
        <f t="shared" si="416"/>
        <v>127600</v>
      </c>
      <c r="AY158" s="7">
        <f t="shared" si="407"/>
        <v>7320</v>
      </c>
      <c r="AZ158" s="7">
        <f t="shared" si="407"/>
        <v>22440</v>
      </c>
      <c r="BA158" s="7">
        <f t="shared" si="407"/>
        <v>2160</v>
      </c>
      <c r="BB158" s="80">
        <f t="shared" si="417"/>
        <v>159520</v>
      </c>
    </row>
    <row r="159" spans="1:54" s="212" customFormat="1" x14ac:dyDescent="0.25">
      <c r="A159" s="62" t="s">
        <v>130</v>
      </c>
      <c r="B159" s="15">
        <f>'FY25'!B159*1.03</f>
        <v>12566.360500000001</v>
      </c>
      <c r="C159" s="15"/>
      <c r="D159" s="15"/>
      <c r="E159" s="15"/>
      <c r="F159" s="80">
        <f t="shared" si="418"/>
        <v>12566.360500000001</v>
      </c>
      <c r="G159" s="211"/>
      <c r="H159" s="15">
        <f>'FY25'!H159*1.03</f>
        <v>12566.360500000001</v>
      </c>
      <c r="I159" s="15"/>
      <c r="J159" s="15"/>
      <c r="K159" s="15"/>
      <c r="L159" s="80">
        <f t="shared" si="419"/>
        <v>12566.360500000001</v>
      </c>
      <c r="M159" s="211"/>
      <c r="N159" s="15">
        <f>'FY25'!N159*1.03</f>
        <v>12566.360500000001</v>
      </c>
      <c r="O159" s="15"/>
      <c r="P159" s="15"/>
      <c r="Q159" s="15"/>
      <c r="R159" s="80">
        <f t="shared" si="420"/>
        <v>12566.360500000001</v>
      </c>
      <c r="S159" s="211"/>
      <c r="T159" s="15">
        <f>'FY25'!T159*1.03</f>
        <v>12566.360500000001</v>
      </c>
      <c r="U159" s="15"/>
      <c r="V159" s="15"/>
      <c r="W159" s="15"/>
      <c r="X159" s="80">
        <f t="shared" si="421"/>
        <v>12566.360500000001</v>
      </c>
      <c r="Y159" s="211"/>
      <c r="Z159" s="15">
        <f>'FY25'!Z159*1.03</f>
        <v>12566.360500000001</v>
      </c>
      <c r="AA159" s="15"/>
      <c r="AB159" s="15"/>
      <c r="AC159" s="15"/>
      <c r="AD159" s="80">
        <f t="shared" si="422"/>
        <v>12566.360500000001</v>
      </c>
      <c r="AE159" s="211"/>
      <c r="AF159" s="15">
        <f>'FY25'!AF159*1.03</f>
        <v>12566</v>
      </c>
      <c r="AG159" s="15"/>
      <c r="AH159" s="15"/>
      <c r="AI159" s="15"/>
      <c r="AJ159" s="80">
        <f t="shared" si="413"/>
        <v>12566</v>
      </c>
      <c r="AK159" s="211"/>
      <c r="AL159" s="15">
        <v>0</v>
      </c>
      <c r="AM159" s="15"/>
      <c r="AN159" s="15"/>
      <c r="AO159" s="15"/>
      <c r="AP159" s="80">
        <f t="shared" si="414"/>
        <v>0</v>
      </c>
      <c r="AQ159" s="211"/>
      <c r="AR159" s="7">
        <f>12500*1.09</f>
        <v>13625.000000000002</v>
      </c>
      <c r="AS159" s="7"/>
      <c r="AT159" s="7"/>
      <c r="AU159" s="7"/>
      <c r="AV159" s="80">
        <f t="shared" si="415"/>
        <v>13625.000000000002</v>
      </c>
      <c r="AX159" s="7">
        <f t="shared" si="416"/>
        <v>89022.802500000005</v>
      </c>
      <c r="AY159" s="7">
        <f t="shared" si="407"/>
        <v>0</v>
      </c>
      <c r="AZ159" s="7">
        <f t="shared" si="407"/>
        <v>0</v>
      </c>
      <c r="BA159" s="7">
        <f t="shared" si="407"/>
        <v>0</v>
      </c>
      <c r="BB159" s="80">
        <f t="shared" si="417"/>
        <v>89022.802500000005</v>
      </c>
    </row>
    <row r="160" spans="1:54" x14ac:dyDescent="0.25">
      <c r="A160" s="62" t="s">
        <v>131</v>
      </c>
      <c r="B160" s="7">
        <v>6000</v>
      </c>
      <c r="C160" s="7"/>
      <c r="D160" s="7"/>
      <c r="E160" s="7"/>
      <c r="F160" s="80">
        <f t="shared" si="418"/>
        <v>6000</v>
      </c>
      <c r="H160" s="7">
        <v>6000</v>
      </c>
      <c r="I160" s="7"/>
      <c r="J160" s="7"/>
      <c r="K160" s="7"/>
      <c r="L160" s="80">
        <f t="shared" si="419"/>
        <v>6000</v>
      </c>
      <c r="N160" s="7">
        <v>6000</v>
      </c>
      <c r="O160" s="7"/>
      <c r="P160" s="7"/>
      <c r="Q160" s="7"/>
      <c r="R160" s="80">
        <f t="shared" si="420"/>
        <v>6000</v>
      </c>
      <c r="T160" s="7">
        <v>6000</v>
      </c>
      <c r="U160" s="7"/>
      <c r="V160" s="7"/>
      <c r="W160" s="7"/>
      <c r="X160" s="80">
        <f t="shared" si="421"/>
        <v>6000</v>
      </c>
      <c r="Z160" s="7">
        <v>6000</v>
      </c>
      <c r="AA160" s="7"/>
      <c r="AB160" s="7"/>
      <c r="AC160" s="7"/>
      <c r="AD160" s="80">
        <f t="shared" si="422"/>
        <v>6000</v>
      </c>
      <c r="AF160" s="7">
        <v>6000</v>
      </c>
      <c r="AG160" s="7"/>
      <c r="AH160" s="7"/>
      <c r="AI160" s="7"/>
      <c r="AJ160" s="80">
        <f t="shared" si="413"/>
        <v>6000</v>
      </c>
      <c r="AL160" s="7">
        <v>0</v>
      </c>
      <c r="AM160" s="7"/>
      <c r="AN160" s="7"/>
      <c r="AO160" s="7"/>
      <c r="AP160" s="80">
        <f t="shared" si="414"/>
        <v>0</v>
      </c>
      <c r="AR160" s="7">
        <v>1500</v>
      </c>
      <c r="AS160" s="7"/>
      <c r="AT160" s="7"/>
      <c r="AU160" s="7"/>
      <c r="AV160" s="80">
        <f t="shared" si="415"/>
        <v>1500</v>
      </c>
      <c r="AX160" s="7">
        <f t="shared" si="416"/>
        <v>37500</v>
      </c>
      <c r="AY160" s="7">
        <f t="shared" si="407"/>
        <v>0</v>
      </c>
      <c r="AZ160" s="7">
        <f t="shared" si="407"/>
        <v>0</v>
      </c>
      <c r="BA160" s="7">
        <f t="shared" si="407"/>
        <v>0</v>
      </c>
      <c r="BB160" s="80">
        <f t="shared" si="417"/>
        <v>37500</v>
      </c>
    </row>
    <row r="161" spans="1:54" x14ac:dyDescent="0.25">
      <c r="A161" s="62" t="s">
        <v>132</v>
      </c>
      <c r="B161" s="7">
        <f>45*B19</f>
        <v>42120</v>
      </c>
      <c r="C161" s="7"/>
      <c r="D161" s="7"/>
      <c r="E161" s="7"/>
      <c r="F161" s="80">
        <f t="shared" si="418"/>
        <v>42120</v>
      </c>
      <c r="H161" s="7">
        <f>45*H19</f>
        <v>109980</v>
      </c>
      <c r="I161" s="7"/>
      <c r="J161" s="7"/>
      <c r="K161" s="7"/>
      <c r="L161" s="80">
        <f t="shared" si="419"/>
        <v>109980</v>
      </c>
      <c r="N161" s="7">
        <f>45*N19</f>
        <v>45720</v>
      </c>
      <c r="O161" s="7"/>
      <c r="P161" s="7"/>
      <c r="Q161" s="7"/>
      <c r="R161" s="80">
        <f t="shared" si="420"/>
        <v>45720</v>
      </c>
      <c r="T161" s="7">
        <f>45*T19</f>
        <v>54675</v>
      </c>
      <c r="U161" s="7"/>
      <c r="V161" s="7"/>
      <c r="W161" s="7"/>
      <c r="X161" s="80">
        <f t="shared" si="421"/>
        <v>54675</v>
      </c>
      <c r="Z161" s="7">
        <f>45*Z19</f>
        <v>109575</v>
      </c>
      <c r="AA161" s="7"/>
      <c r="AB161" s="7"/>
      <c r="AC161" s="7"/>
      <c r="AD161" s="80">
        <f t="shared" si="422"/>
        <v>109575</v>
      </c>
      <c r="AF161" s="7">
        <f>45*AF19</f>
        <v>43200</v>
      </c>
      <c r="AG161" s="7"/>
      <c r="AH161" s="7"/>
      <c r="AI161" s="7"/>
      <c r="AJ161" s="80">
        <f t="shared" si="413"/>
        <v>43200</v>
      </c>
      <c r="AL161" s="7">
        <f>42*AL19</f>
        <v>0</v>
      </c>
      <c r="AM161" s="7"/>
      <c r="AN161" s="7"/>
      <c r="AO161" s="7"/>
      <c r="AP161" s="80">
        <f t="shared" si="414"/>
        <v>0</v>
      </c>
      <c r="AR161" s="7">
        <f>42*AR19</f>
        <v>13440</v>
      </c>
      <c r="AS161" s="7"/>
      <c r="AT161" s="7"/>
      <c r="AU161" s="7"/>
      <c r="AV161" s="80">
        <f t="shared" si="415"/>
        <v>13440</v>
      </c>
      <c r="AX161" s="7">
        <f t="shared" si="416"/>
        <v>418710</v>
      </c>
      <c r="AY161" s="7">
        <f t="shared" si="407"/>
        <v>0</v>
      </c>
      <c r="AZ161" s="7">
        <f t="shared" si="407"/>
        <v>0</v>
      </c>
      <c r="BA161" s="7">
        <f t="shared" si="407"/>
        <v>0</v>
      </c>
      <c r="BB161" s="80">
        <f t="shared" si="417"/>
        <v>418710</v>
      </c>
    </row>
    <row r="162" spans="1:54" x14ac:dyDescent="0.25">
      <c r="A162" s="62" t="s">
        <v>133</v>
      </c>
      <c r="B162" s="7">
        <v>5000</v>
      </c>
      <c r="C162" s="7"/>
      <c r="D162" s="7"/>
      <c r="E162" s="7"/>
      <c r="F162" s="80">
        <f t="shared" si="418"/>
        <v>5000</v>
      </c>
      <c r="H162" s="7">
        <v>9000</v>
      </c>
      <c r="I162" s="7"/>
      <c r="J162" s="7"/>
      <c r="K162" s="7"/>
      <c r="L162" s="80">
        <f t="shared" si="419"/>
        <v>9000</v>
      </c>
      <c r="N162" s="7">
        <v>7500</v>
      </c>
      <c r="O162" s="7"/>
      <c r="P162" s="7"/>
      <c r="Q162" s="7"/>
      <c r="R162" s="80">
        <f t="shared" si="420"/>
        <v>7500</v>
      </c>
      <c r="T162" s="7">
        <v>7500</v>
      </c>
      <c r="U162" s="7"/>
      <c r="V162" s="7"/>
      <c r="W162" s="7"/>
      <c r="X162" s="80">
        <f t="shared" si="421"/>
        <v>7500</v>
      </c>
      <c r="Z162" s="7">
        <v>12500</v>
      </c>
      <c r="AA162" s="7"/>
      <c r="AB162" s="7"/>
      <c r="AC162" s="7"/>
      <c r="AD162" s="80">
        <f t="shared" si="422"/>
        <v>12500</v>
      </c>
      <c r="AF162" s="7">
        <v>12500</v>
      </c>
      <c r="AG162" s="7"/>
      <c r="AH162" s="7"/>
      <c r="AI162" s="7"/>
      <c r="AJ162" s="80">
        <f t="shared" si="413"/>
        <v>12500</v>
      </c>
      <c r="AL162" s="7">
        <v>0</v>
      </c>
      <c r="AM162" s="7"/>
      <c r="AN162" s="7"/>
      <c r="AO162" s="7"/>
      <c r="AP162" s="80">
        <f t="shared" si="414"/>
        <v>0</v>
      </c>
      <c r="AR162" s="7">
        <v>13000</v>
      </c>
      <c r="AS162" s="7"/>
      <c r="AT162" s="7"/>
      <c r="AU162" s="7"/>
      <c r="AV162" s="80">
        <f t="shared" si="415"/>
        <v>13000</v>
      </c>
      <c r="AX162" s="7">
        <f t="shared" si="416"/>
        <v>67000</v>
      </c>
      <c r="AY162" s="7">
        <f t="shared" si="407"/>
        <v>0</v>
      </c>
      <c r="AZ162" s="7">
        <f t="shared" si="407"/>
        <v>0</v>
      </c>
      <c r="BA162" s="7">
        <f t="shared" si="407"/>
        <v>0</v>
      </c>
      <c r="BB162" s="80">
        <f t="shared" si="417"/>
        <v>67000</v>
      </c>
    </row>
    <row r="163" spans="1:54" x14ac:dyDescent="0.25">
      <c r="A163" s="62" t="s">
        <v>134</v>
      </c>
      <c r="B163" s="7">
        <f>(B87+B88)*0.0125</f>
        <v>88699.344712535676</v>
      </c>
      <c r="C163" s="7"/>
      <c r="D163" s="7"/>
      <c r="E163" s="7"/>
      <c r="F163" s="80">
        <f t="shared" si="418"/>
        <v>88699.344712535676</v>
      </c>
      <c r="H163" s="7">
        <f>(H87+H88)*0.0125</f>
        <v>231603.84452717649</v>
      </c>
      <c r="I163" s="7"/>
      <c r="J163" s="7"/>
      <c r="K163" s="7"/>
      <c r="L163" s="80">
        <f t="shared" si="419"/>
        <v>231603.84452717649</v>
      </c>
      <c r="N163" s="7">
        <f>(N87+N88)*0.0125</f>
        <v>96280.485286256677</v>
      </c>
      <c r="O163" s="7"/>
      <c r="P163" s="7"/>
      <c r="Q163" s="7"/>
      <c r="R163" s="80">
        <f t="shared" si="420"/>
        <v>96280.485286256677</v>
      </c>
      <c r="T163" s="7">
        <f>(T87+T88)*0.0125</f>
        <v>115138.57246338765</v>
      </c>
      <c r="U163" s="7"/>
      <c r="V163" s="7"/>
      <c r="W163" s="7"/>
      <c r="X163" s="80">
        <f t="shared" si="421"/>
        <v>115138.57246338765</v>
      </c>
      <c r="Z163" s="7">
        <f>(Z87+Z88)*0.0125</f>
        <v>230750.96621263289</v>
      </c>
      <c r="AA163" s="7"/>
      <c r="AB163" s="7"/>
      <c r="AC163" s="7"/>
      <c r="AD163" s="80">
        <f t="shared" si="422"/>
        <v>230750.96621263289</v>
      </c>
      <c r="AF163" s="7">
        <f>(AF87+AF88)*0.0125</f>
        <v>90973.686884651979</v>
      </c>
      <c r="AG163" s="7"/>
      <c r="AH163" s="7"/>
      <c r="AI163" s="7"/>
      <c r="AJ163" s="80">
        <f t="shared" si="413"/>
        <v>90973.686884651979</v>
      </c>
      <c r="AL163" s="7">
        <f>(AL87+AL88)*0.0125</f>
        <v>0</v>
      </c>
      <c r="AM163" s="7"/>
      <c r="AN163" s="7"/>
      <c r="AO163" s="7"/>
      <c r="AP163" s="80">
        <f t="shared" si="414"/>
        <v>0</v>
      </c>
      <c r="AR163" s="7">
        <f>(AR87+AR88)*0.0125</f>
        <v>29616</v>
      </c>
      <c r="AS163" s="7"/>
      <c r="AT163" s="7"/>
      <c r="AU163" s="7"/>
      <c r="AV163" s="80">
        <f t="shared" si="415"/>
        <v>29616</v>
      </c>
      <c r="AX163" s="7">
        <f t="shared" si="416"/>
        <v>883062.90008664143</v>
      </c>
      <c r="AY163" s="7">
        <f t="shared" si="407"/>
        <v>0</v>
      </c>
      <c r="AZ163" s="7">
        <f t="shared" si="407"/>
        <v>0</v>
      </c>
      <c r="BA163" s="7">
        <f t="shared" si="407"/>
        <v>0</v>
      </c>
      <c r="BB163" s="80">
        <f t="shared" si="417"/>
        <v>883062.90008664143</v>
      </c>
    </row>
    <row r="164" spans="1:54" x14ac:dyDescent="0.25">
      <c r="A164" s="62" t="s">
        <v>135</v>
      </c>
      <c r="B164" s="7">
        <f>(B87+B88)*0.005</f>
        <v>35479.73788501427</v>
      </c>
      <c r="C164" s="7"/>
      <c r="D164" s="7"/>
      <c r="E164" s="7"/>
      <c r="F164" s="80">
        <f t="shared" si="418"/>
        <v>35479.73788501427</v>
      </c>
      <c r="H164" s="7">
        <f>(H87+H88)*0.005</f>
        <v>92641.537810870592</v>
      </c>
      <c r="I164" s="7"/>
      <c r="J164" s="7"/>
      <c r="K164" s="7"/>
      <c r="L164" s="80">
        <f t="shared" si="419"/>
        <v>92641.537810870592</v>
      </c>
      <c r="N164" s="7">
        <f>(N87+N88)*0.005</f>
        <v>38512.194114502672</v>
      </c>
      <c r="O164" s="7"/>
      <c r="P164" s="7"/>
      <c r="Q164" s="7"/>
      <c r="R164" s="80">
        <f t="shared" si="420"/>
        <v>38512.194114502672</v>
      </c>
      <c r="T164" s="7">
        <f>(T87+T88)*0.005</f>
        <v>46055.428985355058</v>
      </c>
      <c r="U164" s="7"/>
      <c r="V164" s="7"/>
      <c r="W164" s="7"/>
      <c r="X164" s="80">
        <f t="shared" si="421"/>
        <v>46055.428985355058</v>
      </c>
      <c r="Z164" s="7">
        <f>(Z87+Z88)*0.005</f>
        <v>92300.386485053154</v>
      </c>
      <c r="AA164" s="7"/>
      <c r="AB164" s="7"/>
      <c r="AC164" s="7"/>
      <c r="AD164" s="80">
        <f t="shared" si="422"/>
        <v>92300.386485053154</v>
      </c>
      <c r="AF164" s="7">
        <f>(AF87+AF88)*0.005</f>
        <v>36389.474753860792</v>
      </c>
      <c r="AG164" s="7"/>
      <c r="AH164" s="7"/>
      <c r="AI164" s="7"/>
      <c r="AJ164" s="80">
        <f t="shared" si="413"/>
        <v>36389.474753860792</v>
      </c>
      <c r="AL164" s="7">
        <f>(AL87+AL88)*0.005</f>
        <v>0</v>
      </c>
      <c r="AM164" s="7"/>
      <c r="AN164" s="7"/>
      <c r="AO164" s="7"/>
      <c r="AP164" s="80">
        <f t="shared" si="414"/>
        <v>0</v>
      </c>
      <c r="AR164" s="7">
        <f>(AR87+AR88)*0.005</f>
        <v>11846.4</v>
      </c>
      <c r="AS164" s="7"/>
      <c r="AT164" s="7"/>
      <c r="AU164" s="7"/>
      <c r="AV164" s="80">
        <f t="shared" si="415"/>
        <v>11846.4</v>
      </c>
      <c r="AX164" s="7">
        <f t="shared" si="416"/>
        <v>353225.16003465658</v>
      </c>
      <c r="AY164" s="7">
        <f t="shared" si="407"/>
        <v>0</v>
      </c>
      <c r="AZ164" s="7">
        <f t="shared" si="407"/>
        <v>0</v>
      </c>
      <c r="BA164" s="7">
        <f t="shared" si="407"/>
        <v>0</v>
      </c>
      <c r="BB164" s="80">
        <f t="shared" si="417"/>
        <v>353225.16003465658</v>
      </c>
    </row>
    <row r="165" spans="1:54" x14ac:dyDescent="0.25">
      <c r="A165" s="62" t="s">
        <v>136</v>
      </c>
      <c r="B165" s="7">
        <f>(B87+B88)*0.005</f>
        <v>35479.73788501427</v>
      </c>
      <c r="C165" s="7"/>
      <c r="D165" s="7"/>
      <c r="E165" s="7"/>
      <c r="F165" s="80">
        <f t="shared" si="418"/>
        <v>35479.73788501427</v>
      </c>
      <c r="H165" s="7">
        <f>(H87+H88)*0.005</f>
        <v>92641.537810870592</v>
      </c>
      <c r="I165" s="7"/>
      <c r="J165" s="7"/>
      <c r="K165" s="7"/>
      <c r="L165" s="80">
        <f t="shared" si="419"/>
        <v>92641.537810870592</v>
      </c>
      <c r="N165" s="7">
        <f>(N87+N88)*0.005</f>
        <v>38512.194114502672</v>
      </c>
      <c r="O165" s="7"/>
      <c r="P165" s="7"/>
      <c r="Q165" s="7"/>
      <c r="R165" s="80">
        <f t="shared" si="420"/>
        <v>38512.194114502672</v>
      </c>
      <c r="T165" s="7">
        <f>(T87+T88)*0.005</f>
        <v>46055.428985355058</v>
      </c>
      <c r="U165" s="7"/>
      <c r="V165" s="7"/>
      <c r="W165" s="7"/>
      <c r="X165" s="80">
        <f t="shared" si="421"/>
        <v>46055.428985355058</v>
      </c>
      <c r="Z165" s="7">
        <f>(Z87+Z88)*0.005</f>
        <v>92300.386485053154</v>
      </c>
      <c r="AA165" s="7"/>
      <c r="AB165" s="7"/>
      <c r="AC165" s="7"/>
      <c r="AD165" s="80">
        <f t="shared" si="422"/>
        <v>92300.386485053154</v>
      </c>
      <c r="AF165" s="7">
        <f>(AF87+AF88)*0.005</f>
        <v>36389.474753860792</v>
      </c>
      <c r="AG165" s="7"/>
      <c r="AH165" s="7"/>
      <c r="AI165" s="7"/>
      <c r="AJ165" s="80">
        <f t="shared" si="413"/>
        <v>36389.474753860792</v>
      </c>
      <c r="AL165" s="7">
        <f>(AL87+AL88)*0.005</f>
        <v>0</v>
      </c>
      <c r="AM165" s="7"/>
      <c r="AN165" s="7"/>
      <c r="AO165" s="7"/>
      <c r="AP165" s="80">
        <f t="shared" si="414"/>
        <v>0</v>
      </c>
      <c r="AR165" s="7">
        <f>(AR87+AR88)*0.005</f>
        <v>11846.4</v>
      </c>
      <c r="AS165" s="7"/>
      <c r="AT165" s="7"/>
      <c r="AU165" s="7"/>
      <c r="AV165" s="80">
        <f t="shared" si="415"/>
        <v>11846.4</v>
      </c>
      <c r="AX165" s="7">
        <f t="shared" si="416"/>
        <v>353225.16003465658</v>
      </c>
      <c r="AY165" s="7">
        <f t="shared" si="407"/>
        <v>0</v>
      </c>
      <c r="AZ165" s="7">
        <f t="shared" si="407"/>
        <v>0</v>
      </c>
      <c r="BA165" s="7">
        <f t="shared" si="407"/>
        <v>0</v>
      </c>
      <c r="BB165" s="80">
        <f t="shared" si="417"/>
        <v>353225.16003465658</v>
      </c>
    </row>
    <row r="166" spans="1:54" ht="15.75" thickBot="1" x14ac:dyDescent="0.3">
      <c r="A166" s="62" t="s">
        <v>137</v>
      </c>
      <c r="B166" s="81"/>
      <c r="C166" s="81"/>
      <c r="D166" s="81"/>
      <c r="E166" s="81"/>
      <c r="F166" s="81"/>
      <c r="H166" s="81"/>
      <c r="I166" s="81"/>
      <c r="J166" s="81"/>
      <c r="K166" s="81"/>
      <c r="L166" s="81"/>
      <c r="N166" s="81"/>
      <c r="O166" s="81"/>
      <c r="P166" s="81"/>
      <c r="Q166" s="81"/>
      <c r="R166" s="81"/>
      <c r="T166" s="81"/>
      <c r="U166" s="81"/>
      <c r="V166" s="81"/>
      <c r="W166" s="81"/>
      <c r="X166" s="81"/>
      <c r="Z166" s="81"/>
      <c r="AA166" s="81"/>
      <c r="AB166" s="81"/>
      <c r="AC166" s="81"/>
      <c r="AD166" s="81"/>
      <c r="AF166" s="81"/>
      <c r="AG166" s="81"/>
      <c r="AH166" s="81"/>
      <c r="AI166" s="81"/>
      <c r="AJ166" s="81"/>
      <c r="AL166" s="81"/>
      <c r="AM166" s="81"/>
      <c r="AN166" s="81"/>
      <c r="AO166" s="81"/>
      <c r="AP166" s="81"/>
      <c r="AR166" s="81"/>
      <c r="AS166" s="81"/>
      <c r="AT166" s="81"/>
      <c r="AU166" s="81"/>
      <c r="AV166" s="81"/>
      <c r="AX166" s="7">
        <f>B166+H166+N166+T166+Z166+AF166+AL166+AR166</f>
        <v>0</v>
      </c>
      <c r="AY166" s="7">
        <f t="shared" si="407"/>
        <v>0</v>
      </c>
      <c r="AZ166" s="7">
        <f t="shared" si="407"/>
        <v>0</v>
      </c>
      <c r="BA166" s="7">
        <f t="shared" si="407"/>
        <v>0</v>
      </c>
      <c r="BB166" s="81"/>
    </row>
    <row r="167" spans="1:54" ht="15.75" thickBot="1" x14ac:dyDescent="0.3">
      <c r="A167" s="95" t="s">
        <v>138</v>
      </c>
      <c r="B167" s="92">
        <f>SUM(B153:B166)</f>
        <v>660665.18098256423</v>
      </c>
      <c r="C167" s="92">
        <f>SUM(C153:C166)</f>
        <v>10008.1795</v>
      </c>
      <c r="D167" s="92">
        <f>SUM(D153:D166)</f>
        <v>297000</v>
      </c>
      <c r="E167" s="92">
        <f t="shared" ref="E167:F167" si="423">SUM(E153:E166)</f>
        <v>240</v>
      </c>
      <c r="F167" s="92">
        <f t="shared" si="423"/>
        <v>967913.3604825642</v>
      </c>
      <c r="H167" s="92">
        <f>SUM(H153:H166)</f>
        <v>1685753.2806489179</v>
      </c>
      <c r="I167" s="92">
        <f>SUM(I153:I166)</f>
        <v>22069.086000000003</v>
      </c>
      <c r="J167" s="92">
        <f>SUM(J153:J166)</f>
        <v>422440</v>
      </c>
      <c r="K167" s="92">
        <f t="shared" ref="K167:L167" si="424">SUM(K153:K166)</f>
        <v>720</v>
      </c>
      <c r="L167" s="92">
        <f t="shared" si="424"/>
        <v>2130982.366648918</v>
      </c>
      <c r="N167" s="92">
        <f>SUM(N153:N166)</f>
        <v>717251.23401526187</v>
      </c>
      <c r="O167" s="92">
        <f>SUM(O153:O166)</f>
        <v>14312.724000000002</v>
      </c>
      <c r="P167" s="92">
        <f>SUM(P153:P166)</f>
        <v>169639.2</v>
      </c>
      <c r="Q167" s="92">
        <f t="shared" ref="Q167:R167" si="425">SUM(Q153:Q166)</f>
        <v>240</v>
      </c>
      <c r="R167" s="92">
        <f t="shared" si="425"/>
        <v>901443.15801526175</v>
      </c>
      <c r="T167" s="92">
        <f>SUM(T153:T166)</f>
        <v>852700.79093409772</v>
      </c>
      <c r="U167" s="92">
        <f>SUM(U153:U166)</f>
        <v>13952.724000000002</v>
      </c>
      <c r="V167" s="92">
        <f>SUM(V153:V166)</f>
        <v>161151.6</v>
      </c>
      <c r="W167" s="92">
        <f t="shared" ref="W167:X167" si="426">SUM(W153:W166)</f>
        <v>240</v>
      </c>
      <c r="X167" s="92">
        <f t="shared" si="426"/>
        <v>1028045.1149340976</v>
      </c>
      <c r="Z167" s="92">
        <f>SUM(Z153:Z166)</f>
        <v>1681823.0996827392</v>
      </c>
      <c r="AA167" s="92">
        <f>SUM(AA153:AA166)</f>
        <v>20989.086000000003</v>
      </c>
      <c r="AB167" s="92">
        <f>SUM(AB153:AB166)</f>
        <v>273329.2</v>
      </c>
      <c r="AC167" s="92">
        <f t="shared" ref="AC167:AD167" si="427">SUM(AC153:AC166)</f>
        <v>480</v>
      </c>
      <c r="AD167" s="92">
        <f t="shared" si="427"/>
        <v>1976621.3856827393</v>
      </c>
      <c r="AF167" s="92">
        <f>SUM(AF153:AF166)</f>
        <v>684018.63639237359</v>
      </c>
      <c r="AG167" s="92">
        <f>SUM(AG153:AG166)</f>
        <v>13080</v>
      </c>
      <c r="AH167" s="92">
        <f>SUM(AH153:AH166)</f>
        <v>222960</v>
      </c>
      <c r="AI167" s="92">
        <f t="shared" ref="AI167:AJ167" si="428">SUM(AI153:AI166)</f>
        <v>240</v>
      </c>
      <c r="AJ167" s="92">
        <f t="shared" si="428"/>
        <v>920298.63639237359</v>
      </c>
      <c r="AL167" s="92">
        <f>SUM(AL153:AL166)</f>
        <v>2720</v>
      </c>
      <c r="AM167" s="92">
        <f>SUM(AM153:AM166)</f>
        <v>120</v>
      </c>
      <c r="AN167" s="92">
        <f>SUM(AN153:AN166)</f>
        <v>0</v>
      </c>
      <c r="AO167" s="92">
        <f t="shared" ref="AO167:AP167" si="429">SUM(AO153:AO166)</f>
        <v>0</v>
      </c>
      <c r="AP167" s="92">
        <f t="shared" si="429"/>
        <v>2840</v>
      </c>
      <c r="AR167" s="92">
        <f>SUM(AR153:AR166)</f>
        <v>1089113.7999999998</v>
      </c>
      <c r="AS167" s="92">
        <f>SUM(AS153:AS166)</f>
        <v>8188.5</v>
      </c>
      <c r="AT167" s="92">
        <f>SUM(AT153:AT166)</f>
        <v>83680</v>
      </c>
      <c r="AU167" s="92">
        <f t="shared" ref="AU167:AV167" si="430">SUM(AU153:AU166)</f>
        <v>0</v>
      </c>
      <c r="AV167" s="92">
        <f t="shared" si="430"/>
        <v>1180982.2999999998</v>
      </c>
      <c r="AX167" s="92">
        <f>SUM(AX153:AX166)</f>
        <v>7374046.0226559546</v>
      </c>
      <c r="AY167" s="92">
        <f>SUM(AY153:AY166)</f>
        <v>102720.29950000001</v>
      </c>
      <c r="AZ167" s="92">
        <f>SUM(AZ153:AZ166)</f>
        <v>1630200</v>
      </c>
      <c r="BA167" s="92">
        <f t="shared" ref="BA167:BB167" si="431">SUM(BA153:BA166)</f>
        <v>2160</v>
      </c>
      <c r="BB167" s="92">
        <f t="shared" si="431"/>
        <v>9109126.3221559543</v>
      </c>
    </row>
    <row r="168" spans="1:54" x14ac:dyDescent="0.25">
      <c r="A168" s="101" t="s">
        <v>139</v>
      </c>
      <c r="B168" s="149" t="str">
        <f>B152</f>
        <v>Operating</v>
      </c>
      <c r="C168" s="149" t="str">
        <f>C152</f>
        <v>Weights</v>
      </c>
      <c r="D168" s="149" t="str">
        <f>D152</f>
        <v>SPED</v>
      </c>
      <c r="E168" s="149" t="str">
        <f t="shared" ref="E168:F168" si="432">E152</f>
        <v>NSLP</v>
      </c>
      <c r="F168" s="149" t="str">
        <f t="shared" si="432"/>
        <v>Horizon</v>
      </c>
      <c r="H168" s="149" t="str">
        <f>H152</f>
        <v>Operating</v>
      </c>
      <c r="I168" s="149" t="str">
        <f>I152</f>
        <v>Weights</v>
      </c>
      <c r="J168" s="149" t="str">
        <f>J152</f>
        <v>SPED</v>
      </c>
      <c r="K168" s="149" t="str">
        <f t="shared" ref="K168:L168" si="433">K152</f>
        <v>NSLP</v>
      </c>
      <c r="L168" s="149" t="str">
        <f t="shared" si="433"/>
        <v>Cadence</v>
      </c>
      <c r="N168" s="149" t="str">
        <f>N152</f>
        <v>Operating</v>
      </c>
      <c r="O168" s="149" t="str">
        <f>O152</f>
        <v>Weights</v>
      </c>
      <c r="P168" s="149" t="str">
        <f>P152</f>
        <v>SPED</v>
      </c>
      <c r="Q168" s="149" t="str">
        <f t="shared" ref="Q168:R168" si="434">Q152</f>
        <v>NSLP</v>
      </c>
      <c r="R168" s="149" t="str">
        <f t="shared" si="434"/>
        <v>St. Rose</v>
      </c>
      <c r="T168" s="149" t="str">
        <f>T152</f>
        <v>Operating</v>
      </c>
      <c r="U168" s="149" t="str">
        <f>U152</f>
        <v>Weights</v>
      </c>
      <c r="V168" s="149" t="str">
        <f>V152</f>
        <v>SPED</v>
      </c>
      <c r="W168" s="149" t="str">
        <f t="shared" ref="W168:X168" si="435">W152</f>
        <v>NSLP</v>
      </c>
      <c r="X168" s="149" t="str">
        <f t="shared" si="435"/>
        <v>Inspirada</v>
      </c>
      <c r="Z168" s="149" t="str">
        <f>Z152</f>
        <v>Operating</v>
      </c>
      <c r="AA168" s="149" t="str">
        <f>AA152</f>
        <v>Weights</v>
      </c>
      <c r="AB168" s="149" t="str">
        <f>AB152</f>
        <v>SPED</v>
      </c>
      <c r="AC168" s="149" t="str">
        <f t="shared" ref="AC168:AD168" si="436">AC152</f>
        <v>NSLP</v>
      </c>
      <c r="AD168" s="149" t="str">
        <f t="shared" si="436"/>
        <v>Sloan Canyon</v>
      </c>
      <c r="AF168" s="149" t="str">
        <f>AF152</f>
        <v>Operating</v>
      </c>
      <c r="AG168" s="149" t="str">
        <f>AG152</f>
        <v>Weights</v>
      </c>
      <c r="AH168" s="149" t="str">
        <f>AH152</f>
        <v>SPED</v>
      </c>
      <c r="AI168" s="149" t="str">
        <f t="shared" ref="AI168:AJ168" si="437">AI152</f>
        <v>NSLP</v>
      </c>
      <c r="AJ168" s="149" t="str">
        <f t="shared" si="437"/>
        <v>Springs</v>
      </c>
      <c r="AL168" s="149" t="str">
        <f>AL152</f>
        <v>Operating</v>
      </c>
      <c r="AM168" s="149" t="str">
        <f>AM152</f>
        <v>Weights</v>
      </c>
      <c r="AN168" s="149" t="str">
        <f>AN152</f>
        <v>SPED</v>
      </c>
      <c r="AO168" s="149" t="str">
        <f t="shared" ref="AO168:AP168" si="438">AO152</f>
        <v>NSLP</v>
      </c>
      <c r="AP168" s="149" t="str">
        <f t="shared" si="438"/>
        <v>System Wide</v>
      </c>
      <c r="AR168" s="149" t="str">
        <f>AR152</f>
        <v>Operating</v>
      </c>
      <c r="AS168" s="149" t="str">
        <f>AS152</f>
        <v>Weights</v>
      </c>
      <c r="AT168" s="149" t="str">
        <f>AT152</f>
        <v>SPED</v>
      </c>
      <c r="AU168" s="149" t="str">
        <f t="shared" ref="AU168:AV168" si="439">AU152</f>
        <v>NSLP</v>
      </c>
      <c r="AV168" s="149" t="str">
        <f t="shared" si="439"/>
        <v>Virtual</v>
      </c>
      <c r="AX168" s="149" t="str">
        <f>AX152</f>
        <v>Operating</v>
      </c>
      <c r="AY168" s="149" t="str">
        <f>AY152</f>
        <v>Weights</v>
      </c>
      <c r="AZ168" s="149" t="str">
        <f>AZ152</f>
        <v>SPED</v>
      </c>
      <c r="BA168" s="149" t="str">
        <f t="shared" ref="BA168:BB168" si="440">BA152</f>
        <v>NSLP</v>
      </c>
      <c r="BB168" s="149" t="str">
        <f t="shared" si="440"/>
        <v>Pinecrest System</v>
      </c>
    </row>
    <row r="169" spans="1:54" x14ac:dyDescent="0.25">
      <c r="A169" s="62" t="s">
        <v>140</v>
      </c>
      <c r="B169" s="15">
        <f>'FY25'!B169*1.03</f>
        <v>5887.0667125</v>
      </c>
      <c r="C169" s="7"/>
      <c r="D169" s="7"/>
      <c r="E169" s="7"/>
      <c r="F169" s="7">
        <f t="shared" ref="F169:F174" si="441">SUM(B169:E169)</f>
        <v>5887.0667125</v>
      </c>
      <c r="H169" s="15">
        <f>'FY25'!H169*1.03</f>
        <v>9014.9977500000005</v>
      </c>
      <c r="I169" s="7"/>
      <c r="J169" s="7"/>
      <c r="K169" s="7"/>
      <c r="L169" s="7">
        <f t="shared" ref="L169:L174" si="442">SUM(H169:K169)</f>
        <v>9014.9977500000005</v>
      </c>
      <c r="N169" s="15">
        <f>'FY25'!N169*1.03</f>
        <v>4097.7262499999997</v>
      </c>
      <c r="O169" s="7"/>
      <c r="P169" s="7"/>
      <c r="Q169" s="7"/>
      <c r="R169" s="7">
        <f t="shared" ref="R169:R174" si="443">SUM(N169:Q169)</f>
        <v>4097.7262499999997</v>
      </c>
      <c r="T169" s="15">
        <f>'FY25'!T169*1.03</f>
        <v>5835.1621800000003</v>
      </c>
      <c r="U169" s="7"/>
      <c r="V169" s="7"/>
      <c r="W169" s="7"/>
      <c r="X169" s="7">
        <f t="shared" ref="X169:X174" si="444">SUM(T169:W169)</f>
        <v>5835.1621800000003</v>
      </c>
      <c r="Z169" s="15">
        <f>'FY25'!Z169*1.03</f>
        <v>4917.2715000000007</v>
      </c>
      <c r="AA169" s="7"/>
      <c r="AB169" s="7"/>
      <c r="AC169" s="7"/>
      <c r="AD169" s="7">
        <f t="shared" ref="AD169:AD174" si="445">SUM(Z169:AC169)</f>
        <v>4917.2715000000007</v>
      </c>
      <c r="AF169" s="15">
        <f>'FY25'!AF169*1.03</f>
        <v>6365.4000000000005</v>
      </c>
      <c r="AG169" s="7"/>
      <c r="AH169" s="7"/>
      <c r="AI169" s="7"/>
      <c r="AJ169" s="7">
        <f t="shared" ref="AJ169:AJ175" si="446">SUM(AF169:AI169)</f>
        <v>6365.4000000000005</v>
      </c>
      <c r="AL169" s="7">
        <v>0</v>
      </c>
      <c r="AM169" s="7"/>
      <c r="AN169" s="7"/>
      <c r="AO169" s="7"/>
      <c r="AP169" s="7">
        <f t="shared" ref="AP169:AP175" si="447">SUM(AL169:AO169)</f>
        <v>0</v>
      </c>
      <c r="AR169" s="7">
        <v>0</v>
      </c>
      <c r="AS169" s="7"/>
      <c r="AT169" s="7"/>
      <c r="AU169" s="7"/>
      <c r="AV169" s="7">
        <f t="shared" ref="AV169:AV175" si="448">SUM(AR169:AU169)</f>
        <v>0</v>
      </c>
      <c r="AX169" s="7">
        <f>B169+H169+N169+T169+Z169+AF169+AL169+AR169</f>
        <v>36117.624392500002</v>
      </c>
      <c r="AY169" s="7">
        <f t="shared" ref="AY169:BA175" si="449">C169+I169+O169+U169+AA169+AG169+AM169+AS169</f>
        <v>0</v>
      </c>
      <c r="AZ169" s="7">
        <f t="shared" si="449"/>
        <v>0</v>
      </c>
      <c r="BA169" s="7">
        <f t="shared" si="449"/>
        <v>0</v>
      </c>
      <c r="BB169" s="7">
        <f t="shared" ref="BB169:BB175" si="450">SUM(AX169:BA169)</f>
        <v>36117.624392500002</v>
      </c>
    </row>
    <row r="170" spans="1:54" x14ac:dyDescent="0.25">
      <c r="A170" s="62" t="s">
        <v>141</v>
      </c>
      <c r="B170" s="15">
        <f>'FY25'!B170*1.03</f>
        <v>13768.360200000001</v>
      </c>
      <c r="C170" s="7"/>
      <c r="D170" s="7"/>
      <c r="E170" s="7"/>
      <c r="F170" s="7">
        <f t="shared" si="441"/>
        <v>13768.360200000001</v>
      </c>
      <c r="H170" s="15">
        <f>'FY25'!H170*1.03</f>
        <v>18134.897292000001</v>
      </c>
      <c r="I170" s="7"/>
      <c r="J170" s="7"/>
      <c r="K170" s="7"/>
      <c r="L170" s="7">
        <f t="shared" si="442"/>
        <v>18134.897292000001</v>
      </c>
      <c r="N170" s="15">
        <f>'FY25'!N170*1.03</f>
        <v>15949.443292000002</v>
      </c>
      <c r="O170" s="7"/>
      <c r="P170" s="7"/>
      <c r="Q170" s="7"/>
      <c r="R170" s="7">
        <f t="shared" si="443"/>
        <v>15949.443292000002</v>
      </c>
      <c r="T170" s="15">
        <f>'FY25'!T170*1.03</f>
        <v>15949.443292000002</v>
      </c>
      <c r="U170" s="7"/>
      <c r="V170" s="7"/>
      <c r="W170" s="7"/>
      <c r="X170" s="7">
        <f t="shared" si="444"/>
        <v>15949.443292000002</v>
      </c>
      <c r="Z170" s="15">
        <f>'FY25'!Z170*1.03</f>
        <v>17588.533792000002</v>
      </c>
      <c r="AA170" s="7"/>
      <c r="AB170" s="7"/>
      <c r="AC170" s="7"/>
      <c r="AD170" s="7">
        <f t="shared" si="445"/>
        <v>17588.533792000002</v>
      </c>
      <c r="AF170" s="15">
        <f>'FY25'!AF170*1.03</f>
        <v>9548.1</v>
      </c>
      <c r="AG170" s="7"/>
      <c r="AH170" s="7"/>
      <c r="AI170" s="7"/>
      <c r="AJ170" s="7">
        <f t="shared" si="446"/>
        <v>9548.1</v>
      </c>
      <c r="AL170" s="7">
        <v>0</v>
      </c>
      <c r="AM170" s="7"/>
      <c r="AN170" s="7"/>
      <c r="AO170" s="7"/>
      <c r="AP170" s="7">
        <f t="shared" si="447"/>
        <v>0</v>
      </c>
      <c r="AR170" s="7">
        <v>0</v>
      </c>
      <c r="AS170" s="7"/>
      <c r="AT170" s="7"/>
      <c r="AU170" s="7"/>
      <c r="AV170" s="7">
        <f t="shared" si="448"/>
        <v>0</v>
      </c>
      <c r="AX170" s="7">
        <f t="shared" ref="AX170:AX175" si="451">B170+H170+N170+T170+Z170+AF170+AL170+AR170</f>
        <v>90938.777868000019</v>
      </c>
      <c r="AY170" s="7">
        <f t="shared" si="449"/>
        <v>0</v>
      </c>
      <c r="AZ170" s="7">
        <f t="shared" si="449"/>
        <v>0</v>
      </c>
      <c r="BA170" s="7">
        <f t="shared" si="449"/>
        <v>0</v>
      </c>
      <c r="BB170" s="7">
        <f t="shared" si="450"/>
        <v>90938.777868000019</v>
      </c>
    </row>
    <row r="171" spans="1:54" x14ac:dyDescent="0.25">
      <c r="A171" s="62" t="s">
        <v>142</v>
      </c>
      <c r="B171" s="7">
        <v>0</v>
      </c>
      <c r="C171" s="7"/>
      <c r="D171" s="7"/>
      <c r="E171" s="7"/>
      <c r="F171" s="7">
        <f t="shared" si="441"/>
        <v>0</v>
      </c>
      <c r="H171" s="7">
        <v>0</v>
      </c>
      <c r="I171" s="7"/>
      <c r="J171" s="7"/>
      <c r="K171" s="7"/>
      <c r="L171" s="7">
        <f t="shared" si="442"/>
        <v>0</v>
      </c>
      <c r="N171" s="7">
        <v>0</v>
      </c>
      <c r="O171" s="7"/>
      <c r="P171" s="7"/>
      <c r="Q171" s="7"/>
      <c r="R171" s="7">
        <f t="shared" si="443"/>
        <v>0</v>
      </c>
      <c r="T171" s="7">
        <v>0</v>
      </c>
      <c r="U171" s="7"/>
      <c r="V171" s="7"/>
      <c r="W171" s="7"/>
      <c r="X171" s="7">
        <f t="shared" si="444"/>
        <v>0</v>
      </c>
      <c r="Z171" s="7">
        <v>0</v>
      </c>
      <c r="AA171" s="7"/>
      <c r="AB171" s="7"/>
      <c r="AC171" s="7"/>
      <c r="AD171" s="7">
        <f t="shared" si="445"/>
        <v>0</v>
      </c>
      <c r="AF171" s="7">
        <v>0</v>
      </c>
      <c r="AG171" s="7"/>
      <c r="AH171" s="7"/>
      <c r="AI171" s="7"/>
      <c r="AJ171" s="7">
        <f t="shared" si="446"/>
        <v>0</v>
      </c>
      <c r="AL171" s="7">
        <v>0</v>
      </c>
      <c r="AM171" s="7"/>
      <c r="AN171" s="7"/>
      <c r="AO171" s="7"/>
      <c r="AP171" s="7">
        <f t="shared" si="447"/>
        <v>0</v>
      </c>
      <c r="AR171" s="7">
        <v>0</v>
      </c>
      <c r="AS171" s="7"/>
      <c r="AT171" s="7"/>
      <c r="AU171" s="7"/>
      <c r="AV171" s="7">
        <f t="shared" si="448"/>
        <v>0</v>
      </c>
      <c r="AX171" s="7">
        <f t="shared" si="451"/>
        <v>0</v>
      </c>
      <c r="AY171" s="7">
        <f t="shared" si="449"/>
        <v>0</v>
      </c>
      <c r="AZ171" s="7">
        <f t="shared" si="449"/>
        <v>0</v>
      </c>
      <c r="BA171" s="7">
        <f t="shared" si="449"/>
        <v>0</v>
      </c>
      <c r="BB171" s="7">
        <f t="shared" si="450"/>
        <v>0</v>
      </c>
    </row>
    <row r="172" spans="1:54" x14ac:dyDescent="0.25">
      <c r="A172" s="62" t="s">
        <v>143</v>
      </c>
      <c r="B172" s="7">
        <v>1000</v>
      </c>
      <c r="C172" s="7"/>
      <c r="D172" s="7"/>
      <c r="E172" s="7"/>
      <c r="F172" s="7">
        <f t="shared" si="441"/>
        <v>1000</v>
      </c>
      <c r="H172" s="7">
        <v>1300</v>
      </c>
      <c r="I172" s="7"/>
      <c r="J172" s="7"/>
      <c r="K172" s="7"/>
      <c r="L172" s="7">
        <f t="shared" si="442"/>
        <v>1300</v>
      </c>
      <c r="N172" s="7">
        <v>1000</v>
      </c>
      <c r="O172" s="7"/>
      <c r="P172" s="7"/>
      <c r="Q172" s="7"/>
      <c r="R172" s="7">
        <f t="shared" si="443"/>
        <v>1000</v>
      </c>
      <c r="T172" s="7">
        <v>1100</v>
      </c>
      <c r="U172" s="7"/>
      <c r="V172" s="7"/>
      <c r="W172" s="7"/>
      <c r="X172" s="7">
        <f t="shared" si="444"/>
        <v>1100</v>
      </c>
      <c r="Z172" s="7">
        <v>1300</v>
      </c>
      <c r="AA172" s="7"/>
      <c r="AB172" s="7"/>
      <c r="AC172" s="7"/>
      <c r="AD172" s="7">
        <f t="shared" si="445"/>
        <v>1300</v>
      </c>
      <c r="AF172" s="7">
        <v>1000</v>
      </c>
      <c r="AG172" s="7"/>
      <c r="AH172" s="7"/>
      <c r="AI172" s="7"/>
      <c r="AJ172" s="7">
        <f t="shared" si="446"/>
        <v>1000</v>
      </c>
      <c r="AL172" s="7">
        <v>0</v>
      </c>
      <c r="AM172" s="7"/>
      <c r="AN172" s="7"/>
      <c r="AO172" s="7"/>
      <c r="AP172" s="7">
        <f t="shared" si="447"/>
        <v>0</v>
      </c>
      <c r="AR172" s="7">
        <v>3000</v>
      </c>
      <c r="AS172" s="7"/>
      <c r="AT172" s="7"/>
      <c r="AU172" s="7"/>
      <c r="AV172" s="7">
        <f t="shared" si="448"/>
        <v>3000</v>
      </c>
      <c r="AX172" s="7">
        <f t="shared" si="451"/>
        <v>9700</v>
      </c>
      <c r="AY172" s="7">
        <f t="shared" si="449"/>
        <v>0</v>
      </c>
      <c r="AZ172" s="7">
        <f t="shared" si="449"/>
        <v>0</v>
      </c>
      <c r="BA172" s="7">
        <f t="shared" si="449"/>
        <v>0</v>
      </c>
      <c r="BB172" s="7">
        <f t="shared" si="450"/>
        <v>9700</v>
      </c>
    </row>
    <row r="173" spans="1:54" x14ac:dyDescent="0.25">
      <c r="A173" s="62" t="s">
        <v>144</v>
      </c>
      <c r="B173" s="15">
        <f>'FY25'!B173*1.03</f>
        <v>5463.6350000000002</v>
      </c>
      <c r="C173" s="7"/>
      <c r="D173" s="7"/>
      <c r="E173" s="7"/>
      <c r="F173" s="7">
        <f t="shared" si="441"/>
        <v>5463.6350000000002</v>
      </c>
      <c r="H173" s="15">
        <f>'FY25'!H173*1.03</f>
        <v>5463.6350000000002</v>
      </c>
      <c r="I173" s="7"/>
      <c r="J173" s="7"/>
      <c r="K173" s="7"/>
      <c r="L173" s="7">
        <f t="shared" si="442"/>
        <v>5463.6350000000002</v>
      </c>
      <c r="N173" s="15">
        <f>'FY25'!N173*1.03</f>
        <v>5463.6350000000002</v>
      </c>
      <c r="O173" s="7"/>
      <c r="P173" s="7"/>
      <c r="Q173" s="7"/>
      <c r="R173" s="7">
        <f t="shared" si="443"/>
        <v>5463.6350000000002</v>
      </c>
      <c r="T173" s="15">
        <f>'FY25'!T173*1.03</f>
        <v>5463.6350000000002</v>
      </c>
      <c r="U173" s="7"/>
      <c r="V173" s="7"/>
      <c r="W173" s="7"/>
      <c r="X173" s="7">
        <f t="shared" si="444"/>
        <v>5463.6350000000002</v>
      </c>
      <c r="Z173" s="15">
        <f>'FY25'!Z173*1.03</f>
        <v>5463.6350000000002</v>
      </c>
      <c r="AA173" s="7"/>
      <c r="AB173" s="7"/>
      <c r="AC173" s="7"/>
      <c r="AD173" s="7">
        <f t="shared" si="445"/>
        <v>5463.6350000000002</v>
      </c>
      <c r="AF173" s="15">
        <f>'FY25'!AF173*1.03</f>
        <v>4243.6000000000004</v>
      </c>
      <c r="AG173" s="7"/>
      <c r="AH173" s="7"/>
      <c r="AI173" s="7"/>
      <c r="AJ173" s="7">
        <f t="shared" si="446"/>
        <v>4243.6000000000004</v>
      </c>
      <c r="AL173" s="7">
        <v>0</v>
      </c>
      <c r="AM173" s="7"/>
      <c r="AN173" s="7"/>
      <c r="AO173" s="7"/>
      <c r="AP173" s="7">
        <f t="shared" si="447"/>
        <v>0</v>
      </c>
      <c r="AR173" s="7">
        <v>4500</v>
      </c>
      <c r="AS173" s="7"/>
      <c r="AT173" s="7"/>
      <c r="AU173" s="7"/>
      <c r="AV173" s="7">
        <f t="shared" si="448"/>
        <v>4500</v>
      </c>
      <c r="AX173" s="7">
        <f t="shared" si="451"/>
        <v>36061.775000000001</v>
      </c>
      <c r="AY173" s="7">
        <f t="shared" si="449"/>
        <v>0</v>
      </c>
      <c r="AZ173" s="7">
        <f t="shared" si="449"/>
        <v>0</v>
      </c>
      <c r="BA173" s="7">
        <f t="shared" si="449"/>
        <v>0</v>
      </c>
      <c r="BB173" s="7">
        <f t="shared" si="450"/>
        <v>36061.775000000001</v>
      </c>
    </row>
    <row r="174" spans="1:54" x14ac:dyDescent="0.25">
      <c r="A174" s="62" t="s">
        <v>145</v>
      </c>
      <c r="B174" s="15">
        <f>'FY25'!B174*1.04</f>
        <v>31496.191999999999</v>
      </c>
      <c r="C174" s="7"/>
      <c r="D174" s="7"/>
      <c r="E174" s="7"/>
      <c r="F174" s="7">
        <f t="shared" si="441"/>
        <v>31496.191999999999</v>
      </c>
      <c r="H174" s="15">
        <f>'FY25'!H174*1.04</f>
        <v>68841.676800000001</v>
      </c>
      <c r="I174" s="7"/>
      <c r="J174" s="7"/>
      <c r="K174" s="7"/>
      <c r="L174" s="7">
        <f t="shared" si="442"/>
        <v>68841.676800000001</v>
      </c>
      <c r="N174" s="15">
        <f>'FY25'!N174*1.04</f>
        <v>35995.648000000008</v>
      </c>
      <c r="O174" s="7"/>
      <c r="P174" s="7"/>
      <c r="Q174" s="7"/>
      <c r="R174" s="7">
        <f t="shared" si="443"/>
        <v>35995.648000000008</v>
      </c>
      <c r="T174" s="15">
        <f>'FY25'!T174*1.04</f>
        <v>35995.648000000008</v>
      </c>
      <c r="U174" s="7"/>
      <c r="V174" s="7"/>
      <c r="W174" s="7"/>
      <c r="X174" s="7">
        <f t="shared" si="444"/>
        <v>35995.648000000008</v>
      </c>
      <c r="Z174" s="15">
        <f>'FY25'!Z174*1.04</f>
        <v>64679.68</v>
      </c>
      <c r="AA174" s="7"/>
      <c r="AB174" s="7"/>
      <c r="AC174" s="7"/>
      <c r="AD174" s="7">
        <f t="shared" si="445"/>
        <v>64679.68</v>
      </c>
      <c r="AF174" s="15">
        <f>'FY25'!AF174*1.04</f>
        <v>32136</v>
      </c>
      <c r="AG174" s="7"/>
      <c r="AH174" s="7"/>
      <c r="AI174" s="7"/>
      <c r="AJ174" s="7">
        <f t="shared" si="446"/>
        <v>32136</v>
      </c>
      <c r="AL174" s="7">
        <v>0</v>
      </c>
      <c r="AM174" s="7"/>
      <c r="AN174" s="7"/>
      <c r="AO174" s="7"/>
      <c r="AP174" s="7">
        <f t="shared" si="447"/>
        <v>0</v>
      </c>
      <c r="AR174" s="15">
        <v>0</v>
      </c>
      <c r="AS174" s="7"/>
      <c r="AT174" s="7"/>
      <c r="AU174" s="7"/>
      <c r="AV174" s="7">
        <f t="shared" si="448"/>
        <v>0</v>
      </c>
      <c r="AX174" s="7">
        <f t="shared" si="451"/>
        <v>269144.84480000002</v>
      </c>
      <c r="AY174" s="7">
        <f t="shared" si="449"/>
        <v>0</v>
      </c>
      <c r="AZ174" s="7">
        <f t="shared" si="449"/>
        <v>0</v>
      </c>
      <c r="BA174" s="7">
        <f t="shared" si="449"/>
        <v>0</v>
      </c>
      <c r="BB174" s="7">
        <f t="shared" si="450"/>
        <v>269144.84480000002</v>
      </c>
    </row>
    <row r="175" spans="1:54" ht="15.75" thickBot="1" x14ac:dyDescent="0.3">
      <c r="A175" s="62" t="s">
        <v>146</v>
      </c>
      <c r="B175" s="7">
        <f>2500+(2*B19)</f>
        <v>4372</v>
      </c>
      <c r="C175" s="7"/>
      <c r="D175" s="7"/>
      <c r="E175" s="7"/>
      <c r="F175" s="7">
        <f t="shared" ref="F175" si="452">SUM(B175:E175)</f>
        <v>4372</v>
      </c>
      <c r="H175" s="7">
        <f>2500+(2*H19)</f>
        <v>7388</v>
      </c>
      <c r="I175" s="7"/>
      <c r="J175" s="7"/>
      <c r="K175" s="7"/>
      <c r="L175" s="7">
        <f t="shared" ref="L175" si="453">SUM(H175:K175)</f>
        <v>7388</v>
      </c>
      <c r="N175" s="7">
        <f>2500+(2*N19)</f>
        <v>4532</v>
      </c>
      <c r="O175" s="7"/>
      <c r="P175" s="7"/>
      <c r="Q175" s="7"/>
      <c r="R175" s="7">
        <f t="shared" ref="R175" si="454">SUM(N175:Q175)</f>
        <v>4532</v>
      </c>
      <c r="T175" s="7">
        <f>2500+(2*T19)</f>
        <v>4930</v>
      </c>
      <c r="U175" s="7"/>
      <c r="V175" s="7"/>
      <c r="W175" s="7"/>
      <c r="X175" s="7">
        <f t="shared" ref="X175" si="455">SUM(T175:W175)</f>
        <v>4930</v>
      </c>
      <c r="Z175" s="7">
        <f>2500+(2*Z19)</f>
        <v>7370</v>
      </c>
      <c r="AA175" s="7"/>
      <c r="AB175" s="7"/>
      <c r="AC175" s="7"/>
      <c r="AD175" s="7">
        <f t="shared" ref="AD175" si="456">SUM(Z175:AC175)</f>
        <v>7370</v>
      </c>
      <c r="AF175" s="7">
        <f>2500+(2*AF19)</f>
        <v>4420</v>
      </c>
      <c r="AG175" s="7"/>
      <c r="AH175" s="7"/>
      <c r="AI175" s="7"/>
      <c r="AJ175" s="7">
        <f t="shared" si="446"/>
        <v>4420</v>
      </c>
      <c r="AL175" s="7">
        <v>0</v>
      </c>
      <c r="AM175" s="7"/>
      <c r="AN175" s="7"/>
      <c r="AO175" s="7"/>
      <c r="AP175" s="7">
        <f t="shared" si="447"/>
        <v>0</v>
      </c>
      <c r="AR175" s="7">
        <v>2750</v>
      </c>
      <c r="AS175" s="7"/>
      <c r="AT175" s="7"/>
      <c r="AU175" s="7"/>
      <c r="AV175" s="7">
        <f t="shared" si="448"/>
        <v>2750</v>
      </c>
      <c r="AX175" s="7">
        <f t="shared" si="451"/>
        <v>35762</v>
      </c>
      <c r="AY175" s="7">
        <f t="shared" si="449"/>
        <v>0</v>
      </c>
      <c r="AZ175" s="7">
        <f t="shared" si="449"/>
        <v>0</v>
      </c>
      <c r="BA175" s="7">
        <f t="shared" si="449"/>
        <v>0</v>
      </c>
      <c r="BB175" s="7">
        <f t="shared" si="450"/>
        <v>35762</v>
      </c>
    </row>
    <row r="176" spans="1:54" ht="15.75" thickBot="1" x14ac:dyDescent="0.3">
      <c r="A176" s="95" t="s">
        <v>147</v>
      </c>
      <c r="B176" s="92">
        <f>SUM(B169:B175)</f>
        <v>61987.253912500004</v>
      </c>
      <c r="C176" s="92">
        <f>SUM(C169:C175)</f>
        <v>0</v>
      </c>
      <c r="D176" s="92">
        <f t="shared" ref="D176:F176" si="457">SUM(D169:D175)</f>
        <v>0</v>
      </c>
      <c r="E176" s="92">
        <f t="shared" si="457"/>
        <v>0</v>
      </c>
      <c r="F176" s="92">
        <f t="shared" si="457"/>
        <v>61987.253912500004</v>
      </c>
      <c r="H176" s="92">
        <f>SUM(H169:H175)</f>
        <v>110143.20684200001</v>
      </c>
      <c r="I176" s="92">
        <f>SUM(I169:I175)</f>
        <v>0</v>
      </c>
      <c r="J176" s="92">
        <f t="shared" ref="J176:L176" si="458">SUM(J169:J175)</f>
        <v>0</v>
      </c>
      <c r="K176" s="92">
        <f t="shared" si="458"/>
        <v>0</v>
      </c>
      <c r="L176" s="92">
        <f t="shared" si="458"/>
        <v>110143.20684200001</v>
      </c>
      <c r="N176" s="92">
        <f>SUM(N169:N175)</f>
        <v>67038.452542000014</v>
      </c>
      <c r="O176" s="92">
        <f>SUM(O169:O175)</f>
        <v>0</v>
      </c>
      <c r="P176" s="92">
        <f t="shared" ref="P176:R176" si="459">SUM(P169:P175)</f>
        <v>0</v>
      </c>
      <c r="Q176" s="92">
        <f t="shared" si="459"/>
        <v>0</v>
      </c>
      <c r="R176" s="92">
        <f t="shared" si="459"/>
        <v>67038.452542000014</v>
      </c>
      <c r="T176" s="92">
        <f>SUM(T169:T175)</f>
        <v>69273.888472000021</v>
      </c>
      <c r="U176" s="92">
        <f>SUM(U169:U175)</f>
        <v>0</v>
      </c>
      <c r="V176" s="92">
        <f t="shared" ref="V176:X176" si="460">SUM(V169:V175)</f>
        <v>0</v>
      </c>
      <c r="W176" s="92">
        <f t="shared" si="460"/>
        <v>0</v>
      </c>
      <c r="X176" s="92">
        <f t="shared" si="460"/>
        <v>69273.888472000021</v>
      </c>
      <c r="Z176" s="92">
        <f>SUM(Z169:Z175)</f>
        <v>101319.12029200001</v>
      </c>
      <c r="AA176" s="92">
        <f>SUM(AA169:AA175)</f>
        <v>0</v>
      </c>
      <c r="AB176" s="92">
        <f t="shared" ref="AB176:AD176" si="461">SUM(AB169:AB175)</f>
        <v>0</v>
      </c>
      <c r="AC176" s="92">
        <f t="shared" si="461"/>
        <v>0</v>
      </c>
      <c r="AD176" s="92">
        <f t="shared" si="461"/>
        <v>101319.12029200001</v>
      </c>
      <c r="AF176" s="92">
        <f>SUM(AF169:AF175)</f>
        <v>57713.1</v>
      </c>
      <c r="AG176" s="92">
        <f>SUM(AG169:AG175)</f>
        <v>0</v>
      </c>
      <c r="AH176" s="92">
        <f t="shared" ref="AH176:AJ176" si="462">SUM(AH169:AH175)</f>
        <v>0</v>
      </c>
      <c r="AI176" s="92">
        <f t="shared" si="462"/>
        <v>0</v>
      </c>
      <c r="AJ176" s="92">
        <f t="shared" si="462"/>
        <v>57713.1</v>
      </c>
      <c r="AL176" s="92">
        <f>SUM(AL169:AL175)</f>
        <v>0</v>
      </c>
      <c r="AM176" s="92">
        <f>SUM(AM169:AM175)</f>
        <v>0</v>
      </c>
      <c r="AN176" s="92">
        <f t="shared" ref="AN176:AP176" si="463">SUM(AN169:AN175)</f>
        <v>0</v>
      </c>
      <c r="AO176" s="92">
        <f t="shared" si="463"/>
        <v>0</v>
      </c>
      <c r="AP176" s="92">
        <f t="shared" si="463"/>
        <v>0</v>
      </c>
      <c r="AR176" s="92">
        <f>SUM(AR169:AR175)</f>
        <v>10250</v>
      </c>
      <c r="AS176" s="92">
        <f>SUM(AS169:AS175)</f>
        <v>0</v>
      </c>
      <c r="AT176" s="92">
        <f t="shared" ref="AT176:AV176" si="464">SUM(AT169:AT175)</f>
        <v>0</v>
      </c>
      <c r="AU176" s="92">
        <f t="shared" si="464"/>
        <v>0</v>
      </c>
      <c r="AV176" s="92">
        <f t="shared" si="464"/>
        <v>10250</v>
      </c>
      <c r="AX176" s="92">
        <f>SUM(AX169:AX175)</f>
        <v>477725.02206049999</v>
      </c>
      <c r="AY176" s="92">
        <f>SUM(AY169:AY175)</f>
        <v>0</v>
      </c>
      <c r="AZ176" s="92">
        <f t="shared" ref="AZ176:BB176" si="465">SUM(AZ169:AZ175)</f>
        <v>0</v>
      </c>
      <c r="BA176" s="92">
        <f t="shared" si="465"/>
        <v>0</v>
      </c>
      <c r="BB176" s="92">
        <f t="shared" si="465"/>
        <v>477725.02206049999</v>
      </c>
    </row>
    <row r="177" spans="1:54" x14ac:dyDescent="0.25">
      <c r="A177" s="101" t="s">
        <v>148</v>
      </c>
      <c r="B177" s="96"/>
      <c r="C177" s="96"/>
      <c r="D177" s="96"/>
      <c r="E177" s="96"/>
      <c r="F177" s="96"/>
      <c r="H177" s="96"/>
      <c r="I177" s="96"/>
      <c r="J177" s="96"/>
      <c r="K177" s="96"/>
      <c r="L177" s="96"/>
      <c r="N177" s="96"/>
      <c r="O177" s="96"/>
      <c r="P177" s="96"/>
      <c r="Q177" s="96"/>
      <c r="R177" s="96"/>
      <c r="T177" s="96"/>
      <c r="U177" s="96"/>
      <c r="V177" s="96"/>
      <c r="W177" s="96"/>
      <c r="X177" s="96"/>
      <c r="Z177" s="96"/>
      <c r="AA177" s="96"/>
      <c r="AB177" s="96"/>
      <c r="AC177" s="96"/>
      <c r="AD177" s="96"/>
      <c r="AF177" s="96"/>
      <c r="AG177" s="96"/>
      <c r="AH177" s="96"/>
      <c r="AI177" s="96"/>
      <c r="AJ177" s="96"/>
      <c r="AL177" s="96"/>
      <c r="AM177" s="96"/>
      <c r="AN177" s="96"/>
      <c r="AO177" s="96"/>
      <c r="AP177" s="96"/>
      <c r="AR177" s="96"/>
      <c r="AS177" s="96"/>
      <c r="AT177" s="96"/>
      <c r="AU177" s="96"/>
      <c r="AV177" s="96"/>
      <c r="AX177" s="96"/>
      <c r="AY177" s="96"/>
      <c r="AZ177" s="96"/>
      <c r="BA177" s="96"/>
      <c r="BB177" s="96"/>
    </row>
    <row r="178" spans="1:54" x14ac:dyDescent="0.25">
      <c r="A178" s="62" t="s">
        <v>149</v>
      </c>
      <c r="B178" s="15">
        <f>'FY25'!B178*1.06</f>
        <v>13756.234800000002</v>
      </c>
      <c r="C178" s="15"/>
      <c r="D178" s="15"/>
      <c r="E178" s="15"/>
      <c r="F178" s="15">
        <f>SUM(B178:E178)</f>
        <v>13756.234800000002</v>
      </c>
      <c r="H178" s="15">
        <f>'FY25'!H178*1.06</f>
        <v>33407.998800000008</v>
      </c>
      <c r="I178" s="15"/>
      <c r="J178" s="15"/>
      <c r="K178" s="15"/>
      <c r="L178" s="15">
        <f>SUM(H178:K178)</f>
        <v>33407.998800000008</v>
      </c>
      <c r="N178" s="15">
        <f>'FY25'!N178*1.06</f>
        <v>13756.234800000002</v>
      </c>
      <c r="O178" s="15"/>
      <c r="P178" s="15"/>
      <c r="Q178" s="15"/>
      <c r="R178" s="15">
        <f>SUM(N178:Q178)</f>
        <v>13756.234800000002</v>
      </c>
      <c r="T178" s="15">
        <f>'FY25'!T178*1.06</f>
        <v>15066.352400000003</v>
      </c>
      <c r="U178" s="15"/>
      <c r="V178" s="15"/>
      <c r="W178" s="15"/>
      <c r="X178" s="15">
        <f>SUM(T178:W178)</f>
        <v>15066.352400000003</v>
      </c>
      <c r="Z178" s="15">
        <f>'FY25'!Z178*1.06</f>
        <v>21616.940399999999</v>
      </c>
      <c r="AA178" s="15"/>
      <c r="AB178" s="15"/>
      <c r="AC178" s="15"/>
      <c r="AD178" s="15">
        <f>SUM(Z178:AC178)</f>
        <v>21616.940399999999</v>
      </c>
      <c r="AF178" s="15">
        <f>'FY25'!AF178*1.06</f>
        <v>11236</v>
      </c>
      <c r="AG178" s="15"/>
      <c r="AH178" s="15"/>
      <c r="AI178" s="15"/>
      <c r="AJ178" s="15">
        <f>SUM(AF178:AI178)</f>
        <v>11236</v>
      </c>
      <c r="AL178" s="15">
        <v>0</v>
      </c>
      <c r="AM178" s="15"/>
      <c r="AN178" s="15"/>
      <c r="AO178" s="15"/>
      <c r="AP178" s="15">
        <f>SUM(AL178:AO178)</f>
        <v>0</v>
      </c>
      <c r="AR178" s="15"/>
      <c r="AS178" s="15"/>
      <c r="AT178" s="15"/>
      <c r="AU178" s="15"/>
      <c r="AV178" s="15">
        <f>SUM(AR178:AU178)</f>
        <v>0</v>
      </c>
      <c r="AX178" s="7">
        <f>B178+H178+N178+T178+Z178+AF178+AL178+AR178</f>
        <v>108839.76120000001</v>
      </c>
      <c r="AY178" s="7">
        <f t="shared" ref="AY178:BA180" si="466">C178+I178+O178+U178+AA178+AG178+AM178+AS178</f>
        <v>0</v>
      </c>
      <c r="AZ178" s="7">
        <f t="shared" si="466"/>
        <v>0</v>
      </c>
      <c r="BA178" s="7">
        <f t="shared" si="466"/>
        <v>0</v>
      </c>
      <c r="BB178" s="15">
        <f>SUM(AX178:BA178)</f>
        <v>108839.76120000001</v>
      </c>
    </row>
    <row r="179" spans="1:54" x14ac:dyDescent="0.25">
      <c r="A179" s="62" t="s">
        <v>150</v>
      </c>
      <c r="B179" s="15">
        <f>'FY25'!B179*1.06</f>
        <v>7860.7056000000011</v>
      </c>
      <c r="C179" s="7"/>
      <c r="D179" s="7"/>
      <c r="E179" s="7"/>
      <c r="F179" s="15">
        <f>SUM(B179:E179)</f>
        <v>7860.7056000000011</v>
      </c>
      <c r="H179" s="15">
        <f>'FY25'!H179*1.06</f>
        <v>14411.293600000005</v>
      </c>
      <c r="I179" s="7"/>
      <c r="J179" s="7"/>
      <c r="K179" s="7"/>
      <c r="L179" s="15">
        <f>SUM(H179:K179)</f>
        <v>14411.293600000005</v>
      </c>
      <c r="N179" s="15">
        <f>'FY25'!N179*1.06</f>
        <v>9170.8232000000044</v>
      </c>
      <c r="O179" s="7"/>
      <c r="P179" s="7"/>
      <c r="Q179" s="7"/>
      <c r="R179" s="15">
        <f>SUM(N179:Q179)</f>
        <v>9170.8232000000044</v>
      </c>
      <c r="T179" s="15">
        <f>'FY25'!T179*1.06</f>
        <v>9170.8232000000044</v>
      </c>
      <c r="U179" s="7"/>
      <c r="V179" s="7"/>
      <c r="W179" s="7"/>
      <c r="X179" s="15">
        <f>SUM(T179:W179)</f>
        <v>9170.8232000000044</v>
      </c>
      <c r="Z179" s="15">
        <f>'FY25'!Z179*1.06</f>
        <v>15721.411200000002</v>
      </c>
      <c r="AA179" s="7"/>
      <c r="AB179" s="7"/>
      <c r="AC179" s="7"/>
      <c r="AD179" s="15">
        <f>SUM(Z179:AC179)</f>
        <v>15721.411200000002</v>
      </c>
      <c r="AF179" s="15">
        <f>'FY25'!AF179*1.06</f>
        <v>7865.2000000000007</v>
      </c>
      <c r="AG179" s="7"/>
      <c r="AH179" s="7"/>
      <c r="AI179" s="7"/>
      <c r="AJ179" s="15">
        <f>SUM(AF179:AI179)</f>
        <v>7865.2000000000007</v>
      </c>
      <c r="AL179" s="15">
        <v>0</v>
      </c>
      <c r="AM179" s="7"/>
      <c r="AN179" s="7"/>
      <c r="AO179" s="7"/>
      <c r="AP179" s="15">
        <f>SUM(AL179:AO179)</f>
        <v>0</v>
      </c>
      <c r="AR179" s="7">
        <f>7500*1.05*1.1*1.1</f>
        <v>9528.75</v>
      </c>
      <c r="AS179" s="7"/>
      <c r="AT179" s="7"/>
      <c r="AU179" s="7"/>
      <c r="AV179" s="15">
        <f>SUM(AR179:AU179)</f>
        <v>9528.75</v>
      </c>
      <c r="AX179" s="7">
        <f t="shared" ref="AX179:AX180" si="467">B179+H179+N179+T179+Z179+AF179+AL179+AR179</f>
        <v>73729.006800000017</v>
      </c>
      <c r="AY179" s="7">
        <f t="shared" si="466"/>
        <v>0</v>
      </c>
      <c r="AZ179" s="7">
        <f t="shared" si="466"/>
        <v>0</v>
      </c>
      <c r="BA179" s="7">
        <f t="shared" si="466"/>
        <v>0</v>
      </c>
      <c r="BB179" s="15">
        <f>SUM(AX179:BA179)</f>
        <v>73729.006800000017</v>
      </c>
    </row>
    <row r="180" spans="1:54" ht="15.75" thickBot="1" x14ac:dyDescent="0.3">
      <c r="A180" s="62" t="s">
        <v>151</v>
      </c>
      <c r="B180" s="15">
        <f>'FY25'!B180*1.06</f>
        <v>16376.470000000003</v>
      </c>
      <c r="C180" s="7"/>
      <c r="D180" s="7"/>
      <c r="E180" s="7"/>
      <c r="F180" s="15">
        <f>SUM(B180:E180)</f>
        <v>16376.470000000003</v>
      </c>
      <c r="H180" s="15">
        <f>'FY25'!H180*1.06</f>
        <v>42578.822000000007</v>
      </c>
      <c r="I180" s="7"/>
      <c r="J180" s="7"/>
      <c r="K180" s="7"/>
      <c r="L180" s="15">
        <f>SUM(H180:K180)</f>
        <v>42578.822000000007</v>
      </c>
      <c r="N180" s="15">
        <f>'FY25'!N180*1.06</f>
        <v>20961.881600000001</v>
      </c>
      <c r="O180" s="7"/>
      <c r="P180" s="7"/>
      <c r="Q180" s="7"/>
      <c r="R180" s="15">
        <f>SUM(N180:Q180)</f>
        <v>20961.881600000001</v>
      </c>
      <c r="T180" s="15">
        <f>'FY25'!T180*1.06</f>
        <v>27512.469600000004</v>
      </c>
      <c r="U180" s="7"/>
      <c r="V180" s="7"/>
      <c r="W180" s="7"/>
      <c r="X180" s="15">
        <f>SUM(T180:W180)</f>
        <v>27512.469600000004</v>
      </c>
      <c r="Z180" s="15">
        <f>'FY25'!Z180*1.06</f>
        <v>37338.351600000009</v>
      </c>
      <c r="AA180" s="7"/>
      <c r="AB180" s="7"/>
      <c r="AC180" s="7"/>
      <c r="AD180" s="15">
        <f>SUM(Z180:AC180)</f>
        <v>37338.351600000009</v>
      </c>
      <c r="AF180" s="15">
        <f>'FY25'!AF180*1.06</f>
        <v>14606.800000000001</v>
      </c>
      <c r="AG180" s="7"/>
      <c r="AH180" s="7"/>
      <c r="AI180" s="7"/>
      <c r="AJ180" s="15">
        <f>SUM(AF180:AI180)</f>
        <v>14606.800000000001</v>
      </c>
      <c r="AL180" s="15">
        <v>0</v>
      </c>
      <c r="AM180" s="7"/>
      <c r="AN180" s="7"/>
      <c r="AO180" s="7"/>
      <c r="AP180" s="15">
        <f>SUM(AL180:AO180)</f>
        <v>0</v>
      </c>
      <c r="AR180" s="7">
        <f>5500*1.05*1.1*1.1</f>
        <v>6987.7500000000018</v>
      </c>
      <c r="AS180" s="7"/>
      <c r="AT180" s="7"/>
      <c r="AU180" s="7"/>
      <c r="AV180" s="15">
        <f>SUM(AR180:AU180)</f>
        <v>6987.7500000000018</v>
      </c>
      <c r="AX180" s="7">
        <f t="shared" si="467"/>
        <v>166362.54480000003</v>
      </c>
      <c r="AY180" s="7">
        <f t="shared" si="466"/>
        <v>0</v>
      </c>
      <c r="AZ180" s="7">
        <f t="shared" si="466"/>
        <v>0</v>
      </c>
      <c r="BA180" s="7">
        <f t="shared" si="466"/>
        <v>0</v>
      </c>
      <c r="BB180" s="15">
        <f>SUM(AX180:BA180)</f>
        <v>166362.54480000003</v>
      </c>
    </row>
    <row r="181" spans="1:54" ht="15.75" thickBot="1" x14ac:dyDescent="0.3">
      <c r="A181" s="95" t="s">
        <v>152</v>
      </c>
      <c r="B181" s="92">
        <f>SUM(B178:B180)</f>
        <v>37993.410400000008</v>
      </c>
      <c r="C181" s="92">
        <f>SUM(C178:C180)</f>
        <v>0</v>
      </c>
      <c r="D181" s="92">
        <f t="shared" ref="D181:F181" si="468">SUM(D178:D180)</f>
        <v>0</v>
      </c>
      <c r="E181" s="92">
        <f t="shared" si="468"/>
        <v>0</v>
      </c>
      <c r="F181" s="92">
        <f t="shared" si="468"/>
        <v>37993.410400000008</v>
      </c>
      <c r="H181" s="92">
        <f>SUM(H178:H180)</f>
        <v>90398.11440000002</v>
      </c>
      <c r="I181" s="92">
        <f>SUM(I178:I180)</f>
        <v>0</v>
      </c>
      <c r="J181" s="92">
        <f t="shared" ref="J181:L181" si="469">SUM(J178:J180)</f>
        <v>0</v>
      </c>
      <c r="K181" s="92">
        <f t="shared" si="469"/>
        <v>0</v>
      </c>
      <c r="L181" s="92">
        <f t="shared" si="469"/>
        <v>90398.11440000002</v>
      </c>
      <c r="N181" s="92">
        <f>SUM(N178:N180)</f>
        <v>43888.939600000005</v>
      </c>
      <c r="O181" s="92">
        <f>SUM(O178:O180)</f>
        <v>0</v>
      </c>
      <c r="P181" s="92">
        <f t="shared" ref="P181:R181" si="470">SUM(P178:P180)</f>
        <v>0</v>
      </c>
      <c r="Q181" s="92">
        <f t="shared" si="470"/>
        <v>0</v>
      </c>
      <c r="R181" s="92">
        <f t="shared" si="470"/>
        <v>43888.939600000005</v>
      </c>
      <c r="T181" s="92">
        <f>SUM(T178:T180)</f>
        <v>51749.645200000014</v>
      </c>
      <c r="U181" s="92">
        <f>SUM(U178:U180)</f>
        <v>0</v>
      </c>
      <c r="V181" s="92">
        <f t="shared" ref="V181:X181" si="471">SUM(V178:V180)</f>
        <v>0</v>
      </c>
      <c r="W181" s="92">
        <f t="shared" si="471"/>
        <v>0</v>
      </c>
      <c r="X181" s="92">
        <f t="shared" si="471"/>
        <v>51749.645200000014</v>
      </c>
      <c r="Z181" s="92">
        <f>SUM(Z178:Z180)</f>
        <v>74676.703200000018</v>
      </c>
      <c r="AA181" s="92">
        <f>SUM(AA178:AA180)</f>
        <v>0</v>
      </c>
      <c r="AB181" s="92">
        <f t="shared" ref="AB181:AD181" si="472">SUM(AB178:AB180)</f>
        <v>0</v>
      </c>
      <c r="AC181" s="92">
        <f t="shared" si="472"/>
        <v>0</v>
      </c>
      <c r="AD181" s="92">
        <f t="shared" si="472"/>
        <v>74676.703200000018</v>
      </c>
      <c r="AF181" s="92">
        <f>SUM(AF178:AF180)</f>
        <v>33708</v>
      </c>
      <c r="AG181" s="92">
        <f>SUM(AG178:AG180)</f>
        <v>0</v>
      </c>
      <c r="AH181" s="92">
        <f t="shared" ref="AH181:AJ181" si="473">SUM(AH178:AH180)</f>
        <v>0</v>
      </c>
      <c r="AI181" s="92">
        <f t="shared" si="473"/>
        <v>0</v>
      </c>
      <c r="AJ181" s="92">
        <f t="shared" si="473"/>
        <v>33708</v>
      </c>
      <c r="AL181" s="92">
        <f>SUM(AL178:AL180)</f>
        <v>0</v>
      </c>
      <c r="AM181" s="92">
        <f>SUM(AM178:AM180)</f>
        <v>0</v>
      </c>
      <c r="AN181" s="92">
        <f t="shared" ref="AN181:AP181" si="474">SUM(AN178:AN180)</f>
        <v>0</v>
      </c>
      <c r="AO181" s="92">
        <f t="shared" si="474"/>
        <v>0</v>
      </c>
      <c r="AP181" s="92">
        <f t="shared" si="474"/>
        <v>0</v>
      </c>
      <c r="AR181" s="92">
        <f>SUM(AR178:AR180)</f>
        <v>16516.5</v>
      </c>
      <c r="AS181" s="92">
        <f>SUM(AS178:AS180)</f>
        <v>0</v>
      </c>
      <c r="AT181" s="92">
        <f t="shared" ref="AT181:AV181" si="475">SUM(AT178:AT180)</f>
        <v>0</v>
      </c>
      <c r="AU181" s="92">
        <f t="shared" si="475"/>
        <v>0</v>
      </c>
      <c r="AV181" s="92">
        <f t="shared" si="475"/>
        <v>16516.5</v>
      </c>
      <c r="AX181" s="92">
        <f>SUM(AX178:AX180)</f>
        <v>348931.31280000007</v>
      </c>
      <c r="AY181" s="92">
        <f>SUM(AY178:AY180)</f>
        <v>0</v>
      </c>
      <c r="AZ181" s="92">
        <f t="shared" ref="AZ181:BB181" si="476">SUM(AZ178:AZ180)</f>
        <v>0</v>
      </c>
      <c r="BA181" s="92">
        <f t="shared" si="476"/>
        <v>0</v>
      </c>
      <c r="BB181" s="92">
        <f t="shared" si="476"/>
        <v>348931.31280000007</v>
      </c>
    </row>
    <row r="182" spans="1:54" x14ac:dyDescent="0.25">
      <c r="A182" s="101" t="s">
        <v>153</v>
      </c>
      <c r="B182" s="96" t="str">
        <f>B1</f>
        <v>Operating</v>
      </c>
      <c r="C182" s="96" t="str">
        <f>C1</f>
        <v>Weights</v>
      </c>
      <c r="D182" s="96" t="str">
        <f>D1</f>
        <v>SPED</v>
      </c>
      <c r="E182" s="96" t="str">
        <f>E1</f>
        <v>NSLP</v>
      </c>
      <c r="F182" s="96" t="str">
        <f>F1</f>
        <v>Horizon</v>
      </c>
      <c r="H182" s="96" t="str">
        <f>H1</f>
        <v>Operating</v>
      </c>
      <c r="I182" s="96" t="str">
        <f>I1</f>
        <v>Weights</v>
      </c>
      <c r="J182" s="96" t="str">
        <f>J1</f>
        <v>SPED</v>
      </c>
      <c r="K182" s="96" t="str">
        <f>K1</f>
        <v>NSLP</v>
      </c>
      <c r="L182" s="96" t="str">
        <f>L1</f>
        <v>Cadence</v>
      </c>
      <c r="N182" s="96" t="str">
        <f>N1</f>
        <v>Operating</v>
      </c>
      <c r="O182" s="96" t="str">
        <f>O1</f>
        <v>Weights</v>
      </c>
      <c r="P182" s="96" t="str">
        <f>P1</f>
        <v>SPED</v>
      </c>
      <c r="Q182" s="96" t="str">
        <f>Q1</f>
        <v>NSLP</v>
      </c>
      <c r="R182" s="96" t="str">
        <f>R1</f>
        <v>St. Rose</v>
      </c>
      <c r="T182" s="96" t="str">
        <f>T1</f>
        <v>Operating</v>
      </c>
      <c r="U182" s="96" t="str">
        <f>U1</f>
        <v>Weights</v>
      </c>
      <c r="V182" s="96" t="str">
        <f>V1</f>
        <v>SPED</v>
      </c>
      <c r="W182" s="96" t="str">
        <f>W1</f>
        <v>NSLP</v>
      </c>
      <c r="X182" s="96" t="str">
        <f>X1</f>
        <v>Inspirada</v>
      </c>
      <c r="Z182" s="96" t="str">
        <f>Z1</f>
        <v>Operating</v>
      </c>
      <c r="AA182" s="96" t="str">
        <f>AA1</f>
        <v>Weights</v>
      </c>
      <c r="AB182" s="96" t="str">
        <f>AB1</f>
        <v>SPED</v>
      </c>
      <c r="AC182" s="96" t="str">
        <f>AC1</f>
        <v>NSLP</v>
      </c>
      <c r="AD182" s="96" t="str">
        <f>AD1</f>
        <v>Sloan Canyon</v>
      </c>
      <c r="AF182" s="96" t="str">
        <f>AF1</f>
        <v>Operating</v>
      </c>
      <c r="AG182" s="96" t="str">
        <f>AG1</f>
        <v>Weights</v>
      </c>
      <c r="AH182" s="96" t="str">
        <f>AH1</f>
        <v>SPED</v>
      </c>
      <c r="AI182" s="96" t="str">
        <f>AI1</f>
        <v>NSLP</v>
      </c>
      <c r="AJ182" s="96" t="str">
        <f>AJ1</f>
        <v>Springs</v>
      </c>
      <c r="AL182" s="96" t="str">
        <f>AL1</f>
        <v>Operating</v>
      </c>
      <c r="AM182" s="96" t="str">
        <f>AM1</f>
        <v>Weights</v>
      </c>
      <c r="AN182" s="96" t="str">
        <f>AN1</f>
        <v>SPED</v>
      </c>
      <c r="AO182" s="96" t="str">
        <f>AO1</f>
        <v>NSLP</v>
      </c>
      <c r="AP182" s="96" t="str">
        <f>AP1</f>
        <v>System Wide</v>
      </c>
      <c r="AR182" s="96" t="str">
        <f>AR1</f>
        <v>Operating</v>
      </c>
      <c r="AS182" s="96" t="str">
        <f>AS1</f>
        <v>Weights</v>
      </c>
      <c r="AT182" s="96" t="str">
        <f>AT1</f>
        <v>SPED</v>
      </c>
      <c r="AU182" s="96" t="str">
        <f>AU1</f>
        <v>NSLP</v>
      </c>
      <c r="AV182" s="96" t="str">
        <f>AV1</f>
        <v>Virtual</v>
      </c>
      <c r="AX182" s="96" t="str">
        <f>AX1</f>
        <v>Operating</v>
      </c>
      <c r="AY182" s="96" t="str">
        <f>AY1</f>
        <v>Weights</v>
      </c>
      <c r="AZ182" s="96" t="str">
        <f>AZ1</f>
        <v>SPED</v>
      </c>
      <c r="BA182" s="96" t="str">
        <f>BA1</f>
        <v>NSLP</v>
      </c>
      <c r="BB182" s="96" t="str">
        <f>BB1</f>
        <v>Pinecrest System</v>
      </c>
    </row>
    <row r="183" spans="1:54" x14ac:dyDescent="0.25">
      <c r="A183" s="62" t="s">
        <v>154</v>
      </c>
      <c r="B183" s="14">
        <f>(($C$19*B25)*3.56*180)</f>
        <v>0</v>
      </c>
      <c r="C183" s="142"/>
      <c r="D183" s="142"/>
      <c r="E183" s="14">
        <f>((B19*E25)*3.15*180)+1200</f>
        <v>202870.56</v>
      </c>
      <c r="F183" s="14">
        <f t="shared" ref="F183:F191" si="477">SUM(B183:E183)</f>
        <v>202870.56</v>
      </c>
      <c r="H183" s="14">
        <f>(($C$19*H25)*3.56*180)</f>
        <v>0</v>
      </c>
      <c r="I183" s="142"/>
      <c r="J183" s="142"/>
      <c r="K183" s="14">
        <f>((H19*K25)*3.1*180)+1200</f>
        <v>546700.80000000005</v>
      </c>
      <c r="L183" s="14">
        <f t="shared" ref="L183:L191" si="478">SUM(H183:K183)</f>
        <v>546700.80000000005</v>
      </c>
      <c r="N183" s="14">
        <f>(($C$19*N25)*3.56*180)</f>
        <v>0</v>
      </c>
      <c r="O183" s="142"/>
      <c r="P183" s="142"/>
      <c r="Q183" s="14">
        <f>((N19*Q25)*3.1*180)+1200</f>
        <v>171278.40000000002</v>
      </c>
      <c r="R183" s="14">
        <f t="shared" ref="R183:R191" si="479">SUM(N183:Q183)</f>
        <v>171278.40000000002</v>
      </c>
      <c r="T183" s="14">
        <f>(($C$19*T25)*3.56*180)</f>
        <v>0</v>
      </c>
      <c r="U183" s="142"/>
      <c r="V183" s="142"/>
      <c r="W183" s="14">
        <f>((T19*W25)*3.1*180)+1200</f>
        <v>102895.5</v>
      </c>
      <c r="X183" s="14">
        <f t="shared" ref="X183:X191" si="480">SUM(T183:W183)</f>
        <v>102895.5</v>
      </c>
      <c r="Z183" s="14">
        <f>(($C$19*Z25)*3.56*180)</f>
        <v>0</v>
      </c>
      <c r="AA183" s="142"/>
      <c r="AB183" s="142"/>
      <c r="AC183" s="14">
        <f>((Z19*AC25)*3.1*180)+1200</f>
        <v>327295.19999999995</v>
      </c>
      <c r="AD183" s="14">
        <f t="shared" ref="AD183:AD191" si="481">SUM(Z183:AC183)</f>
        <v>327295.19999999995</v>
      </c>
      <c r="AF183" s="14">
        <f>(($C$19*AF25)*3.56*180)</f>
        <v>0</v>
      </c>
      <c r="AG183" s="142"/>
      <c r="AH183" s="142"/>
      <c r="AI183" s="360">
        <f>((AF19*AI25)*3.22*180)+1200</f>
        <v>357306.24</v>
      </c>
      <c r="AJ183" s="14">
        <f t="shared" ref="AJ183:AJ191" si="482">SUM(AF183:AI183)</f>
        <v>357306.24</v>
      </c>
      <c r="AL183" s="14">
        <v>0</v>
      </c>
      <c r="AM183" s="142"/>
      <c r="AN183" s="142"/>
      <c r="AO183" s="14">
        <v>0</v>
      </c>
      <c r="AP183" s="14">
        <f t="shared" ref="AP183:AP191" si="483">SUM(AL183:AO183)</f>
        <v>0</v>
      </c>
      <c r="AR183" s="14">
        <f>(($C$19*AR25)*3.56*180)</f>
        <v>0</v>
      </c>
      <c r="AS183" s="142"/>
      <c r="AT183" s="142"/>
      <c r="AU183" s="14">
        <f>(AR19*AU25)*3.15*180+3200</f>
        <v>75776</v>
      </c>
      <c r="AV183" s="14">
        <f t="shared" ref="AV183:AV191" si="484">SUM(AR183:AU183)</f>
        <v>75776</v>
      </c>
      <c r="AX183" s="7">
        <f>B183+H183+N183+T183+Z183+AF183+AL183+AR183</f>
        <v>0</v>
      </c>
      <c r="AY183" s="7">
        <f t="shared" ref="AY183:BA191" si="485">C183+I183+O183+U183+AA183+AG183+AM183+AS183</f>
        <v>0</v>
      </c>
      <c r="AZ183" s="7">
        <f t="shared" si="485"/>
        <v>0</v>
      </c>
      <c r="BA183" s="7">
        <f t="shared" si="485"/>
        <v>1784122.7</v>
      </c>
      <c r="BB183" s="14">
        <f t="shared" ref="BB183:BB191" si="486">SUM(AX183:BA183)</f>
        <v>1784122.7</v>
      </c>
    </row>
    <row r="184" spans="1:54" x14ac:dyDescent="0.25">
      <c r="A184" s="62" t="s">
        <v>155</v>
      </c>
      <c r="B184" s="7">
        <v>5000</v>
      </c>
      <c r="C184" s="7"/>
      <c r="D184" s="7"/>
      <c r="E184" s="7"/>
      <c r="F184" s="14">
        <f t="shared" si="477"/>
        <v>5000</v>
      </c>
      <c r="H184" s="7">
        <v>5000</v>
      </c>
      <c r="I184" s="7"/>
      <c r="J184" s="7"/>
      <c r="K184" s="7"/>
      <c r="L184" s="14">
        <f t="shared" si="478"/>
        <v>5000</v>
      </c>
      <c r="N184" s="7">
        <v>5000</v>
      </c>
      <c r="O184" s="7"/>
      <c r="P184" s="7"/>
      <c r="Q184" s="7"/>
      <c r="R184" s="14">
        <f t="shared" si="479"/>
        <v>5000</v>
      </c>
      <c r="T184" s="7">
        <v>5000</v>
      </c>
      <c r="U184" s="7"/>
      <c r="V184" s="7"/>
      <c r="W184" s="7"/>
      <c r="X184" s="14">
        <f t="shared" si="480"/>
        <v>5000</v>
      </c>
      <c r="Z184" s="7">
        <v>5000</v>
      </c>
      <c r="AA184" s="7"/>
      <c r="AB184" s="7"/>
      <c r="AC184" s="7"/>
      <c r="AD184" s="14">
        <f t="shared" si="481"/>
        <v>5000</v>
      </c>
      <c r="AF184" s="7">
        <v>5000</v>
      </c>
      <c r="AG184" s="7"/>
      <c r="AH184" s="7"/>
      <c r="AI184" s="7"/>
      <c r="AJ184" s="14">
        <f t="shared" si="482"/>
        <v>5000</v>
      </c>
      <c r="AL184" s="14">
        <v>0</v>
      </c>
      <c r="AM184" s="7"/>
      <c r="AN184" s="7"/>
      <c r="AO184" s="7"/>
      <c r="AP184" s="14">
        <f t="shared" si="483"/>
        <v>0</v>
      </c>
      <c r="AR184" s="7">
        <v>8500</v>
      </c>
      <c r="AS184" s="7"/>
      <c r="AT184" s="7"/>
      <c r="AU184" s="7"/>
      <c r="AV184" s="14">
        <f t="shared" si="484"/>
        <v>8500</v>
      </c>
      <c r="AX184" s="7">
        <f t="shared" ref="AX184:AX191" si="487">B184+H184+N184+T184+Z184+AF184+AL184+AR184</f>
        <v>38500</v>
      </c>
      <c r="AY184" s="7">
        <f t="shared" si="485"/>
        <v>0</v>
      </c>
      <c r="AZ184" s="7">
        <f t="shared" si="485"/>
        <v>0</v>
      </c>
      <c r="BA184" s="7">
        <f t="shared" si="485"/>
        <v>0</v>
      </c>
      <c r="BB184" s="14">
        <f t="shared" si="486"/>
        <v>38500</v>
      </c>
    </row>
    <row r="185" spans="1:54" x14ac:dyDescent="0.25">
      <c r="A185" s="62" t="s">
        <v>156</v>
      </c>
      <c r="B185" s="7">
        <v>2000</v>
      </c>
      <c r="C185" s="7"/>
      <c r="D185" s="7"/>
      <c r="E185" s="7"/>
      <c r="F185" s="14">
        <f t="shared" si="477"/>
        <v>2000</v>
      </c>
      <c r="H185" s="7">
        <v>3000</v>
      </c>
      <c r="I185" s="7"/>
      <c r="J185" s="7"/>
      <c r="K185" s="7"/>
      <c r="L185" s="14">
        <f t="shared" si="478"/>
        <v>3000</v>
      </c>
      <c r="N185" s="7">
        <v>2100</v>
      </c>
      <c r="O185" s="7"/>
      <c r="P185" s="7"/>
      <c r="Q185" s="7"/>
      <c r="R185" s="14">
        <f t="shared" si="479"/>
        <v>2100</v>
      </c>
      <c r="T185" s="7">
        <v>2100</v>
      </c>
      <c r="U185" s="7"/>
      <c r="V185" s="7"/>
      <c r="W185" s="7"/>
      <c r="X185" s="14">
        <f t="shared" si="480"/>
        <v>2100</v>
      </c>
      <c r="Z185" s="7">
        <v>3000</v>
      </c>
      <c r="AA185" s="7"/>
      <c r="AB185" s="7"/>
      <c r="AC185" s="7"/>
      <c r="AD185" s="14">
        <f t="shared" si="481"/>
        <v>3000</v>
      </c>
      <c r="AF185" s="7">
        <v>3000</v>
      </c>
      <c r="AG185" s="7"/>
      <c r="AH185" s="7"/>
      <c r="AI185" s="7"/>
      <c r="AJ185" s="14">
        <f t="shared" si="482"/>
        <v>3000</v>
      </c>
      <c r="AL185" s="14">
        <v>0</v>
      </c>
      <c r="AM185" s="7"/>
      <c r="AN185" s="7"/>
      <c r="AO185" s="7"/>
      <c r="AP185" s="14">
        <f t="shared" si="483"/>
        <v>0</v>
      </c>
      <c r="AR185" s="7">
        <v>0</v>
      </c>
      <c r="AS185" s="7"/>
      <c r="AT185" s="7"/>
      <c r="AU185" s="7"/>
      <c r="AV185" s="14">
        <f t="shared" si="484"/>
        <v>0</v>
      </c>
      <c r="AX185" s="7">
        <f t="shared" si="487"/>
        <v>15200</v>
      </c>
      <c r="AY185" s="7">
        <f t="shared" si="485"/>
        <v>0</v>
      </c>
      <c r="AZ185" s="7">
        <f t="shared" si="485"/>
        <v>0</v>
      </c>
      <c r="BA185" s="7">
        <f t="shared" si="485"/>
        <v>0</v>
      </c>
      <c r="BB185" s="14">
        <f t="shared" si="486"/>
        <v>15200</v>
      </c>
    </row>
    <row r="186" spans="1:54" x14ac:dyDescent="0.25">
      <c r="A186" s="62" t="s">
        <v>157</v>
      </c>
      <c r="B186" s="7">
        <v>540</v>
      </c>
      <c r="C186" s="7"/>
      <c r="D186" s="7"/>
      <c r="E186" s="7"/>
      <c r="F186" s="14">
        <f t="shared" si="477"/>
        <v>540</v>
      </c>
      <c r="H186" s="7">
        <v>1350</v>
      </c>
      <c r="I186" s="7"/>
      <c r="J186" s="7"/>
      <c r="K186" s="7"/>
      <c r="L186" s="14">
        <f t="shared" si="478"/>
        <v>1350</v>
      </c>
      <c r="N186" s="7">
        <v>900</v>
      </c>
      <c r="O186" s="7"/>
      <c r="P186" s="7"/>
      <c r="Q186" s="7"/>
      <c r="R186" s="14">
        <f t="shared" si="479"/>
        <v>900</v>
      </c>
      <c r="T186" s="7">
        <v>900</v>
      </c>
      <c r="U186" s="7"/>
      <c r="V186" s="7"/>
      <c r="W186" s="7"/>
      <c r="X186" s="14">
        <f t="shared" si="480"/>
        <v>900</v>
      </c>
      <c r="Z186" s="7">
        <v>1350</v>
      </c>
      <c r="AA186" s="7"/>
      <c r="AB186" s="7"/>
      <c r="AC186" s="7"/>
      <c r="AD186" s="14">
        <f t="shared" si="481"/>
        <v>1350</v>
      </c>
      <c r="AF186" s="7">
        <v>1350</v>
      </c>
      <c r="AG186" s="7"/>
      <c r="AH186" s="7"/>
      <c r="AI186" s="7"/>
      <c r="AJ186" s="14">
        <f t="shared" si="482"/>
        <v>1350</v>
      </c>
      <c r="AL186" s="14">
        <v>0</v>
      </c>
      <c r="AM186" s="7"/>
      <c r="AN186" s="7"/>
      <c r="AO186" s="7"/>
      <c r="AP186" s="14">
        <f t="shared" si="483"/>
        <v>0</v>
      </c>
      <c r="AR186" s="7">
        <f>60*10</f>
        <v>600</v>
      </c>
      <c r="AS186" s="7"/>
      <c r="AT186" s="7"/>
      <c r="AU186" s="7"/>
      <c r="AV186" s="14">
        <f t="shared" si="484"/>
        <v>600</v>
      </c>
      <c r="AX186" s="7">
        <f t="shared" si="487"/>
        <v>6990</v>
      </c>
      <c r="AY186" s="7">
        <f t="shared" si="485"/>
        <v>0</v>
      </c>
      <c r="AZ186" s="7">
        <f t="shared" si="485"/>
        <v>0</v>
      </c>
      <c r="BA186" s="7">
        <f t="shared" si="485"/>
        <v>0</v>
      </c>
      <c r="BB186" s="14">
        <f t="shared" si="486"/>
        <v>6990</v>
      </c>
    </row>
    <row r="187" spans="1:54" x14ac:dyDescent="0.25">
      <c r="A187" s="62" t="s">
        <v>158</v>
      </c>
      <c r="B187" s="15">
        <v>12700</v>
      </c>
      <c r="C187" s="15"/>
      <c r="D187" s="15"/>
      <c r="E187" s="15"/>
      <c r="F187" s="14">
        <f t="shared" si="477"/>
        <v>12700</v>
      </c>
      <c r="H187" s="15">
        <v>12000</v>
      </c>
      <c r="I187" s="15"/>
      <c r="J187" s="15"/>
      <c r="K187" s="15"/>
      <c r="L187" s="14">
        <f t="shared" si="478"/>
        <v>12000</v>
      </c>
      <c r="N187" s="15">
        <v>12000</v>
      </c>
      <c r="O187" s="15"/>
      <c r="P187" s="15"/>
      <c r="Q187" s="15"/>
      <c r="R187" s="14">
        <f t="shared" si="479"/>
        <v>12000</v>
      </c>
      <c r="T187" s="15">
        <v>12000</v>
      </c>
      <c r="U187" s="15"/>
      <c r="V187" s="15"/>
      <c r="W187" s="15"/>
      <c r="X187" s="14">
        <f t="shared" si="480"/>
        <v>12000</v>
      </c>
      <c r="Z187" s="15">
        <v>12000</v>
      </c>
      <c r="AA187" s="15"/>
      <c r="AB187" s="15"/>
      <c r="AC187" s="15"/>
      <c r="AD187" s="14">
        <f t="shared" si="481"/>
        <v>12000</v>
      </c>
      <c r="AF187" s="15">
        <v>12000</v>
      </c>
      <c r="AG187" s="15"/>
      <c r="AH187" s="15"/>
      <c r="AI187" s="15"/>
      <c r="AJ187" s="14">
        <f t="shared" si="482"/>
        <v>12000</v>
      </c>
      <c r="AL187" s="14">
        <v>0</v>
      </c>
      <c r="AM187" s="15"/>
      <c r="AN187" s="15"/>
      <c r="AO187" s="15"/>
      <c r="AP187" s="14">
        <f t="shared" si="483"/>
        <v>0</v>
      </c>
      <c r="AR187" s="15">
        <v>9000</v>
      </c>
      <c r="AS187" s="15"/>
      <c r="AT187" s="15"/>
      <c r="AU187" s="15"/>
      <c r="AV187" s="14">
        <f t="shared" si="484"/>
        <v>9000</v>
      </c>
      <c r="AX187" s="7">
        <f t="shared" si="487"/>
        <v>81700</v>
      </c>
      <c r="AY187" s="7">
        <f t="shared" si="485"/>
        <v>0</v>
      </c>
      <c r="AZ187" s="7">
        <f t="shared" si="485"/>
        <v>0</v>
      </c>
      <c r="BA187" s="7">
        <f t="shared" si="485"/>
        <v>0</v>
      </c>
      <c r="BB187" s="14">
        <f t="shared" si="486"/>
        <v>81700</v>
      </c>
    </row>
    <row r="188" spans="1:54" x14ac:dyDescent="0.25">
      <c r="A188" s="62" t="s">
        <v>159</v>
      </c>
      <c r="B188" s="15">
        <v>0</v>
      </c>
      <c r="C188" s="148"/>
      <c r="D188" s="148"/>
      <c r="E188" s="148"/>
      <c r="F188" s="14">
        <f t="shared" si="477"/>
        <v>0</v>
      </c>
      <c r="H188" s="15">
        <v>0</v>
      </c>
      <c r="I188" s="148"/>
      <c r="J188" s="148"/>
      <c r="K188" s="148"/>
      <c r="L188" s="14">
        <f t="shared" si="478"/>
        <v>0</v>
      </c>
      <c r="N188" s="15">
        <v>0</v>
      </c>
      <c r="O188" s="148"/>
      <c r="P188" s="148"/>
      <c r="Q188" s="148"/>
      <c r="R188" s="14">
        <f t="shared" si="479"/>
        <v>0</v>
      </c>
      <c r="T188" s="15">
        <v>0</v>
      </c>
      <c r="U188" s="148"/>
      <c r="V188" s="148"/>
      <c r="W188" s="148"/>
      <c r="X188" s="14">
        <f t="shared" si="480"/>
        <v>0</v>
      </c>
      <c r="Z188" s="15">
        <v>0</v>
      </c>
      <c r="AA188" s="148"/>
      <c r="AB188" s="148"/>
      <c r="AC188" s="148"/>
      <c r="AD188" s="14">
        <f t="shared" si="481"/>
        <v>0</v>
      </c>
      <c r="AF188" s="15">
        <v>0</v>
      </c>
      <c r="AG188" s="148"/>
      <c r="AH188" s="148"/>
      <c r="AI188" s="148"/>
      <c r="AJ188" s="14">
        <f t="shared" si="482"/>
        <v>0</v>
      </c>
      <c r="AL188" s="14">
        <v>0</v>
      </c>
      <c r="AM188" s="148"/>
      <c r="AN188" s="148"/>
      <c r="AO188" s="148"/>
      <c r="AP188" s="14">
        <f t="shared" si="483"/>
        <v>0</v>
      </c>
      <c r="AR188" s="15">
        <v>0</v>
      </c>
      <c r="AS188" s="148"/>
      <c r="AT188" s="148"/>
      <c r="AU188" s="148"/>
      <c r="AV188" s="14">
        <f t="shared" si="484"/>
        <v>0</v>
      </c>
      <c r="AX188" s="7">
        <f t="shared" si="487"/>
        <v>0</v>
      </c>
      <c r="AY188" s="7">
        <f t="shared" si="485"/>
        <v>0</v>
      </c>
      <c r="AZ188" s="7">
        <f t="shared" si="485"/>
        <v>0</v>
      </c>
      <c r="BA188" s="7">
        <f t="shared" si="485"/>
        <v>0</v>
      </c>
      <c r="BB188" s="14">
        <f t="shared" si="486"/>
        <v>0</v>
      </c>
    </row>
    <row r="189" spans="1:54" x14ac:dyDescent="0.25">
      <c r="A189" s="62" t="s">
        <v>160</v>
      </c>
      <c r="B189" s="15">
        <v>0</v>
      </c>
      <c r="C189" s="15"/>
      <c r="D189" s="15"/>
      <c r="E189" s="15"/>
      <c r="F189" s="14">
        <f t="shared" si="477"/>
        <v>0</v>
      </c>
      <c r="H189" s="15">
        <v>0</v>
      </c>
      <c r="I189" s="15"/>
      <c r="J189" s="15"/>
      <c r="K189" s="15"/>
      <c r="L189" s="14">
        <f t="shared" si="478"/>
        <v>0</v>
      </c>
      <c r="N189" s="15">
        <v>0</v>
      </c>
      <c r="O189" s="15"/>
      <c r="P189" s="15"/>
      <c r="Q189" s="15"/>
      <c r="R189" s="14">
        <f t="shared" si="479"/>
        <v>0</v>
      </c>
      <c r="T189" s="15">
        <v>0</v>
      </c>
      <c r="U189" s="15"/>
      <c r="V189" s="15"/>
      <c r="W189" s="15"/>
      <c r="X189" s="14">
        <f t="shared" si="480"/>
        <v>0</v>
      </c>
      <c r="Z189" s="15">
        <v>0</v>
      </c>
      <c r="AA189" s="15"/>
      <c r="AB189" s="15"/>
      <c r="AC189" s="15"/>
      <c r="AD189" s="14">
        <f t="shared" si="481"/>
        <v>0</v>
      </c>
      <c r="AF189" s="15">
        <v>0</v>
      </c>
      <c r="AG189" s="15"/>
      <c r="AH189" s="15"/>
      <c r="AI189" s="15"/>
      <c r="AJ189" s="14">
        <f t="shared" si="482"/>
        <v>0</v>
      </c>
      <c r="AL189" s="14">
        <v>0</v>
      </c>
      <c r="AM189" s="15"/>
      <c r="AN189" s="15"/>
      <c r="AO189" s="15"/>
      <c r="AP189" s="14">
        <f t="shared" si="483"/>
        <v>0</v>
      </c>
      <c r="AR189" s="15">
        <v>0</v>
      </c>
      <c r="AS189" s="15"/>
      <c r="AT189" s="15"/>
      <c r="AU189" s="15"/>
      <c r="AV189" s="14">
        <f t="shared" si="484"/>
        <v>0</v>
      </c>
      <c r="AX189" s="7">
        <f t="shared" si="487"/>
        <v>0</v>
      </c>
      <c r="AY189" s="7">
        <f t="shared" si="485"/>
        <v>0</v>
      </c>
      <c r="AZ189" s="7">
        <f t="shared" si="485"/>
        <v>0</v>
      </c>
      <c r="BA189" s="7">
        <f t="shared" si="485"/>
        <v>0</v>
      </c>
      <c r="BB189" s="14">
        <f t="shared" si="486"/>
        <v>0</v>
      </c>
    </row>
    <row r="190" spans="1:54" x14ac:dyDescent="0.25">
      <c r="A190" s="62" t="s">
        <v>161</v>
      </c>
      <c r="B190" s="15">
        <v>0</v>
      </c>
      <c r="C190" s="15"/>
      <c r="D190" s="15"/>
      <c r="E190" s="15"/>
      <c r="F190" s="14">
        <f t="shared" si="477"/>
        <v>0</v>
      </c>
      <c r="H190" s="15">
        <f>'FY25'!H190+1000</f>
        <v>18000</v>
      </c>
      <c r="I190" s="15"/>
      <c r="J190" s="15"/>
      <c r="K190" s="15"/>
      <c r="L190" s="14">
        <f t="shared" si="478"/>
        <v>18000</v>
      </c>
      <c r="N190" s="15">
        <v>0</v>
      </c>
      <c r="O190" s="15"/>
      <c r="P190" s="15"/>
      <c r="Q190" s="15"/>
      <c r="R190" s="14">
        <f t="shared" si="479"/>
        <v>0</v>
      </c>
      <c r="T190" s="15">
        <v>0</v>
      </c>
      <c r="U190" s="15"/>
      <c r="V190" s="15"/>
      <c r="W190" s="15"/>
      <c r="X190" s="14">
        <f t="shared" si="480"/>
        <v>0</v>
      </c>
      <c r="Z190" s="15">
        <f>'FY25'!Z190+1000</f>
        <v>18000</v>
      </c>
      <c r="AA190" s="15"/>
      <c r="AB190" s="15"/>
      <c r="AC190" s="15"/>
      <c r="AD190" s="14">
        <f t="shared" si="481"/>
        <v>18000</v>
      </c>
      <c r="AF190" s="7">
        <v>0</v>
      </c>
      <c r="AG190" s="15"/>
      <c r="AH190" s="15"/>
      <c r="AI190" s="15"/>
      <c r="AJ190" s="14">
        <f t="shared" si="482"/>
        <v>0</v>
      </c>
      <c r="AL190" s="14">
        <v>0</v>
      </c>
      <c r="AM190" s="15"/>
      <c r="AN190" s="15"/>
      <c r="AO190" s="15"/>
      <c r="AP190" s="14">
        <f t="shared" si="483"/>
        <v>0</v>
      </c>
      <c r="AR190" s="15">
        <v>0</v>
      </c>
      <c r="AS190" s="15"/>
      <c r="AT190" s="15"/>
      <c r="AU190" s="15"/>
      <c r="AV190" s="14">
        <f t="shared" si="484"/>
        <v>0</v>
      </c>
      <c r="AX190" s="7">
        <f t="shared" si="487"/>
        <v>36000</v>
      </c>
      <c r="AY190" s="7">
        <f t="shared" si="485"/>
        <v>0</v>
      </c>
      <c r="AZ190" s="7">
        <f t="shared" si="485"/>
        <v>0</v>
      </c>
      <c r="BA190" s="7">
        <f t="shared" si="485"/>
        <v>0</v>
      </c>
      <c r="BB190" s="14">
        <f t="shared" si="486"/>
        <v>36000</v>
      </c>
    </row>
    <row r="191" spans="1:54" ht="15.75" thickBot="1" x14ac:dyDescent="0.3">
      <c r="A191" s="62" t="s">
        <v>162</v>
      </c>
      <c r="B191" s="7">
        <v>1000</v>
      </c>
      <c r="C191" s="7"/>
      <c r="D191" s="7"/>
      <c r="E191" s="7"/>
      <c r="F191" s="14">
        <f t="shared" si="477"/>
        <v>1000</v>
      </c>
      <c r="H191" s="7">
        <v>3000</v>
      </c>
      <c r="I191" s="7"/>
      <c r="J191" s="7"/>
      <c r="K191" s="7"/>
      <c r="L191" s="14">
        <f t="shared" si="478"/>
        <v>3000</v>
      </c>
      <c r="N191" s="7">
        <v>2000</v>
      </c>
      <c r="O191" s="7"/>
      <c r="P191" s="7"/>
      <c r="Q191" s="7"/>
      <c r="R191" s="14">
        <f t="shared" si="479"/>
        <v>2000</v>
      </c>
      <c r="T191" s="7">
        <v>2000</v>
      </c>
      <c r="U191" s="7"/>
      <c r="V191" s="7"/>
      <c r="W191" s="7"/>
      <c r="X191" s="14">
        <f t="shared" si="480"/>
        <v>2000</v>
      </c>
      <c r="Z191" s="7">
        <v>2000</v>
      </c>
      <c r="AA191" s="7"/>
      <c r="AB191" s="7"/>
      <c r="AC191" s="7"/>
      <c r="AD191" s="14">
        <f t="shared" si="481"/>
        <v>2000</v>
      </c>
      <c r="AF191" s="7">
        <v>2000</v>
      </c>
      <c r="AG191" s="7"/>
      <c r="AH191" s="7"/>
      <c r="AI191" s="7"/>
      <c r="AJ191" s="14">
        <f t="shared" si="482"/>
        <v>2000</v>
      </c>
      <c r="AL191" s="14">
        <v>0</v>
      </c>
      <c r="AM191" s="7"/>
      <c r="AN191" s="7"/>
      <c r="AO191" s="7"/>
      <c r="AP191" s="14">
        <f t="shared" si="483"/>
        <v>0</v>
      </c>
      <c r="AR191" s="7">
        <v>2500</v>
      </c>
      <c r="AS191" s="7"/>
      <c r="AT191" s="7"/>
      <c r="AU191" s="7"/>
      <c r="AV191" s="14">
        <f t="shared" si="484"/>
        <v>2500</v>
      </c>
      <c r="AX191" s="7">
        <f t="shared" si="487"/>
        <v>14500</v>
      </c>
      <c r="AY191" s="7">
        <f t="shared" si="485"/>
        <v>0</v>
      </c>
      <c r="AZ191" s="7">
        <f t="shared" si="485"/>
        <v>0</v>
      </c>
      <c r="BA191" s="7">
        <f t="shared" si="485"/>
        <v>0</v>
      </c>
      <c r="BB191" s="14">
        <f t="shared" si="486"/>
        <v>14500</v>
      </c>
    </row>
    <row r="192" spans="1:54" ht="15.75" thickBot="1" x14ac:dyDescent="0.3">
      <c r="A192" s="95" t="s">
        <v>163</v>
      </c>
      <c r="B192" s="92">
        <f>SUM(B183:B191)</f>
        <v>21240</v>
      </c>
      <c r="C192" s="92">
        <f>SUM(C183:C191)</f>
        <v>0</v>
      </c>
      <c r="D192" s="92">
        <f t="shared" ref="D192:F192" si="488">SUM(D183:D191)</f>
        <v>0</v>
      </c>
      <c r="E192" s="92">
        <f t="shared" si="488"/>
        <v>202870.56</v>
      </c>
      <c r="F192" s="92">
        <f t="shared" si="488"/>
        <v>224110.56</v>
      </c>
      <c r="H192" s="92">
        <f>SUM(H183:H191)</f>
        <v>42350</v>
      </c>
      <c r="I192" s="92">
        <f>SUM(I183:I191)</f>
        <v>0</v>
      </c>
      <c r="J192" s="92">
        <f t="shared" ref="J192:L192" si="489">SUM(J183:J191)</f>
        <v>0</v>
      </c>
      <c r="K192" s="92">
        <f t="shared" si="489"/>
        <v>546700.80000000005</v>
      </c>
      <c r="L192" s="92">
        <f t="shared" si="489"/>
        <v>589050.80000000005</v>
      </c>
      <c r="N192" s="92">
        <f>SUM(N183:N191)</f>
        <v>22000</v>
      </c>
      <c r="O192" s="92">
        <f>SUM(O183:O191)</f>
        <v>0</v>
      </c>
      <c r="P192" s="92">
        <f t="shared" ref="P192:R192" si="490">SUM(P183:P191)</f>
        <v>0</v>
      </c>
      <c r="Q192" s="92">
        <f t="shared" si="490"/>
        <v>171278.40000000002</v>
      </c>
      <c r="R192" s="92">
        <f t="shared" si="490"/>
        <v>193278.40000000002</v>
      </c>
      <c r="T192" s="92">
        <f>SUM(T183:T191)</f>
        <v>22000</v>
      </c>
      <c r="U192" s="92">
        <f>SUM(U183:U191)</f>
        <v>0</v>
      </c>
      <c r="V192" s="92">
        <f t="shared" ref="V192:X192" si="491">SUM(V183:V191)</f>
        <v>0</v>
      </c>
      <c r="W192" s="92">
        <f t="shared" si="491"/>
        <v>102895.5</v>
      </c>
      <c r="X192" s="92">
        <f t="shared" si="491"/>
        <v>124895.5</v>
      </c>
      <c r="Z192" s="92">
        <f>SUM(Z183:Z191)</f>
        <v>41350</v>
      </c>
      <c r="AA192" s="92">
        <f>SUM(AA183:AA191)</f>
        <v>0</v>
      </c>
      <c r="AB192" s="92">
        <f t="shared" ref="AB192:AD192" si="492">SUM(AB183:AB191)</f>
        <v>0</v>
      </c>
      <c r="AC192" s="92">
        <f t="shared" si="492"/>
        <v>327295.19999999995</v>
      </c>
      <c r="AD192" s="92">
        <f t="shared" si="492"/>
        <v>368645.19999999995</v>
      </c>
      <c r="AF192" s="92">
        <f>SUM(AF183:AF191)</f>
        <v>23350</v>
      </c>
      <c r="AG192" s="92">
        <f>SUM(AG183:AG191)</f>
        <v>0</v>
      </c>
      <c r="AH192" s="92">
        <f t="shared" ref="AH192:AJ192" si="493">SUM(AH183:AH191)</f>
        <v>0</v>
      </c>
      <c r="AI192" s="92">
        <f t="shared" si="493"/>
        <v>357306.24</v>
      </c>
      <c r="AJ192" s="92">
        <f t="shared" si="493"/>
        <v>380656.24</v>
      </c>
      <c r="AL192" s="92">
        <f>SUM(AL183:AL191)</f>
        <v>0</v>
      </c>
      <c r="AM192" s="92">
        <f>SUM(AM183:AM191)</f>
        <v>0</v>
      </c>
      <c r="AN192" s="92">
        <f t="shared" ref="AN192:AP192" si="494">SUM(AN183:AN191)</f>
        <v>0</v>
      </c>
      <c r="AO192" s="92">
        <f t="shared" si="494"/>
        <v>0</v>
      </c>
      <c r="AP192" s="92">
        <f t="shared" si="494"/>
        <v>0</v>
      </c>
      <c r="AR192" s="92">
        <f>SUM(AR183:AR191)</f>
        <v>20600</v>
      </c>
      <c r="AS192" s="92">
        <f>SUM(AS183:AS191)</f>
        <v>0</v>
      </c>
      <c r="AT192" s="92">
        <f t="shared" ref="AT192:AV192" si="495">SUM(AT183:AT191)</f>
        <v>0</v>
      </c>
      <c r="AU192" s="92">
        <f t="shared" si="495"/>
        <v>75776</v>
      </c>
      <c r="AV192" s="92">
        <f t="shared" si="495"/>
        <v>96376</v>
      </c>
      <c r="AX192" s="92">
        <f>SUM(AX183:AX191)</f>
        <v>192890</v>
      </c>
      <c r="AY192" s="92">
        <f>SUM(AY183:AY191)</f>
        <v>0</v>
      </c>
      <c r="AZ192" s="92">
        <f t="shared" ref="AZ192:BB192" si="496">SUM(AZ183:AZ191)</f>
        <v>0</v>
      </c>
      <c r="BA192" s="92">
        <f t="shared" si="496"/>
        <v>1784122.7</v>
      </c>
      <c r="BB192" s="92">
        <f t="shared" si="496"/>
        <v>1977012.7</v>
      </c>
    </row>
    <row r="193" spans="1:54" x14ac:dyDescent="0.25">
      <c r="A193" s="101" t="s">
        <v>164</v>
      </c>
      <c r="B193" s="77" t="str">
        <f>B182</f>
        <v>Operating</v>
      </c>
      <c r="C193" s="77" t="str">
        <f>C182</f>
        <v>Weights</v>
      </c>
      <c r="D193" s="77" t="str">
        <f>D182</f>
        <v>SPED</v>
      </c>
      <c r="E193" s="77" t="str">
        <f t="shared" ref="E193:F193" si="497">E182</f>
        <v>NSLP</v>
      </c>
      <c r="F193" s="77" t="str">
        <f t="shared" si="497"/>
        <v>Horizon</v>
      </c>
      <c r="H193" s="77" t="str">
        <f>H182</f>
        <v>Operating</v>
      </c>
      <c r="I193" s="77" t="str">
        <f>I182</f>
        <v>Weights</v>
      </c>
      <c r="J193" s="77" t="str">
        <f>J182</f>
        <v>SPED</v>
      </c>
      <c r="K193" s="77" t="str">
        <f t="shared" ref="K193:L193" si="498">K182</f>
        <v>NSLP</v>
      </c>
      <c r="L193" s="77" t="str">
        <f t="shared" si="498"/>
        <v>Cadence</v>
      </c>
      <c r="N193" s="77" t="str">
        <f>N182</f>
        <v>Operating</v>
      </c>
      <c r="O193" s="77" t="str">
        <f>O182</f>
        <v>Weights</v>
      </c>
      <c r="P193" s="77" t="str">
        <f>P182</f>
        <v>SPED</v>
      </c>
      <c r="Q193" s="77" t="str">
        <f t="shared" ref="Q193:R193" si="499">Q182</f>
        <v>NSLP</v>
      </c>
      <c r="R193" s="77" t="str">
        <f t="shared" si="499"/>
        <v>St. Rose</v>
      </c>
      <c r="T193" s="77" t="str">
        <f>T182</f>
        <v>Operating</v>
      </c>
      <c r="U193" s="77" t="str">
        <f>U182</f>
        <v>Weights</v>
      </c>
      <c r="V193" s="77" t="str">
        <f>V182</f>
        <v>SPED</v>
      </c>
      <c r="W193" s="77" t="str">
        <f t="shared" ref="W193:X193" si="500">W182</f>
        <v>NSLP</v>
      </c>
      <c r="X193" s="77" t="str">
        <f t="shared" si="500"/>
        <v>Inspirada</v>
      </c>
      <c r="Z193" s="77" t="str">
        <f>Z182</f>
        <v>Operating</v>
      </c>
      <c r="AA193" s="77" t="str">
        <f>AA182</f>
        <v>Weights</v>
      </c>
      <c r="AB193" s="77" t="str">
        <f>AB182</f>
        <v>SPED</v>
      </c>
      <c r="AC193" s="77" t="str">
        <f t="shared" ref="AC193:AD193" si="501">AC182</f>
        <v>NSLP</v>
      </c>
      <c r="AD193" s="77" t="str">
        <f t="shared" si="501"/>
        <v>Sloan Canyon</v>
      </c>
      <c r="AF193" s="77" t="str">
        <f>AF182</f>
        <v>Operating</v>
      </c>
      <c r="AG193" s="77" t="str">
        <f>AG182</f>
        <v>Weights</v>
      </c>
      <c r="AH193" s="77" t="str">
        <f>AH182</f>
        <v>SPED</v>
      </c>
      <c r="AI193" s="77" t="str">
        <f t="shared" ref="AI193:AJ193" si="502">AI182</f>
        <v>NSLP</v>
      </c>
      <c r="AJ193" s="77" t="str">
        <f t="shared" si="502"/>
        <v>Springs</v>
      </c>
      <c r="AL193" s="77" t="str">
        <f>AL182</f>
        <v>Operating</v>
      </c>
      <c r="AM193" s="77" t="str">
        <f>AM182</f>
        <v>Weights</v>
      </c>
      <c r="AN193" s="77" t="str">
        <f>AN182</f>
        <v>SPED</v>
      </c>
      <c r="AO193" s="77" t="str">
        <f t="shared" ref="AO193:AP193" si="503">AO182</f>
        <v>NSLP</v>
      </c>
      <c r="AP193" s="77" t="str">
        <f t="shared" si="503"/>
        <v>System Wide</v>
      </c>
      <c r="AR193" s="77" t="str">
        <f>AR182</f>
        <v>Operating</v>
      </c>
      <c r="AS193" s="77" t="str">
        <f>AS182</f>
        <v>Weights</v>
      </c>
      <c r="AT193" s="77" t="str">
        <f>AT182</f>
        <v>SPED</v>
      </c>
      <c r="AU193" s="77" t="str">
        <f t="shared" ref="AU193:AV193" si="504">AU182</f>
        <v>NSLP</v>
      </c>
      <c r="AV193" s="77" t="str">
        <f t="shared" si="504"/>
        <v>Virtual</v>
      </c>
      <c r="AX193" s="77" t="str">
        <f>AX182</f>
        <v>Operating</v>
      </c>
      <c r="AY193" s="77" t="str">
        <f>AY182</f>
        <v>Weights</v>
      </c>
      <c r="AZ193" s="77" t="str">
        <f>AZ182</f>
        <v>SPED</v>
      </c>
      <c r="BA193" s="77" t="str">
        <f t="shared" ref="BA193:BB193" si="505">BA182</f>
        <v>NSLP</v>
      </c>
      <c r="BB193" s="77" t="str">
        <f t="shared" si="505"/>
        <v>Pinecrest System</v>
      </c>
    </row>
    <row r="194" spans="1:54" x14ac:dyDescent="0.25">
      <c r="A194" s="62" t="s">
        <v>165</v>
      </c>
      <c r="B194" s="15">
        <f>'FY25'!B194*1.03</f>
        <v>89822.159400000004</v>
      </c>
      <c r="C194" s="61"/>
      <c r="D194" s="61"/>
      <c r="E194" s="61"/>
      <c r="F194" s="61">
        <f t="shared" ref="F194:F204" si="506">SUM(B194:E194)</f>
        <v>89822.159400000004</v>
      </c>
      <c r="H194" s="15">
        <f>'FY25'!H194*1.03</f>
        <v>233843.57800000001</v>
      </c>
      <c r="I194" s="61"/>
      <c r="J194" s="61"/>
      <c r="K194" s="61"/>
      <c r="L194" s="61">
        <f t="shared" ref="L194:L204" si="507">SUM(H194:K194)</f>
        <v>233843.57800000001</v>
      </c>
      <c r="N194" s="15">
        <f>'FY25'!N194*1.03</f>
        <v>66874.892399999997</v>
      </c>
      <c r="O194" s="61"/>
      <c r="P194" s="61"/>
      <c r="Q194" s="61"/>
      <c r="R194" s="61">
        <f t="shared" ref="R194:R204" si="508">SUM(N194:Q194)</f>
        <v>66874.892399999997</v>
      </c>
      <c r="T194" s="15">
        <f>'FY25'!T194*1.03</f>
        <v>80315.434500000018</v>
      </c>
      <c r="U194" s="61"/>
      <c r="V194" s="61"/>
      <c r="W194" s="61"/>
      <c r="X194" s="61">
        <f t="shared" ref="X194:X204" si="509">SUM(T194:W194)</f>
        <v>80315.434500000018</v>
      </c>
      <c r="Z194" s="15">
        <f>'FY25'!Z194*1.02</f>
        <v>230396.58000000002</v>
      </c>
      <c r="AA194" s="61"/>
      <c r="AB194" s="61"/>
      <c r="AC194" s="61"/>
      <c r="AD194" s="61">
        <f t="shared" ref="AD194:AD204" si="510">SUM(Z194:AC194)</f>
        <v>230396.58000000002</v>
      </c>
      <c r="AF194" s="15">
        <f>'FY25'!AF194*1.02</f>
        <v>81151.199999999997</v>
      </c>
      <c r="AG194" s="61"/>
      <c r="AH194" s="61"/>
      <c r="AI194" s="61"/>
      <c r="AJ194" s="61">
        <f t="shared" ref="AJ194:AJ204" si="511">SUM(AF194:AI194)</f>
        <v>81151.199999999997</v>
      </c>
      <c r="AL194" s="61">
        <v>0</v>
      </c>
      <c r="AM194" s="61"/>
      <c r="AN194" s="61"/>
      <c r="AO194" s="61"/>
      <c r="AP194" s="61">
        <f t="shared" ref="AP194:AP204" si="512">SUM(AL194:AO194)</f>
        <v>0</v>
      </c>
      <c r="AR194" s="61">
        <v>0</v>
      </c>
      <c r="AS194" s="61"/>
      <c r="AT194" s="61"/>
      <c r="AU194" s="61"/>
      <c r="AV194" s="61">
        <f t="shared" ref="AV194:AV204" si="513">SUM(AR194:AU194)</f>
        <v>0</v>
      </c>
      <c r="AX194" s="7">
        <f>B194+H194+N194+T194+Z194+AF194+AL194+AR194</f>
        <v>782403.8443</v>
      </c>
      <c r="AY194" s="7">
        <f t="shared" ref="AY194:BA204" si="514">C194+I194+O194+U194+AA194+AG194+AM194+AS194</f>
        <v>0</v>
      </c>
      <c r="AZ194" s="7">
        <f t="shared" si="514"/>
        <v>0</v>
      </c>
      <c r="BA194" s="7">
        <f t="shared" si="514"/>
        <v>0</v>
      </c>
      <c r="BB194" s="61">
        <f t="shared" ref="BB194:BB204" si="515">SUM(AX194:BA194)</f>
        <v>782403.8443</v>
      </c>
    </row>
    <row r="195" spans="1:54" x14ac:dyDescent="0.25">
      <c r="A195" s="62" t="s">
        <v>166</v>
      </c>
      <c r="B195" s="15">
        <f>'FY25'!B195*1.03</f>
        <v>5835.1621800000003</v>
      </c>
      <c r="C195" s="15"/>
      <c r="D195" s="15"/>
      <c r="E195" s="15"/>
      <c r="F195" s="61">
        <f t="shared" si="506"/>
        <v>5835.1621800000003</v>
      </c>
      <c r="H195" s="15">
        <f>'FY25'!H195*1.03</f>
        <v>0</v>
      </c>
      <c r="I195" s="15"/>
      <c r="J195" s="15"/>
      <c r="K195" s="15"/>
      <c r="L195" s="61">
        <f t="shared" si="507"/>
        <v>0</v>
      </c>
      <c r="N195" s="15">
        <f>'FY25'!N195*1.03</f>
        <v>0</v>
      </c>
      <c r="O195" s="15"/>
      <c r="P195" s="15"/>
      <c r="Q195" s="15"/>
      <c r="R195" s="61">
        <f t="shared" si="508"/>
        <v>0</v>
      </c>
      <c r="T195" s="15">
        <f>'FY25'!T195*1.03</f>
        <v>0</v>
      </c>
      <c r="U195" s="15"/>
      <c r="V195" s="15"/>
      <c r="W195" s="15"/>
      <c r="X195" s="61">
        <f t="shared" si="509"/>
        <v>0</v>
      </c>
      <c r="Z195" s="15">
        <f>'FY25'!Z195*1.02</f>
        <v>0</v>
      </c>
      <c r="AA195" s="15"/>
      <c r="AB195" s="15"/>
      <c r="AC195" s="15"/>
      <c r="AD195" s="61">
        <f t="shared" si="510"/>
        <v>0</v>
      </c>
      <c r="AF195" s="15">
        <f>'FY25'!AF195*1.02</f>
        <v>0</v>
      </c>
      <c r="AG195" s="15"/>
      <c r="AH195" s="15"/>
      <c r="AI195" s="15"/>
      <c r="AJ195" s="61">
        <f t="shared" si="511"/>
        <v>0</v>
      </c>
      <c r="AL195" s="61">
        <v>0</v>
      </c>
      <c r="AM195" s="15"/>
      <c r="AN195" s="15"/>
      <c r="AO195" s="15"/>
      <c r="AP195" s="61">
        <f t="shared" si="512"/>
        <v>0</v>
      </c>
      <c r="AR195" s="61">
        <v>0</v>
      </c>
      <c r="AS195" s="15"/>
      <c r="AT195" s="15"/>
      <c r="AU195" s="15"/>
      <c r="AV195" s="61">
        <f t="shared" si="513"/>
        <v>0</v>
      </c>
      <c r="AX195" s="7">
        <f t="shared" ref="AX195:AX204" si="516">B195+H195+N195+T195+Z195+AF195+AL195+AR195</f>
        <v>5835.1621800000003</v>
      </c>
      <c r="AY195" s="7">
        <f t="shared" si="514"/>
        <v>0</v>
      </c>
      <c r="AZ195" s="7">
        <f t="shared" si="514"/>
        <v>0</v>
      </c>
      <c r="BA195" s="7">
        <f t="shared" si="514"/>
        <v>0</v>
      </c>
      <c r="BB195" s="61">
        <f t="shared" si="515"/>
        <v>5835.1621800000003</v>
      </c>
    </row>
    <row r="196" spans="1:54" x14ac:dyDescent="0.25">
      <c r="A196" s="62" t="s">
        <v>167</v>
      </c>
      <c r="B196" s="15">
        <f>'FY25'!B196*1.03</f>
        <v>24586.357500000002</v>
      </c>
      <c r="C196" s="7"/>
      <c r="D196" s="7"/>
      <c r="E196" s="7"/>
      <c r="F196" s="61">
        <f t="shared" si="506"/>
        <v>24586.357500000002</v>
      </c>
      <c r="H196" s="15">
        <f>'FY25'!H196*1.03</f>
        <v>41042.826120000005</v>
      </c>
      <c r="I196" s="7"/>
      <c r="J196" s="7"/>
      <c r="K196" s="7"/>
      <c r="L196" s="61">
        <f t="shared" si="507"/>
        <v>41042.826120000005</v>
      </c>
      <c r="N196" s="15">
        <f>'FY25'!N196*1.03</f>
        <v>19669.086000000003</v>
      </c>
      <c r="O196" s="7"/>
      <c r="P196" s="7"/>
      <c r="Q196" s="7"/>
      <c r="R196" s="61">
        <f t="shared" si="508"/>
        <v>19669.086000000003</v>
      </c>
      <c r="T196" s="15">
        <f>'FY25'!T196*1.03</f>
        <v>17702.1774</v>
      </c>
      <c r="U196" s="7"/>
      <c r="V196" s="7"/>
      <c r="W196" s="7"/>
      <c r="X196" s="61">
        <f t="shared" si="509"/>
        <v>17702.1774</v>
      </c>
      <c r="Z196" s="15">
        <f>'FY25'!Z196*1.02</f>
        <v>40249.746720000003</v>
      </c>
      <c r="AA196" s="7"/>
      <c r="AB196" s="7"/>
      <c r="AC196" s="7"/>
      <c r="AD196" s="61">
        <f t="shared" si="510"/>
        <v>40249.746720000003</v>
      </c>
      <c r="AF196" s="15">
        <f>'FY25'!AF196*1.02</f>
        <v>21224.16</v>
      </c>
      <c r="AG196" s="7"/>
      <c r="AH196" s="7"/>
      <c r="AI196" s="7"/>
      <c r="AJ196" s="61">
        <f t="shared" si="511"/>
        <v>21224.16</v>
      </c>
      <c r="AL196" s="61">
        <v>0</v>
      </c>
      <c r="AM196" s="7"/>
      <c r="AN196" s="7"/>
      <c r="AO196" s="7"/>
      <c r="AP196" s="61">
        <f t="shared" si="512"/>
        <v>0</v>
      </c>
      <c r="AR196" s="61">
        <v>0</v>
      </c>
      <c r="AS196" s="7"/>
      <c r="AT196" s="7"/>
      <c r="AU196" s="7"/>
      <c r="AV196" s="61">
        <f t="shared" si="513"/>
        <v>0</v>
      </c>
      <c r="AX196" s="7">
        <f t="shared" si="516"/>
        <v>164474.35374000002</v>
      </c>
      <c r="AY196" s="7">
        <f t="shared" si="514"/>
        <v>0</v>
      </c>
      <c r="AZ196" s="7">
        <f t="shared" si="514"/>
        <v>0</v>
      </c>
      <c r="BA196" s="7">
        <f t="shared" si="514"/>
        <v>0</v>
      </c>
      <c r="BB196" s="61">
        <f t="shared" si="515"/>
        <v>164474.35374000002</v>
      </c>
    </row>
    <row r="197" spans="1:54" x14ac:dyDescent="0.25">
      <c r="A197" s="62" t="s">
        <v>168</v>
      </c>
      <c r="B197" s="15">
        <f>'FY25'!B197*1.03</f>
        <v>16849.850340000001</v>
      </c>
      <c r="C197" s="7"/>
      <c r="D197" s="7"/>
      <c r="E197" s="7"/>
      <c r="F197" s="61">
        <f t="shared" si="506"/>
        <v>16849.850340000001</v>
      </c>
      <c r="H197" s="15">
        <f>'FY25'!H197*1.03</f>
        <v>52450.896000000008</v>
      </c>
      <c r="I197" s="7"/>
      <c r="J197" s="7"/>
      <c r="K197" s="7"/>
      <c r="L197" s="61">
        <f t="shared" si="507"/>
        <v>52450.896000000008</v>
      </c>
      <c r="N197" s="15">
        <f>'FY25'!N197*1.03</f>
        <v>15735.268800000002</v>
      </c>
      <c r="O197" s="7"/>
      <c r="P197" s="7"/>
      <c r="Q197" s="7"/>
      <c r="R197" s="61">
        <f t="shared" si="508"/>
        <v>15735.268800000002</v>
      </c>
      <c r="T197" s="15">
        <f>'FY25'!T197*1.03</f>
        <v>32126.1738</v>
      </c>
      <c r="U197" s="7"/>
      <c r="V197" s="7"/>
      <c r="W197" s="7"/>
      <c r="X197" s="61">
        <f t="shared" si="509"/>
        <v>32126.1738</v>
      </c>
      <c r="Z197" s="15">
        <f>'FY25'!Z197*1.02</f>
        <v>51437.376000000004</v>
      </c>
      <c r="AA197" s="7"/>
      <c r="AB197" s="7"/>
      <c r="AC197" s="7"/>
      <c r="AD197" s="61">
        <f t="shared" si="510"/>
        <v>51437.376000000004</v>
      </c>
      <c r="AF197" s="15">
        <f>'FY25'!AF197*1.02</f>
        <v>12484.800000000001</v>
      </c>
      <c r="AG197" s="7"/>
      <c r="AH197" s="7"/>
      <c r="AI197" s="7"/>
      <c r="AJ197" s="61">
        <f t="shared" si="511"/>
        <v>12484.800000000001</v>
      </c>
      <c r="AL197" s="61">
        <v>0</v>
      </c>
      <c r="AM197" s="7"/>
      <c r="AN197" s="7"/>
      <c r="AO197" s="7"/>
      <c r="AP197" s="61">
        <f t="shared" si="512"/>
        <v>0</v>
      </c>
      <c r="AR197" s="61">
        <v>0</v>
      </c>
      <c r="AS197" s="7"/>
      <c r="AT197" s="7"/>
      <c r="AU197" s="7"/>
      <c r="AV197" s="61">
        <f t="shared" si="513"/>
        <v>0</v>
      </c>
      <c r="AX197" s="7">
        <f t="shared" si="516"/>
        <v>181084.36494</v>
      </c>
      <c r="AY197" s="7">
        <f t="shared" si="514"/>
        <v>0</v>
      </c>
      <c r="AZ197" s="7">
        <f t="shared" si="514"/>
        <v>0</v>
      </c>
      <c r="BA197" s="7">
        <f t="shared" si="514"/>
        <v>0</v>
      </c>
      <c r="BB197" s="61">
        <f t="shared" si="515"/>
        <v>181084.36494</v>
      </c>
    </row>
    <row r="198" spans="1:54" x14ac:dyDescent="0.25">
      <c r="A198" s="62" t="s">
        <v>169</v>
      </c>
      <c r="B198" s="15">
        <f>'FY25'!B198*1.03</f>
        <v>7102.7255000000005</v>
      </c>
      <c r="C198" s="7"/>
      <c r="D198" s="7"/>
      <c r="E198" s="7"/>
      <c r="F198" s="61">
        <f t="shared" si="506"/>
        <v>7102.7255000000005</v>
      </c>
      <c r="H198" s="15">
        <f>'FY25'!H198*1.03</f>
        <v>22400.9035</v>
      </c>
      <c r="I198" s="7"/>
      <c r="J198" s="7"/>
      <c r="K198" s="7"/>
      <c r="L198" s="61">
        <f t="shared" si="507"/>
        <v>22400.9035</v>
      </c>
      <c r="N198" s="15">
        <f>'FY25'!N198*1.03</f>
        <v>7649.0889999999999</v>
      </c>
      <c r="O198" s="7"/>
      <c r="P198" s="7"/>
      <c r="Q198" s="7"/>
      <c r="R198" s="61">
        <f t="shared" si="508"/>
        <v>7649.0889999999999</v>
      </c>
      <c r="T198" s="15">
        <f>'FY25'!T198*1.03</f>
        <v>9288.1795000000002</v>
      </c>
      <c r="U198" s="7"/>
      <c r="V198" s="7"/>
      <c r="W198" s="7"/>
      <c r="X198" s="61">
        <f t="shared" si="509"/>
        <v>9288.1795000000002</v>
      </c>
      <c r="Z198" s="15">
        <f>'FY25'!Z198*1.02</f>
        <v>21432.240000000002</v>
      </c>
      <c r="AA198" s="7"/>
      <c r="AB198" s="7"/>
      <c r="AC198" s="7"/>
      <c r="AD198" s="61">
        <f t="shared" si="510"/>
        <v>21432.240000000002</v>
      </c>
      <c r="AF198" s="15">
        <f>'FY25'!AF198*1.02</f>
        <v>6242.4000000000005</v>
      </c>
      <c r="AG198" s="7"/>
      <c r="AH198" s="7"/>
      <c r="AI198" s="7"/>
      <c r="AJ198" s="61">
        <f t="shared" si="511"/>
        <v>6242.4000000000005</v>
      </c>
      <c r="AL198" s="61">
        <v>0</v>
      </c>
      <c r="AM198" s="7"/>
      <c r="AN198" s="7"/>
      <c r="AO198" s="7"/>
      <c r="AP198" s="61">
        <f t="shared" si="512"/>
        <v>0</v>
      </c>
      <c r="AR198" s="61">
        <v>0</v>
      </c>
      <c r="AS198" s="7"/>
      <c r="AT198" s="7"/>
      <c r="AU198" s="7"/>
      <c r="AV198" s="61">
        <f t="shared" si="513"/>
        <v>0</v>
      </c>
      <c r="AX198" s="7">
        <f t="shared" si="516"/>
        <v>74115.537499999991</v>
      </c>
      <c r="AY198" s="7">
        <f t="shared" si="514"/>
        <v>0</v>
      </c>
      <c r="AZ198" s="7">
        <f t="shared" si="514"/>
        <v>0</v>
      </c>
      <c r="BA198" s="7">
        <f t="shared" si="514"/>
        <v>0</v>
      </c>
      <c r="BB198" s="61">
        <f t="shared" si="515"/>
        <v>74115.537499999991</v>
      </c>
    </row>
    <row r="199" spans="1:54" x14ac:dyDescent="0.25">
      <c r="A199" s="62" t="s">
        <v>170</v>
      </c>
      <c r="B199" s="15">
        <f>'FY25'!B199*1.03</f>
        <v>91588.279413750002</v>
      </c>
      <c r="C199" s="11"/>
      <c r="D199" s="11"/>
      <c r="E199" s="11"/>
      <c r="F199" s="61">
        <f t="shared" si="506"/>
        <v>91588.279413750002</v>
      </c>
      <c r="H199" s="15">
        <f>'FY25'!H199*1.03</f>
        <v>335072.22282585001</v>
      </c>
      <c r="I199" s="11"/>
      <c r="J199" s="11"/>
      <c r="K199" s="11"/>
      <c r="L199" s="61">
        <f t="shared" si="507"/>
        <v>335072.22282585001</v>
      </c>
      <c r="N199" s="15">
        <f>'FY25'!N199*1.03</f>
        <v>106649.83830917001</v>
      </c>
      <c r="O199" s="11"/>
      <c r="P199" s="11"/>
      <c r="Q199" s="11"/>
      <c r="R199" s="61">
        <f t="shared" si="508"/>
        <v>106649.83830917001</v>
      </c>
      <c r="T199" s="15">
        <f>'FY25'!T199*1.03</f>
        <v>122686.08783405003</v>
      </c>
      <c r="U199" s="11"/>
      <c r="V199" s="11"/>
      <c r="W199" s="11"/>
      <c r="X199" s="61">
        <f t="shared" si="509"/>
        <v>122686.08783405003</v>
      </c>
      <c r="Z199" s="15">
        <f>'FY25'!Z199*1.02</f>
        <v>281456.68427928007</v>
      </c>
      <c r="AA199" s="11"/>
      <c r="AB199" s="11"/>
      <c r="AC199" s="11"/>
      <c r="AD199" s="61">
        <f t="shared" si="510"/>
        <v>281456.68427928007</v>
      </c>
      <c r="AF199" s="15">
        <f>'FY25'!AF199*1.02</f>
        <v>85208.76</v>
      </c>
      <c r="AG199" s="11"/>
      <c r="AH199" s="11"/>
      <c r="AI199" s="11"/>
      <c r="AJ199" s="61">
        <f t="shared" si="511"/>
        <v>85208.76</v>
      </c>
      <c r="AL199" s="61">
        <v>0</v>
      </c>
      <c r="AM199" s="11"/>
      <c r="AN199" s="11"/>
      <c r="AO199" s="11"/>
      <c r="AP199" s="61">
        <f t="shared" si="512"/>
        <v>0</v>
      </c>
      <c r="AR199" s="61">
        <v>0</v>
      </c>
      <c r="AS199" s="11"/>
      <c r="AT199" s="11"/>
      <c r="AU199" s="11"/>
      <c r="AV199" s="61">
        <f t="shared" si="513"/>
        <v>0</v>
      </c>
      <c r="AX199" s="7">
        <f t="shared" si="516"/>
        <v>1022661.8726621002</v>
      </c>
      <c r="AY199" s="7">
        <f t="shared" si="514"/>
        <v>0</v>
      </c>
      <c r="AZ199" s="7">
        <f t="shared" si="514"/>
        <v>0</v>
      </c>
      <c r="BA199" s="7">
        <f t="shared" si="514"/>
        <v>0</v>
      </c>
      <c r="BB199" s="61">
        <f t="shared" si="515"/>
        <v>1022661.8726621002</v>
      </c>
    </row>
    <row r="200" spans="1:54" x14ac:dyDescent="0.25">
      <c r="A200" s="62" t="s">
        <v>171</v>
      </c>
      <c r="B200" s="15">
        <f>32*B19</f>
        <v>29952</v>
      </c>
      <c r="C200" s="7"/>
      <c r="D200" s="7"/>
      <c r="E200" s="7"/>
      <c r="F200" s="61">
        <f t="shared" si="506"/>
        <v>29952</v>
      </c>
      <c r="H200" s="15">
        <f>32*H19</f>
        <v>78208</v>
      </c>
      <c r="I200" s="7"/>
      <c r="J200" s="7"/>
      <c r="K200" s="7"/>
      <c r="L200" s="61">
        <f t="shared" si="507"/>
        <v>78208</v>
      </c>
      <c r="N200" s="15">
        <f>32*N19</f>
        <v>32512</v>
      </c>
      <c r="O200" s="7"/>
      <c r="P200" s="7"/>
      <c r="Q200" s="7"/>
      <c r="R200" s="61">
        <f t="shared" si="508"/>
        <v>32512</v>
      </c>
      <c r="T200" s="15">
        <f>32*T19</f>
        <v>38880</v>
      </c>
      <c r="U200" s="7"/>
      <c r="V200" s="7"/>
      <c r="W200" s="7"/>
      <c r="X200" s="61">
        <f t="shared" si="509"/>
        <v>38880</v>
      </c>
      <c r="Z200" s="15">
        <f>32*Z19</f>
        <v>77920</v>
      </c>
      <c r="AA200" s="7"/>
      <c r="AB200" s="7"/>
      <c r="AC200" s="7"/>
      <c r="AD200" s="61">
        <f t="shared" si="510"/>
        <v>77920</v>
      </c>
      <c r="AF200" s="15">
        <f>32*AF19</f>
        <v>30720</v>
      </c>
      <c r="AG200" s="7"/>
      <c r="AH200" s="7"/>
      <c r="AI200" s="7"/>
      <c r="AJ200" s="61">
        <f t="shared" si="511"/>
        <v>30720</v>
      </c>
      <c r="AL200" s="61">
        <v>0</v>
      </c>
      <c r="AM200" s="7"/>
      <c r="AN200" s="7"/>
      <c r="AO200" s="7"/>
      <c r="AP200" s="61">
        <f t="shared" si="512"/>
        <v>0</v>
      </c>
      <c r="AR200" s="61">
        <v>0</v>
      </c>
      <c r="AS200" s="7"/>
      <c r="AT200" s="7"/>
      <c r="AU200" s="7"/>
      <c r="AV200" s="61">
        <f t="shared" si="513"/>
        <v>0</v>
      </c>
      <c r="AX200" s="7">
        <f t="shared" si="516"/>
        <v>288192</v>
      </c>
      <c r="AY200" s="7">
        <f t="shared" si="514"/>
        <v>0</v>
      </c>
      <c r="AZ200" s="7">
        <f t="shared" si="514"/>
        <v>0</v>
      </c>
      <c r="BA200" s="7">
        <f t="shared" si="514"/>
        <v>0</v>
      </c>
      <c r="BB200" s="61">
        <f t="shared" si="515"/>
        <v>288192</v>
      </c>
    </row>
    <row r="201" spans="1:54" x14ac:dyDescent="0.25">
      <c r="A201" s="62" t="s">
        <v>173</v>
      </c>
      <c r="B201" s="15">
        <f>'FY25'!B201+2500</f>
        <v>62500</v>
      </c>
      <c r="C201" s="7"/>
      <c r="D201" s="7"/>
      <c r="E201" s="7">
        <v>0</v>
      </c>
      <c r="F201" s="61">
        <f t="shared" si="506"/>
        <v>62500</v>
      </c>
      <c r="H201" s="15">
        <f>'FY25'!H201+2500</f>
        <v>112500</v>
      </c>
      <c r="I201" s="7"/>
      <c r="J201" s="7"/>
      <c r="K201" s="7">
        <v>0</v>
      </c>
      <c r="L201" s="61">
        <f t="shared" si="507"/>
        <v>112500</v>
      </c>
      <c r="N201" s="15">
        <f>'FY25'!N201+2500</f>
        <v>65000</v>
      </c>
      <c r="O201" s="7"/>
      <c r="P201" s="7"/>
      <c r="Q201" s="7">
        <v>0</v>
      </c>
      <c r="R201" s="61">
        <f t="shared" si="508"/>
        <v>65000</v>
      </c>
      <c r="T201" s="15">
        <f>'FY25'!T201+2500</f>
        <v>67500</v>
      </c>
      <c r="U201" s="7"/>
      <c r="V201" s="7"/>
      <c r="W201" s="7">
        <v>0</v>
      </c>
      <c r="X201" s="61">
        <f t="shared" si="509"/>
        <v>67500</v>
      </c>
      <c r="Z201" s="15">
        <f>'FY25'!Z201+1500</f>
        <v>70500</v>
      </c>
      <c r="AA201" s="7"/>
      <c r="AB201" s="7"/>
      <c r="AC201" s="7">
        <v>0</v>
      </c>
      <c r="AD201" s="61">
        <f t="shared" si="510"/>
        <v>70500</v>
      </c>
      <c r="AF201" s="15">
        <f>'FY25'!AF201+1500</f>
        <v>36500</v>
      </c>
      <c r="AG201" s="7"/>
      <c r="AH201" s="7"/>
      <c r="AI201" s="7">
        <v>0</v>
      </c>
      <c r="AJ201" s="61">
        <f t="shared" si="511"/>
        <v>36500</v>
      </c>
      <c r="AL201" s="61">
        <v>0</v>
      </c>
      <c r="AM201" s="7"/>
      <c r="AN201" s="7"/>
      <c r="AO201" s="7">
        <v>0</v>
      </c>
      <c r="AP201" s="61">
        <f t="shared" si="512"/>
        <v>0</v>
      </c>
      <c r="AR201" s="61">
        <v>0</v>
      </c>
      <c r="AS201" s="7"/>
      <c r="AT201" s="7"/>
      <c r="AU201" s="7">
        <v>0</v>
      </c>
      <c r="AV201" s="61">
        <f t="shared" si="513"/>
        <v>0</v>
      </c>
      <c r="AX201" s="7">
        <f t="shared" si="516"/>
        <v>414500</v>
      </c>
      <c r="AY201" s="7">
        <f t="shared" si="514"/>
        <v>0</v>
      </c>
      <c r="AZ201" s="7">
        <f t="shared" si="514"/>
        <v>0</v>
      </c>
      <c r="BA201" s="7">
        <f t="shared" si="514"/>
        <v>0</v>
      </c>
      <c r="BB201" s="61">
        <f t="shared" si="515"/>
        <v>414500</v>
      </c>
    </row>
    <row r="202" spans="1:54" x14ac:dyDescent="0.25">
      <c r="A202" s="62" t="s">
        <v>174</v>
      </c>
      <c r="B202" s="15">
        <f>'FY25'!B202*1.03</f>
        <v>12850.469520000002</v>
      </c>
      <c r="C202" s="11"/>
      <c r="D202" s="11"/>
      <c r="E202" s="11"/>
      <c r="F202" s="61">
        <f t="shared" si="506"/>
        <v>12850.469520000002</v>
      </c>
      <c r="H202" s="15">
        <f>'FY25'!H202*1.03</f>
        <v>34879.845840000002</v>
      </c>
      <c r="I202" s="11"/>
      <c r="J202" s="11"/>
      <c r="K202" s="11"/>
      <c r="L202" s="61">
        <f t="shared" si="507"/>
        <v>34879.845840000002</v>
      </c>
      <c r="N202" s="15">
        <f>'FY25'!N202*1.03</f>
        <v>18128.340930000002</v>
      </c>
      <c r="O202" s="11"/>
      <c r="P202" s="11"/>
      <c r="Q202" s="11"/>
      <c r="R202" s="61">
        <f t="shared" si="508"/>
        <v>18128.340930000002</v>
      </c>
      <c r="T202" s="15">
        <f>'FY25'!T202*1.03</f>
        <v>14571.514545000002</v>
      </c>
      <c r="U202" s="11"/>
      <c r="V202" s="11"/>
      <c r="W202" s="11"/>
      <c r="X202" s="61">
        <f t="shared" si="509"/>
        <v>14571.514545000002</v>
      </c>
      <c r="Z202" s="15">
        <f>'FY25'!Z202*1.02</f>
        <v>29187.496044000003</v>
      </c>
      <c r="AA202" s="11"/>
      <c r="AB202" s="11"/>
      <c r="AC202" s="11"/>
      <c r="AD202" s="61">
        <f t="shared" si="510"/>
        <v>29187.496044000003</v>
      </c>
      <c r="AF202" s="15">
        <f>'FY25'!AF202*1.02</f>
        <v>12484.800000000001</v>
      </c>
      <c r="AG202" s="11"/>
      <c r="AH202" s="11"/>
      <c r="AI202" s="11"/>
      <c r="AJ202" s="61">
        <f t="shared" si="511"/>
        <v>12484.800000000001</v>
      </c>
      <c r="AL202" s="61">
        <v>0</v>
      </c>
      <c r="AM202" s="11"/>
      <c r="AN202" s="11"/>
      <c r="AO202" s="11"/>
      <c r="AP202" s="61">
        <f t="shared" si="512"/>
        <v>0</v>
      </c>
      <c r="AR202" s="61">
        <v>0</v>
      </c>
      <c r="AS202" s="11"/>
      <c r="AT202" s="11"/>
      <c r="AU202" s="11"/>
      <c r="AV202" s="61">
        <f t="shared" si="513"/>
        <v>0</v>
      </c>
      <c r="AX202" s="7">
        <f t="shared" si="516"/>
        <v>122102.46687900001</v>
      </c>
      <c r="AY202" s="7">
        <f t="shared" si="514"/>
        <v>0</v>
      </c>
      <c r="AZ202" s="7">
        <f t="shared" si="514"/>
        <v>0</v>
      </c>
      <c r="BA202" s="7">
        <f t="shared" si="514"/>
        <v>0</v>
      </c>
      <c r="BB202" s="61">
        <f t="shared" si="515"/>
        <v>122102.46687900001</v>
      </c>
    </row>
    <row r="203" spans="1:54" x14ac:dyDescent="0.25">
      <c r="A203" s="62" t="s">
        <v>175</v>
      </c>
      <c r="B203" s="15">
        <f>'FY25'!B203*1.03</f>
        <v>0</v>
      </c>
      <c r="C203" s="7"/>
      <c r="D203" s="7"/>
      <c r="E203" s="7"/>
      <c r="F203" s="61">
        <f t="shared" si="506"/>
        <v>0</v>
      </c>
      <c r="H203" s="15">
        <f>'FY25'!H203*1.03</f>
        <v>0</v>
      </c>
      <c r="I203" s="7"/>
      <c r="J203" s="7"/>
      <c r="K203" s="7"/>
      <c r="L203" s="61">
        <f t="shared" si="507"/>
        <v>0</v>
      </c>
      <c r="N203" s="15">
        <f>'FY25'!N203*1.03</f>
        <v>0</v>
      </c>
      <c r="O203" s="7"/>
      <c r="P203" s="7"/>
      <c r="Q203" s="7"/>
      <c r="R203" s="61">
        <f t="shared" si="508"/>
        <v>0</v>
      </c>
      <c r="T203" s="15">
        <f>'FY25'!T203*1.03</f>
        <v>0</v>
      </c>
      <c r="U203" s="7"/>
      <c r="V203" s="7"/>
      <c r="W203" s="7"/>
      <c r="X203" s="61">
        <f t="shared" si="509"/>
        <v>0</v>
      </c>
      <c r="Z203" s="15">
        <f>'FY25'!Z203*1.03</f>
        <v>0</v>
      </c>
      <c r="AA203" s="7"/>
      <c r="AB203" s="7"/>
      <c r="AC203" s="7"/>
      <c r="AD203" s="61">
        <f t="shared" si="510"/>
        <v>0</v>
      </c>
      <c r="AF203" s="15">
        <f>'FY25'!AF203*1.03</f>
        <v>0</v>
      </c>
      <c r="AG203" s="7"/>
      <c r="AH203" s="7"/>
      <c r="AI203" s="7"/>
      <c r="AJ203" s="61">
        <f t="shared" si="511"/>
        <v>0</v>
      </c>
      <c r="AL203" s="61">
        <v>0</v>
      </c>
      <c r="AM203" s="7"/>
      <c r="AN203" s="7"/>
      <c r="AO203" s="7"/>
      <c r="AP203" s="61">
        <f t="shared" si="512"/>
        <v>0</v>
      </c>
      <c r="AR203" s="61">
        <v>0</v>
      </c>
      <c r="AS203" s="7"/>
      <c r="AT203" s="7"/>
      <c r="AU203" s="7"/>
      <c r="AV203" s="61">
        <f t="shared" si="513"/>
        <v>0</v>
      </c>
      <c r="AX203" s="7">
        <f t="shared" si="516"/>
        <v>0</v>
      </c>
      <c r="AY203" s="7">
        <f t="shared" si="514"/>
        <v>0</v>
      </c>
      <c r="AZ203" s="7">
        <f t="shared" si="514"/>
        <v>0</v>
      </c>
      <c r="BA203" s="7">
        <f t="shared" si="514"/>
        <v>0</v>
      </c>
      <c r="BB203" s="61">
        <f t="shared" si="515"/>
        <v>0</v>
      </c>
    </row>
    <row r="204" spans="1:54" ht="15.75" thickBot="1" x14ac:dyDescent="0.3">
      <c r="A204" s="62" t="s">
        <v>176</v>
      </c>
      <c r="B204" s="15">
        <f>'FY25'!B204*1.03</f>
        <v>14277.789527400002</v>
      </c>
      <c r="C204" s="86"/>
      <c r="D204" s="86"/>
      <c r="E204" s="86"/>
      <c r="F204" s="61">
        <f t="shared" si="506"/>
        <v>14277.789527400002</v>
      </c>
      <c r="H204" s="15">
        <f>'FY25'!H204*1.03</f>
        <v>53352.395775000005</v>
      </c>
      <c r="I204" s="86"/>
      <c r="J204" s="86"/>
      <c r="K204" s="86"/>
      <c r="L204" s="61">
        <f t="shared" si="507"/>
        <v>53352.395775000005</v>
      </c>
      <c r="N204" s="15">
        <f>'FY25'!N204*1.03</f>
        <v>16522.03224</v>
      </c>
      <c r="O204" s="86"/>
      <c r="P204" s="86"/>
      <c r="Q204" s="86"/>
      <c r="R204" s="61">
        <f t="shared" si="508"/>
        <v>16522.03224</v>
      </c>
      <c r="T204" s="15">
        <f>'FY25'!T204*1.03</f>
        <v>19734.64962</v>
      </c>
      <c r="U204" s="86"/>
      <c r="V204" s="86"/>
      <c r="W204" s="86"/>
      <c r="X204" s="61">
        <f t="shared" si="509"/>
        <v>19734.64962</v>
      </c>
      <c r="Z204" s="15">
        <f>'FY25'!Z204*1.02</f>
        <v>51421.301820000008</v>
      </c>
      <c r="AA204" s="86"/>
      <c r="AB204" s="86"/>
      <c r="AC204" s="86"/>
      <c r="AD204" s="61">
        <f t="shared" si="510"/>
        <v>51421.301820000008</v>
      </c>
      <c r="AF204" s="15">
        <f>'FY25'!AF204*1.02</f>
        <v>13005</v>
      </c>
      <c r="AG204" s="86"/>
      <c r="AH204" s="86"/>
      <c r="AI204" s="86"/>
      <c r="AJ204" s="61">
        <f t="shared" si="511"/>
        <v>13005</v>
      </c>
      <c r="AL204" s="61">
        <v>0</v>
      </c>
      <c r="AM204" s="86"/>
      <c r="AN204" s="86"/>
      <c r="AO204" s="86"/>
      <c r="AP204" s="61">
        <f t="shared" si="512"/>
        <v>0</v>
      </c>
      <c r="AR204" s="61">
        <v>0</v>
      </c>
      <c r="AS204" s="86"/>
      <c r="AT204" s="86"/>
      <c r="AU204" s="86"/>
      <c r="AV204" s="61">
        <f t="shared" si="513"/>
        <v>0</v>
      </c>
      <c r="AX204" s="7">
        <f t="shared" si="516"/>
        <v>168313.16898240001</v>
      </c>
      <c r="AY204" s="7">
        <f t="shared" si="514"/>
        <v>0</v>
      </c>
      <c r="AZ204" s="7">
        <f t="shared" si="514"/>
        <v>0</v>
      </c>
      <c r="BA204" s="7">
        <f t="shared" si="514"/>
        <v>0</v>
      </c>
      <c r="BB204" s="61">
        <f t="shared" si="515"/>
        <v>168313.16898240001</v>
      </c>
    </row>
    <row r="205" spans="1:54" ht="15.75" thickBot="1" x14ac:dyDescent="0.3">
      <c r="A205" s="95" t="s">
        <v>177</v>
      </c>
      <c r="B205" s="90">
        <f>SUM(B194:B204)</f>
        <v>355364.79338115</v>
      </c>
      <c r="C205" s="90">
        <f>SUM(C194:C204)</f>
        <v>0</v>
      </c>
      <c r="D205" s="90">
        <f>SUM(D194:D204)</f>
        <v>0</v>
      </c>
      <c r="E205" s="90">
        <f t="shared" ref="E205:F205" si="517">SUM(E194:E204)</f>
        <v>0</v>
      </c>
      <c r="F205" s="90">
        <f t="shared" si="517"/>
        <v>355364.79338115</v>
      </c>
      <c r="H205" s="90">
        <f>SUM(H194:H204)</f>
        <v>963750.66806085</v>
      </c>
      <c r="I205" s="90">
        <f>SUM(I194:I204)</f>
        <v>0</v>
      </c>
      <c r="J205" s="90">
        <f>SUM(J194:J204)</f>
        <v>0</v>
      </c>
      <c r="K205" s="90">
        <f t="shared" ref="K205:L205" si="518">SUM(K194:K204)</f>
        <v>0</v>
      </c>
      <c r="L205" s="90">
        <f t="shared" si="518"/>
        <v>963750.66806085</v>
      </c>
      <c r="N205" s="90">
        <f>SUM(N194:N204)</f>
        <v>348740.54767917003</v>
      </c>
      <c r="O205" s="90">
        <f>SUM(O194:O204)</f>
        <v>0</v>
      </c>
      <c r="P205" s="90">
        <f>SUM(P194:P204)</f>
        <v>0</v>
      </c>
      <c r="Q205" s="90">
        <f t="shared" ref="Q205:R205" si="519">SUM(Q194:Q204)</f>
        <v>0</v>
      </c>
      <c r="R205" s="90">
        <f t="shared" si="519"/>
        <v>348740.54767917003</v>
      </c>
      <c r="T205" s="90">
        <f>SUM(T194:T204)</f>
        <v>402804.21719905001</v>
      </c>
      <c r="U205" s="90">
        <f>SUM(U194:U204)</f>
        <v>0</v>
      </c>
      <c r="V205" s="90">
        <f>SUM(V194:V204)</f>
        <v>0</v>
      </c>
      <c r="W205" s="90">
        <f t="shared" ref="W205:X205" si="520">SUM(W194:W204)</f>
        <v>0</v>
      </c>
      <c r="X205" s="90">
        <f t="shared" si="520"/>
        <v>402804.21719905001</v>
      </c>
      <c r="Z205" s="90">
        <f>SUM(Z194:Z204)</f>
        <v>854001.42486328015</v>
      </c>
      <c r="AA205" s="90">
        <f>SUM(AA194:AA204)</f>
        <v>0</v>
      </c>
      <c r="AB205" s="90">
        <f>SUM(AB194:AB204)</f>
        <v>0</v>
      </c>
      <c r="AC205" s="90">
        <f t="shared" ref="AC205:AD205" si="521">SUM(AC194:AC204)</f>
        <v>0</v>
      </c>
      <c r="AD205" s="90">
        <f t="shared" si="521"/>
        <v>854001.42486328015</v>
      </c>
      <c r="AF205" s="90">
        <f>SUM(AF194:AF204)</f>
        <v>299021.12</v>
      </c>
      <c r="AG205" s="90">
        <f>SUM(AG194:AG204)</f>
        <v>0</v>
      </c>
      <c r="AH205" s="90">
        <f>SUM(AH194:AH204)</f>
        <v>0</v>
      </c>
      <c r="AI205" s="90">
        <f t="shared" ref="AI205:AJ205" si="522">SUM(AI194:AI204)</f>
        <v>0</v>
      </c>
      <c r="AJ205" s="90">
        <f t="shared" si="522"/>
        <v>299021.12</v>
      </c>
      <c r="AL205" s="90">
        <f>SUM(AL194:AL204)</f>
        <v>0</v>
      </c>
      <c r="AM205" s="90">
        <f>SUM(AM194:AM204)</f>
        <v>0</v>
      </c>
      <c r="AN205" s="90">
        <f>SUM(AN194:AN204)</f>
        <v>0</v>
      </c>
      <c r="AO205" s="90">
        <f t="shared" ref="AO205:AP205" si="523">SUM(AO194:AO204)</f>
        <v>0</v>
      </c>
      <c r="AP205" s="90">
        <f t="shared" si="523"/>
        <v>0</v>
      </c>
      <c r="AR205" s="90">
        <f>SUM(AR194:AR204)</f>
        <v>0</v>
      </c>
      <c r="AS205" s="90">
        <f>SUM(AS194:AS204)</f>
        <v>0</v>
      </c>
      <c r="AT205" s="90">
        <f>SUM(AT194:AT204)</f>
        <v>0</v>
      </c>
      <c r="AU205" s="90">
        <f t="shared" ref="AU205:AV205" si="524">SUM(AU194:AU204)</f>
        <v>0</v>
      </c>
      <c r="AV205" s="90">
        <f t="shared" si="524"/>
        <v>0</v>
      </c>
      <c r="AX205" s="90">
        <f>SUM(AX194:AX204)</f>
        <v>3223682.7711835005</v>
      </c>
      <c r="AY205" s="90">
        <f>SUM(AY194:AY204)</f>
        <v>0</v>
      </c>
      <c r="AZ205" s="90">
        <f>SUM(AZ194:AZ204)</f>
        <v>0</v>
      </c>
      <c r="BA205" s="90">
        <f t="shared" ref="BA205:BB205" si="525">SUM(BA194:BA204)</f>
        <v>0</v>
      </c>
      <c r="BB205" s="90">
        <f t="shared" si="525"/>
        <v>3223682.7711835005</v>
      </c>
    </row>
    <row r="206" spans="1:54" ht="15.75" thickBot="1" x14ac:dyDescent="0.3">
      <c r="A206" s="102"/>
      <c r="B206" s="103"/>
      <c r="C206" s="103"/>
      <c r="D206" s="103"/>
      <c r="E206" s="103"/>
      <c r="F206" s="103"/>
      <c r="H206" s="103"/>
      <c r="I206" s="103"/>
      <c r="J206" s="103"/>
      <c r="K206" s="103"/>
      <c r="L206" s="103"/>
      <c r="N206" s="103"/>
      <c r="O206" s="103"/>
      <c r="P206" s="103"/>
      <c r="Q206" s="103"/>
      <c r="R206" s="103"/>
      <c r="T206" s="103"/>
      <c r="U206" s="103"/>
      <c r="V206" s="103"/>
      <c r="W206" s="103"/>
      <c r="X206" s="103"/>
      <c r="Z206" s="103"/>
      <c r="AA206" s="103"/>
      <c r="AB206" s="103"/>
      <c r="AC206" s="103"/>
      <c r="AD206" s="103"/>
      <c r="AF206" s="103"/>
      <c r="AG206" s="103"/>
      <c r="AH206" s="103"/>
      <c r="AI206" s="103"/>
      <c r="AJ206" s="103"/>
      <c r="AL206" s="103"/>
      <c r="AM206" s="103"/>
      <c r="AN206" s="103"/>
      <c r="AO206" s="103"/>
      <c r="AP206" s="103"/>
      <c r="AR206" s="103"/>
      <c r="AS206" s="103"/>
      <c r="AT206" s="103"/>
      <c r="AU206" s="103"/>
      <c r="AV206" s="103"/>
      <c r="AX206" s="103"/>
      <c r="AY206" s="103"/>
      <c r="AZ206" s="103"/>
      <c r="BA206" s="103"/>
      <c r="BB206" s="103"/>
    </row>
    <row r="207" spans="1:54" ht="15.75" thickBot="1" x14ac:dyDescent="0.3">
      <c r="A207" s="95" t="s">
        <v>178</v>
      </c>
      <c r="B207" s="104">
        <f>B139+B151+B167+B176+B181+B192+B205</f>
        <v>5492728.6288654441</v>
      </c>
      <c r="C207" s="104">
        <f>C139+C151+C167+C176+C181+C192+C205</f>
        <v>211437.1180189187</v>
      </c>
      <c r="D207" s="104">
        <f>D139+D151+D167+D176+D181+D192+D205</f>
        <v>857568.1422733186</v>
      </c>
      <c r="E207" s="104">
        <f>E139+E151+E167+E176+E181+E192+E205</f>
        <v>235237.86</v>
      </c>
      <c r="F207" s="104">
        <f>F139+F151+F167+F176+F181+F192+F205</f>
        <v>6796971.7491576802</v>
      </c>
      <c r="H207" s="104">
        <f>H139+H151+H167+H176+H181+H192+H205</f>
        <v>13943331.312583936</v>
      </c>
      <c r="I207" s="104">
        <f>I139+I151+I167+I176+I181+I192+I205</f>
        <v>357750.50929181161</v>
      </c>
      <c r="J207" s="104">
        <f>J139+J151+J167+J176+J181+J192+J205</f>
        <v>2323569.5901174145</v>
      </c>
      <c r="K207" s="104">
        <f>K139+K151+K167+K176+K181+K192+K205</f>
        <v>646171.80000000005</v>
      </c>
      <c r="L207" s="104">
        <f>L139+L151+L167+L176+L181+L192+L205</f>
        <v>17270823.211993162</v>
      </c>
      <c r="N207" s="104">
        <f>N139+N151+N167+N176+N181+N192+N205</f>
        <v>5670267.0798160248</v>
      </c>
      <c r="O207" s="104">
        <f>O139+O151+O167+O176+O181+O192+O205</f>
        <v>292713.4536058387</v>
      </c>
      <c r="P207" s="104">
        <f>P139+P151+P167+P176+P181+P192+P205</f>
        <v>777273.37256000005</v>
      </c>
      <c r="Q207" s="104">
        <f>Q139+Q151+Q167+Q176+Q181+Q192+Q205</f>
        <v>204185.40000000002</v>
      </c>
      <c r="R207" s="104">
        <f>R139+R151+R167+R176+R181+R192+R205</f>
        <v>6944439.3059818642</v>
      </c>
      <c r="T207" s="104">
        <f>T139+T151+T167+T176+T181+T192+T205</f>
        <v>6931871.3210081989</v>
      </c>
      <c r="U207" s="104">
        <f>U139+U151+U167+U176+U181+U192+U205</f>
        <v>186700.58205000003</v>
      </c>
      <c r="V207" s="104">
        <f>V139+V151+V167+V176+V181+V192+V205</f>
        <v>927631.50420360756</v>
      </c>
      <c r="W207" s="104">
        <f>W139+W151+W167+W176+W181+W192+W205</f>
        <v>135268.79999999999</v>
      </c>
      <c r="X207" s="104">
        <f>X139+X151+X167+X176+X181+X192+X205</f>
        <v>8181472.2072618064</v>
      </c>
      <c r="Z207" s="104">
        <f>Z139+Z151+Z167+Z176+Z181+Z192+Z205</f>
        <v>12626631.377358075</v>
      </c>
      <c r="AA207" s="104">
        <f>AA139+AA151+AA167+AA176+AA181+AA192+AA205</f>
        <v>263230.82577</v>
      </c>
      <c r="AB207" s="104">
        <f>AB139+AB151+AB167+AB176+AB181+AB192+AB205</f>
        <v>1867224.1547807525</v>
      </c>
      <c r="AC207" s="104">
        <f>AC139+AC151+AC167+AC176+AC181+AC192+AC205</f>
        <v>392029.79999999993</v>
      </c>
      <c r="AD207" s="104">
        <f>AD139+AD151+AD167+AD176+AD181+AD192+AD205</f>
        <v>15149116.157908827</v>
      </c>
      <c r="AF207" s="104">
        <f>AF139+AF151+AF167+AF176+AF181+AF192+AF205</f>
        <v>5525657.8463923736</v>
      </c>
      <c r="AG207" s="104">
        <f>AG139+AG151+AG167+AG176+AG181+AG192+AG205</f>
        <v>310570.79499999998</v>
      </c>
      <c r="AH207" s="104">
        <f>AH139+AH151+AH167+AH176+AH181+AH192+AH205</f>
        <v>707215.2</v>
      </c>
      <c r="AI207" s="104">
        <f>AI139+AI151+AI167+AI176+AI181+AI192+AI205</f>
        <v>391274.64</v>
      </c>
      <c r="AJ207" s="104">
        <f>AJ139+AJ151+AJ167+AJ176+AJ181+AJ192+AJ205</f>
        <v>6934718.4813923733</v>
      </c>
      <c r="AL207" s="104">
        <f>AL139+AL151+AL167+AL176+AL181+AL192+AL205</f>
        <v>236496.97070416002</v>
      </c>
      <c r="AM207" s="104">
        <f>AM139+AM151+AM167+AM176+AM181+AM192+AM205</f>
        <v>41351.906558949995</v>
      </c>
      <c r="AN207" s="104">
        <f>AN139+AN151+AN167+AN176+AN181+AN192+AN205</f>
        <v>0</v>
      </c>
      <c r="AO207" s="104">
        <f>AO139+AO151+AO167+AO176+AO181+AO192+AO205</f>
        <v>0</v>
      </c>
      <c r="AP207" s="104">
        <f>AP139+AP151+AP167+AP176+AP181+AP192+AP205</f>
        <v>277848.87726311001</v>
      </c>
      <c r="AR207" s="104">
        <f>AR139+AR151+AR167+AR176+AR181+AR192+AR205</f>
        <v>1887900.7999999998</v>
      </c>
      <c r="AS207" s="104">
        <f>AS139+AS151+AS167+AS176+AS181+AS192+AS205</f>
        <v>8188.5</v>
      </c>
      <c r="AT207" s="104">
        <f>AT139+AT151+AT167+AT176+AT181+AT192+AT205</f>
        <v>198129.5</v>
      </c>
      <c r="AU207" s="104">
        <f>AU139+AU151+AU167+AU176+AU181+AU192+AU205</f>
        <v>75776</v>
      </c>
      <c r="AV207" s="104">
        <f>AV139+AV151+AV167+AV176+AV181+AV192+AV205</f>
        <v>2169994.7999999998</v>
      </c>
      <c r="AX207" s="104">
        <f>AX139+AX151+AX167+AX176+AX181+AX192+AX205</f>
        <v>52314885.336728208</v>
      </c>
      <c r="AY207" s="104">
        <f>AY139+AY151+AY167+AY176+AY181+AY192+AY205</f>
        <v>1671943.6902955191</v>
      </c>
      <c r="AZ207" s="104">
        <f>AZ139+AZ151+AZ167+AZ176+AZ181+AZ192+AZ205</f>
        <v>7658611.463935094</v>
      </c>
      <c r="BA207" s="104">
        <f>BA139+BA151+BA167+BA176+BA181+BA192+BA205</f>
        <v>2079944.2999999998</v>
      </c>
      <c r="BB207" s="104">
        <f>BB139+BB151+BB167+BB176+BB181+BB192+BB205</f>
        <v>63725384.790958814</v>
      </c>
    </row>
    <row r="208" spans="1:54" x14ac:dyDescent="0.25">
      <c r="A208" s="105"/>
      <c r="B208" s="61"/>
      <c r="C208" s="61"/>
      <c r="D208" s="61"/>
      <c r="E208" s="61"/>
      <c r="F208" s="61"/>
      <c r="H208" s="61"/>
      <c r="I208" s="61"/>
      <c r="J208" s="61"/>
      <c r="K208" s="61"/>
      <c r="L208" s="61"/>
      <c r="N208" s="61"/>
      <c r="O208" s="61"/>
      <c r="P208" s="61"/>
      <c r="Q208" s="61"/>
      <c r="R208" s="61"/>
      <c r="T208" s="61"/>
      <c r="U208" s="61"/>
      <c r="V208" s="61"/>
      <c r="W208" s="61"/>
      <c r="X208" s="61"/>
      <c r="Z208" s="61"/>
      <c r="AA208" s="61"/>
      <c r="AB208" s="61"/>
      <c r="AC208" s="61"/>
      <c r="AD208" s="61"/>
      <c r="AF208" s="61"/>
      <c r="AG208" s="61"/>
      <c r="AH208" s="61"/>
      <c r="AI208" s="61"/>
      <c r="AJ208" s="61"/>
      <c r="AL208" s="61"/>
      <c r="AM208" s="61"/>
      <c r="AN208" s="61"/>
      <c r="AO208" s="61"/>
      <c r="AP208" s="61"/>
      <c r="AR208" s="61"/>
      <c r="AS208" s="61"/>
      <c r="AT208" s="61"/>
      <c r="AU208" s="61"/>
      <c r="AV208" s="61"/>
      <c r="AX208" s="61"/>
      <c r="AY208" s="61"/>
      <c r="AZ208" s="61"/>
      <c r="BA208" s="61"/>
      <c r="BB208" s="61"/>
    </row>
    <row r="209" spans="1:54" x14ac:dyDescent="0.25">
      <c r="A209" s="106" t="s">
        <v>179</v>
      </c>
      <c r="B209" s="7">
        <v>0</v>
      </c>
      <c r="C209" s="7"/>
      <c r="D209" s="7"/>
      <c r="E209" s="7"/>
      <c r="F209" s="7">
        <f t="shared" ref="F209:F218" si="526">SUM(B209:E209)</f>
        <v>0</v>
      </c>
      <c r="H209" s="7">
        <v>0</v>
      </c>
      <c r="I209" s="7"/>
      <c r="J209" s="7"/>
      <c r="K209" s="7"/>
      <c r="L209" s="7">
        <f t="shared" ref="L209:L218" si="527">SUM(H209:K209)</f>
        <v>0</v>
      </c>
      <c r="N209" s="7">
        <v>0</v>
      </c>
      <c r="O209" s="7"/>
      <c r="P209" s="7"/>
      <c r="Q209" s="7"/>
      <c r="R209" s="7">
        <f t="shared" ref="R209:R218" si="528">SUM(N209:Q209)</f>
        <v>0</v>
      </c>
      <c r="T209" s="7">
        <v>0</v>
      </c>
      <c r="U209" s="7"/>
      <c r="V209" s="7"/>
      <c r="W209" s="7"/>
      <c r="X209" s="7">
        <f t="shared" ref="X209:X218" si="529">SUM(T209:W209)</f>
        <v>0</v>
      </c>
      <c r="Z209" s="7">
        <v>0</v>
      </c>
      <c r="AA209" s="7"/>
      <c r="AB209" s="7"/>
      <c r="AC209" s="7"/>
      <c r="AD209" s="7">
        <f t="shared" ref="AD209:AD218" si="530">SUM(Z209:AC209)</f>
        <v>0</v>
      </c>
      <c r="AF209" s="7">
        <v>1500000</v>
      </c>
      <c r="AG209" s="7"/>
      <c r="AH209" s="7"/>
      <c r="AI209" s="7"/>
      <c r="AJ209" s="7">
        <f t="shared" ref="AJ209:AJ218" si="531">SUM(AF209:AI209)</f>
        <v>1500000</v>
      </c>
      <c r="AL209" s="7">
        <v>0</v>
      </c>
      <c r="AM209" s="7"/>
      <c r="AN209" s="7"/>
      <c r="AO209" s="7"/>
      <c r="AP209" s="7">
        <f t="shared" ref="AP209:AP218" si="532">SUM(AL209:AO209)</f>
        <v>0</v>
      </c>
      <c r="AR209" s="7">
        <v>0</v>
      </c>
      <c r="AS209" s="7"/>
      <c r="AT209" s="7"/>
      <c r="AU209" s="7"/>
      <c r="AV209" s="7">
        <f t="shared" ref="AV209:AV218" si="533">SUM(AR209:AU209)</f>
        <v>0</v>
      </c>
      <c r="AX209" s="7">
        <f>B209+H209+N209+T209+Z209+AF209+AL209+AR209</f>
        <v>1500000</v>
      </c>
      <c r="AY209" s="7">
        <f t="shared" ref="AY209:BA217" si="534">C209+I209+O209+U209+AA209+AG209+AM209+AS209</f>
        <v>0</v>
      </c>
      <c r="AZ209" s="7">
        <f t="shared" si="534"/>
        <v>0</v>
      </c>
      <c r="BA209" s="7">
        <f t="shared" si="534"/>
        <v>0</v>
      </c>
      <c r="BB209" s="7">
        <f t="shared" ref="BB209:BB218" si="535">SUM(AX209:BA209)</f>
        <v>1500000</v>
      </c>
    </row>
    <row r="210" spans="1:54" s="212" customFormat="1" x14ac:dyDescent="0.25">
      <c r="A210" s="210" t="s">
        <v>180</v>
      </c>
      <c r="B210" s="15">
        <v>922103</v>
      </c>
      <c r="C210" s="15">
        <v>0</v>
      </c>
      <c r="D210" s="15"/>
      <c r="E210" s="15"/>
      <c r="F210" s="15">
        <f t="shared" si="526"/>
        <v>922103</v>
      </c>
      <c r="G210" s="211"/>
      <c r="H210" s="15">
        <v>0</v>
      </c>
      <c r="I210" s="15">
        <v>0</v>
      </c>
      <c r="J210" s="15"/>
      <c r="K210" s="15"/>
      <c r="L210" s="15">
        <f t="shared" si="527"/>
        <v>0</v>
      </c>
      <c r="M210" s="211"/>
      <c r="N210" s="15">
        <v>970635</v>
      </c>
      <c r="O210" s="15">
        <v>0</v>
      </c>
      <c r="P210" s="15"/>
      <c r="Q210" s="15"/>
      <c r="R210" s="15">
        <f t="shared" si="528"/>
        <v>970635</v>
      </c>
      <c r="S210" s="211"/>
      <c r="T210" s="15">
        <v>1164762</v>
      </c>
      <c r="U210" s="15">
        <v>0</v>
      </c>
      <c r="V210" s="15"/>
      <c r="W210" s="15"/>
      <c r="X210" s="15">
        <f t="shared" si="529"/>
        <v>1164762</v>
      </c>
      <c r="Y210" s="211"/>
      <c r="Z210" s="15">
        <v>0</v>
      </c>
      <c r="AA210" s="15">
        <v>0</v>
      </c>
      <c r="AB210" s="15"/>
      <c r="AC210" s="15"/>
      <c r="AD210" s="15">
        <f t="shared" si="530"/>
        <v>0</v>
      </c>
      <c r="AE210" s="211"/>
      <c r="AF210" s="15">
        <v>0</v>
      </c>
      <c r="AG210" s="15">
        <v>0</v>
      </c>
      <c r="AH210" s="15"/>
      <c r="AI210" s="15"/>
      <c r="AJ210" s="15">
        <f t="shared" si="531"/>
        <v>0</v>
      </c>
      <c r="AK210" s="211"/>
      <c r="AL210" s="15">
        <v>0</v>
      </c>
      <c r="AM210" s="15">
        <v>0</v>
      </c>
      <c r="AN210" s="15"/>
      <c r="AO210" s="15"/>
      <c r="AP210" s="15">
        <f t="shared" si="532"/>
        <v>0</v>
      </c>
      <c r="AQ210" s="211"/>
      <c r="AR210" s="7">
        <v>0</v>
      </c>
      <c r="AS210" s="7">
        <v>0</v>
      </c>
      <c r="AT210" s="7"/>
      <c r="AU210" s="7"/>
      <c r="AV210" s="7">
        <f t="shared" si="533"/>
        <v>0</v>
      </c>
      <c r="AW210"/>
      <c r="AX210" s="7">
        <f t="shared" ref="AX210:AX217" si="536">B210+H210+N210+T210+Z210+AF210+AL210+AR210</f>
        <v>3057500</v>
      </c>
      <c r="AY210" s="7">
        <f t="shared" si="534"/>
        <v>0</v>
      </c>
      <c r="AZ210" s="7">
        <f t="shared" si="534"/>
        <v>0</v>
      </c>
      <c r="BA210" s="7">
        <f t="shared" si="534"/>
        <v>0</v>
      </c>
      <c r="BB210" s="15">
        <f t="shared" si="535"/>
        <v>3057500</v>
      </c>
    </row>
    <row r="211" spans="1:54" x14ac:dyDescent="0.25">
      <c r="A211" s="210" t="s">
        <v>180</v>
      </c>
      <c r="B211" s="7"/>
      <c r="C211" s="7"/>
      <c r="D211" s="7"/>
      <c r="E211" s="7"/>
      <c r="F211" s="7">
        <f t="shared" si="526"/>
        <v>0</v>
      </c>
      <c r="H211" s="7">
        <v>2494000</v>
      </c>
      <c r="I211" s="7"/>
      <c r="J211" s="7"/>
      <c r="K211" s="7"/>
      <c r="L211" s="7">
        <f t="shared" si="527"/>
        <v>2494000</v>
      </c>
      <c r="N211" s="7"/>
      <c r="O211" s="7"/>
      <c r="P211" s="7"/>
      <c r="Q211" s="7"/>
      <c r="R211" s="7">
        <f t="shared" si="528"/>
        <v>0</v>
      </c>
      <c r="T211" s="7"/>
      <c r="U211" s="7"/>
      <c r="V211" s="7"/>
      <c r="W211" s="7"/>
      <c r="X211" s="7">
        <f t="shared" si="529"/>
        <v>0</v>
      </c>
      <c r="Z211" s="7"/>
      <c r="AA211" s="7"/>
      <c r="AB211" s="7"/>
      <c r="AC211" s="7"/>
      <c r="AD211" s="7">
        <f t="shared" si="530"/>
        <v>0</v>
      </c>
      <c r="AF211" s="7"/>
      <c r="AG211" s="7"/>
      <c r="AH211" s="7"/>
      <c r="AI211" s="7"/>
      <c r="AJ211" s="7">
        <f t="shared" si="531"/>
        <v>0</v>
      </c>
      <c r="AL211" s="7"/>
      <c r="AM211" s="7"/>
      <c r="AN211" s="7"/>
      <c r="AO211" s="7"/>
      <c r="AP211" s="7">
        <f t="shared" si="532"/>
        <v>0</v>
      </c>
      <c r="AR211" s="7"/>
      <c r="AS211" s="7"/>
      <c r="AT211" s="7"/>
      <c r="AU211" s="7"/>
      <c r="AV211" s="7">
        <f t="shared" si="533"/>
        <v>0</v>
      </c>
      <c r="AX211" s="7">
        <f t="shared" si="536"/>
        <v>2494000</v>
      </c>
      <c r="AY211" s="7">
        <f t="shared" si="534"/>
        <v>0</v>
      </c>
      <c r="AZ211" s="7">
        <f t="shared" si="534"/>
        <v>0</v>
      </c>
      <c r="BA211" s="7">
        <f t="shared" si="534"/>
        <v>0</v>
      </c>
      <c r="BB211" s="7">
        <f t="shared" si="535"/>
        <v>2494000</v>
      </c>
    </row>
    <row r="212" spans="1:54" hidden="1" x14ac:dyDescent="0.25">
      <c r="A212" s="210"/>
      <c r="B212" s="7"/>
      <c r="C212" s="7"/>
      <c r="D212" s="7"/>
      <c r="E212" s="7"/>
      <c r="F212" s="7">
        <f t="shared" si="526"/>
        <v>0</v>
      </c>
      <c r="H212" s="7"/>
      <c r="I212" s="7"/>
      <c r="J212" s="7"/>
      <c r="K212" s="7"/>
      <c r="L212" s="7">
        <f t="shared" si="527"/>
        <v>0</v>
      </c>
      <c r="N212" s="7"/>
      <c r="O212" s="7"/>
      <c r="P212" s="7"/>
      <c r="Q212" s="7"/>
      <c r="R212" s="7">
        <f t="shared" si="528"/>
        <v>0</v>
      </c>
      <c r="T212" s="7"/>
      <c r="U212" s="7"/>
      <c r="V212" s="7"/>
      <c r="W212" s="7"/>
      <c r="X212" s="7">
        <f t="shared" si="529"/>
        <v>0</v>
      </c>
      <c r="Z212" s="7"/>
      <c r="AA212" s="7"/>
      <c r="AB212" s="7"/>
      <c r="AC212" s="7"/>
      <c r="AD212" s="7">
        <f t="shared" si="530"/>
        <v>0</v>
      </c>
      <c r="AF212" s="7"/>
      <c r="AG212" s="7"/>
      <c r="AH212" s="7"/>
      <c r="AI212" s="7"/>
      <c r="AJ212" s="7">
        <f t="shared" si="531"/>
        <v>0</v>
      </c>
      <c r="AL212" s="7"/>
      <c r="AM212" s="7"/>
      <c r="AN212" s="7"/>
      <c r="AO212" s="7"/>
      <c r="AP212" s="7">
        <f t="shared" si="532"/>
        <v>0</v>
      </c>
      <c r="AR212" s="7"/>
      <c r="AS212" s="7"/>
      <c r="AT212" s="7"/>
      <c r="AU212" s="7"/>
      <c r="AV212" s="7">
        <f t="shared" si="533"/>
        <v>0</v>
      </c>
      <c r="AX212" s="7">
        <f t="shared" si="536"/>
        <v>0</v>
      </c>
      <c r="AY212" s="7">
        <f t="shared" si="534"/>
        <v>0</v>
      </c>
      <c r="AZ212" s="7">
        <f t="shared" si="534"/>
        <v>0</v>
      </c>
      <c r="BA212" s="7">
        <f t="shared" si="534"/>
        <v>0</v>
      </c>
      <c r="BB212" s="7">
        <f t="shared" si="535"/>
        <v>0</v>
      </c>
    </row>
    <row r="213" spans="1:54" hidden="1" x14ac:dyDescent="0.25">
      <c r="A213" s="106"/>
      <c r="B213" s="7"/>
      <c r="C213" s="7"/>
      <c r="D213" s="7"/>
      <c r="E213" s="7"/>
      <c r="F213" s="7">
        <f t="shared" si="526"/>
        <v>0</v>
      </c>
      <c r="H213" s="7"/>
      <c r="I213" s="7"/>
      <c r="J213" s="7"/>
      <c r="K213" s="7"/>
      <c r="L213" s="7">
        <f t="shared" si="527"/>
        <v>0</v>
      </c>
      <c r="N213" s="7"/>
      <c r="O213" s="7"/>
      <c r="P213" s="7"/>
      <c r="Q213" s="7"/>
      <c r="R213" s="7">
        <f t="shared" si="528"/>
        <v>0</v>
      </c>
      <c r="T213" s="7"/>
      <c r="U213" s="7"/>
      <c r="V213" s="7"/>
      <c r="W213" s="7"/>
      <c r="X213" s="7">
        <f t="shared" si="529"/>
        <v>0</v>
      </c>
      <c r="Z213" s="7"/>
      <c r="AA213" s="7"/>
      <c r="AB213" s="7"/>
      <c r="AC213" s="7"/>
      <c r="AD213" s="7">
        <f t="shared" si="530"/>
        <v>0</v>
      </c>
      <c r="AF213" s="7"/>
      <c r="AG213" s="7"/>
      <c r="AH213" s="7"/>
      <c r="AI213" s="7"/>
      <c r="AJ213" s="7">
        <f t="shared" si="531"/>
        <v>0</v>
      </c>
      <c r="AL213" s="7"/>
      <c r="AM213" s="7"/>
      <c r="AN213" s="7"/>
      <c r="AO213" s="7"/>
      <c r="AP213" s="7">
        <f t="shared" si="532"/>
        <v>0</v>
      </c>
      <c r="AR213" s="7"/>
      <c r="AS213" s="7"/>
      <c r="AT213" s="7"/>
      <c r="AU213" s="7"/>
      <c r="AV213" s="7">
        <f t="shared" si="533"/>
        <v>0</v>
      </c>
      <c r="AX213" s="7">
        <f t="shared" si="536"/>
        <v>0</v>
      </c>
      <c r="AY213" s="7">
        <f t="shared" si="534"/>
        <v>0</v>
      </c>
      <c r="AZ213" s="7">
        <f t="shared" si="534"/>
        <v>0</v>
      </c>
      <c r="BA213" s="7">
        <f t="shared" si="534"/>
        <v>0</v>
      </c>
      <c r="BB213" s="7">
        <f t="shared" si="535"/>
        <v>0</v>
      </c>
    </row>
    <row r="214" spans="1:54" hidden="1" x14ac:dyDescent="0.25">
      <c r="A214" s="106"/>
      <c r="B214" s="7"/>
      <c r="C214" s="7"/>
      <c r="D214" s="7"/>
      <c r="E214" s="7"/>
      <c r="F214" s="7">
        <f t="shared" si="526"/>
        <v>0</v>
      </c>
      <c r="H214" s="7"/>
      <c r="I214" s="7"/>
      <c r="J214" s="7"/>
      <c r="K214" s="7"/>
      <c r="L214" s="7">
        <f t="shared" si="527"/>
        <v>0</v>
      </c>
      <c r="N214" s="7"/>
      <c r="O214" s="7"/>
      <c r="P214" s="7"/>
      <c r="Q214" s="7"/>
      <c r="R214" s="7">
        <f t="shared" si="528"/>
        <v>0</v>
      </c>
      <c r="T214" s="7"/>
      <c r="U214" s="7"/>
      <c r="V214" s="7"/>
      <c r="W214" s="7"/>
      <c r="X214" s="7">
        <f t="shared" si="529"/>
        <v>0</v>
      </c>
      <c r="Z214" s="7"/>
      <c r="AA214" s="7"/>
      <c r="AB214" s="7"/>
      <c r="AC214" s="7"/>
      <c r="AD214" s="7">
        <f t="shared" si="530"/>
        <v>0</v>
      </c>
      <c r="AF214" s="7"/>
      <c r="AG214" s="7"/>
      <c r="AH214" s="7"/>
      <c r="AI214" s="7"/>
      <c r="AJ214" s="7">
        <f t="shared" si="531"/>
        <v>0</v>
      </c>
      <c r="AL214" s="7"/>
      <c r="AM214" s="7"/>
      <c r="AN214" s="7"/>
      <c r="AO214" s="7"/>
      <c r="AP214" s="7">
        <f t="shared" si="532"/>
        <v>0</v>
      </c>
      <c r="AR214" s="7"/>
      <c r="AS214" s="7"/>
      <c r="AT214" s="7"/>
      <c r="AU214" s="7"/>
      <c r="AV214" s="7">
        <f t="shared" si="533"/>
        <v>0</v>
      </c>
      <c r="AX214" s="7">
        <f t="shared" si="536"/>
        <v>0</v>
      </c>
      <c r="AY214" s="7">
        <f t="shared" si="534"/>
        <v>0</v>
      </c>
      <c r="AZ214" s="7">
        <f t="shared" si="534"/>
        <v>0</v>
      </c>
      <c r="BA214" s="7">
        <f t="shared" si="534"/>
        <v>0</v>
      </c>
      <c r="BB214" s="7">
        <f t="shared" si="535"/>
        <v>0</v>
      </c>
    </row>
    <row r="215" spans="1:54" hidden="1" x14ac:dyDescent="0.25">
      <c r="A215" s="106"/>
      <c r="B215" s="7"/>
      <c r="C215" s="7"/>
      <c r="D215" s="7"/>
      <c r="E215" s="7"/>
      <c r="F215" s="7">
        <f t="shared" si="526"/>
        <v>0</v>
      </c>
      <c r="H215" s="7"/>
      <c r="I215" s="7"/>
      <c r="J215" s="7"/>
      <c r="K215" s="7"/>
      <c r="L215" s="7">
        <f t="shared" si="527"/>
        <v>0</v>
      </c>
      <c r="N215" s="7"/>
      <c r="O215" s="7"/>
      <c r="P215" s="7"/>
      <c r="Q215" s="7"/>
      <c r="R215" s="7">
        <f t="shared" si="528"/>
        <v>0</v>
      </c>
      <c r="T215" s="7"/>
      <c r="U215" s="7"/>
      <c r="V215" s="7"/>
      <c r="W215" s="7"/>
      <c r="X215" s="7">
        <f t="shared" si="529"/>
        <v>0</v>
      </c>
      <c r="Z215" s="7"/>
      <c r="AA215" s="7"/>
      <c r="AB215" s="7"/>
      <c r="AC215" s="7"/>
      <c r="AD215" s="7">
        <f t="shared" si="530"/>
        <v>0</v>
      </c>
      <c r="AF215" s="7"/>
      <c r="AG215" s="7"/>
      <c r="AH215" s="7"/>
      <c r="AI215" s="7"/>
      <c r="AJ215" s="7">
        <f t="shared" si="531"/>
        <v>0</v>
      </c>
      <c r="AL215" s="7"/>
      <c r="AM215" s="7"/>
      <c r="AN215" s="7"/>
      <c r="AO215" s="7"/>
      <c r="AP215" s="7">
        <f t="shared" si="532"/>
        <v>0</v>
      </c>
      <c r="AR215" s="7"/>
      <c r="AS215" s="7"/>
      <c r="AT215" s="7"/>
      <c r="AU215" s="7"/>
      <c r="AV215" s="7">
        <f t="shared" si="533"/>
        <v>0</v>
      </c>
      <c r="AX215" s="7">
        <f t="shared" si="536"/>
        <v>0</v>
      </c>
      <c r="AY215" s="7">
        <f t="shared" si="534"/>
        <v>0</v>
      </c>
      <c r="AZ215" s="7">
        <f t="shared" si="534"/>
        <v>0</v>
      </c>
      <c r="BA215" s="7">
        <f t="shared" si="534"/>
        <v>0</v>
      </c>
      <c r="BB215" s="7">
        <f t="shared" si="535"/>
        <v>0</v>
      </c>
    </row>
    <row r="216" spans="1:54" x14ac:dyDescent="0.25">
      <c r="A216" s="106" t="s">
        <v>180</v>
      </c>
      <c r="B216" s="7"/>
      <c r="C216" s="7"/>
      <c r="D216" s="7"/>
      <c r="E216" s="7"/>
      <c r="F216" s="7">
        <f t="shared" si="526"/>
        <v>0</v>
      </c>
      <c r="H216" s="7"/>
      <c r="I216" s="7"/>
      <c r="J216" s="7"/>
      <c r="K216" s="7"/>
      <c r="L216" s="7">
        <f t="shared" si="527"/>
        <v>0</v>
      </c>
      <c r="N216" s="7"/>
      <c r="O216" s="7"/>
      <c r="P216" s="7"/>
      <c r="Q216" s="7"/>
      <c r="R216" s="7">
        <f t="shared" si="528"/>
        <v>0</v>
      </c>
      <c r="T216" s="7"/>
      <c r="U216" s="7"/>
      <c r="V216" s="7"/>
      <c r="W216" s="7"/>
      <c r="X216" s="7">
        <f t="shared" si="529"/>
        <v>0</v>
      </c>
      <c r="Z216" s="7">
        <v>3777000</v>
      </c>
      <c r="AA216" s="7"/>
      <c r="AB216" s="7"/>
      <c r="AC216" s="7"/>
      <c r="AD216" s="7">
        <f t="shared" si="530"/>
        <v>3777000</v>
      </c>
      <c r="AF216" s="7">
        <v>0</v>
      </c>
      <c r="AG216" s="7"/>
      <c r="AH216" s="7"/>
      <c r="AI216" s="7"/>
      <c r="AJ216" s="7">
        <f t="shared" si="531"/>
        <v>0</v>
      </c>
      <c r="AL216" s="7">
        <v>0</v>
      </c>
      <c r="AM216" s="7"/>
      <c r="AN216" s="7"/>
      <c r="AO216" s="7"/>
      <c r="AP216" s="7">
        <f t="shared" si="532"/>
        <v>0</v>
      </c>
      <c r="AR216" s="7"/>
      <c r="AS216" s="7"/>
      <c r="AT216" s="7"/>
      <c r="AU216" s="7"/>
      <c r="AV216" s="7">
        <f t="shared" si="533"/>
        <v>0</v>
      </c>
      <c r="AX216" s="7">
        <f t="shared" si="536"/>
        <v>3777000</v>
      </c>
      <c r="AY216" s="7">
        <f t="shared" si="534"/>
        <v>0</v>
      </c>
      <c r="AZ216" s="7">
        <f t="shared" si="534"/>
        <v>0</v>
      </c>
      <c r="BA216" s="7">
        <f t="shared" si="534"/>
        <v>0</v>
      </c>
      <c r="BB216" s="7">
        <f t="shared" si="535"/>
        <v>3777000</v>
      </c>
    </row>
    <row r="217" spans="1:54" x14ac:dyDescent="0.25">
      <c r="A217" s="107" t="s">
        <v>181</v>
      </c>
      <c r="B217" s="7">
        <v>30000</v>
      </c>
      <c r="C217" s="7">
        <v>0</v>
      </c>
      <c r="D217" s="7"/>
      <c r="E217" s="7"/>
      <c r="F217" s="7">
        <f t="shared" si="526"/>
        <v>30000</v>
      </c>
      <c r="H217" s="7"/>
      <c r="I217" s="7">
        <v>0</v>
      </c>
      <c r="J217" s="7"/>
      <c r="K217" s="7"/>
      <c r="L217" s="7">
        <f t="shared" si="527"/>
        <v>0</v>
      </c>
      <c r="N217" s="7"/>
      <c r="O217" s="7">
        <v>0</v>
      </c>
      <c r="P217" s="7"/>
      <c r="Q217" s="7"/>
      <c r="R217" s="7">
        <f t="shared" si="528"/>
        <v>0</v>
      </c>
      <c r="T217" s="7"/>
      <c r="U217" s="7">
        <v>0</v>
      </c>
      <c r="V217" s="7"/>
      <c r="W217" s="7"/>
      <c r="X217" s="7">
        <f t="shared" si="529"/>
        <v>0</v>
      </c>
      <c r="Z217" s="7"/>
      <c r="AA217" s="7">
        <v>0</v>
      </c>
      <c r="AB217" s="7"/>
      <c r="AC217" s="7"/>
      <c r="AD217" s="7">
        <f t="shared" si="530"/>
        <v>0</v>
      </c>
      <c r="AF217" s="7"/>
      <c r="AG217" s="7">
        <v>0</v>
      </c>
      <c r="AH217" s="7"/>
      <c r="AI217" s="7"/>
      <c r="AJ217" s="7">
        <f t="shared" si="531"/>
        <v>0</v>
      </c>
      <c r="AL217" s="7"/>
      <c r="AM217" s="7">
        <v>0</v>
      </c>
      <c r="AN217" s="7"/>
      <c r="AO217" s="7"/>
      <c r="AP217" s="7">
        <f t="shared" si="532"/>
        <v>0</v>
      </c>
      <c r="AR217" s="7">
        <v>0</v>
      </c>
      <c r="AS217" s="7">
        <v>0</v>
      </c>
      <c r="AT217" s="7"/>
      <c r="AU217" s="7"/>
      <c r="AV217" s="7">
        <f t="shared" si="533"/>
        <v>0</v>
      </c>
      <c r="AX217" s="7">
        <f t="shared" si="536"/>
        <v>30000</v>
      </c>
      <c r="AY217" s="7">
        <f t="shared" si="534"/>
        <v>0</v>
      </c>
      <c r="AZ217" s="7">
        <f t="shared" si="534"/>
        <v>0</v>
      </c>
      <c r="BA217" s="7">
        <f t="shared" si="534"/>
        <v>0</v>
      </c>
      <c r="BB217" s="7">
        <f t="shared" si="535"/>
        <v>30000</v>
      </c>
    </row>
    <row r="218" spans="1:54" x14ac:dyDescent="0.25">
      <c r="A218" s="146"/>
      <c r="B218" s="7"/>
      <c r="C218" s="7"/>
      <c r="D218" s="7"/>
      <c r="E218" s="7"/>
      <c r="F218" s="7">
        <f t="shared" si="526"/>
        <v>0</v>
      </c>
      <c r="H218" s="7"/>
      <c r="I218" s="7"/>
      <c r="J218" s="7"/>
      <c r="K218" s="7"/>
      <c r="L218" s="7">
        <f t="shared" si="527"/>
        <v>0</v>
      </c>
      <c r="N218" s="7"/>
      <c r="O218" s="7"/>
      <c r="P218" s="7"/>
      <c r="Q218" s="7"/>
      <c r="R218" s="7">
        <f t="shared" si="528"/>
        <v>0</v>
      </c>
      <c r="T218" s="7"/>
      <c r="U218" s="7"/>
      <c r="V218" s="7"/>
      <c r="W218" s="7"/>
      <c r="X218" s="7">
        <f t="shared" si="529"/>
        <v>0</v>
      </c>
      <c r="Z218" s="7"/>
      <c r="AA218" s="7"/>
      <c r="AB218" s="7"/>
      <c r="AC218" s="7"/>
      <c r="AD218" s="7">
        <f t="shared" si="530"/>
        <v>0</v>
      </c>
      <c r="AF218" s="7"/>
      <c r="AG218" s="7"/>
      <c r="AH218" s="7"/>
      <c r="AI218" s="7"/>
      <c r="AJ218" s="7">
        <f t="shared" si="531"/>
        <v>0</v>
      </c>
      <c r="AL218" s="7"/>
      <c r="AM218" s="7"/>
      <c r="AN218" s="7"/>
      <c r="AO218" s="7"/>
      <c r="AP218" s="7">
        <f t="shared" si="532"/>
        <v>0</v>
      </c>
      <c r="AR218" s="7"/>
      <c r="AS218" s="7"/>
      <c r="AT218" s="7"/>
      <c r="AU218" s="7"/>
      <c r="AV218" s="7">
        <f t="shared" si="533"/>
        <v>0</v>
      </c>
      <c r="AX218" s="7">
        <f t="shared" ref="AX218:AX219" si="537">B218+H218+N218+T218+Z218+AL218+AR218</f>
        <v>0</v>
      </c>
      <c r="AY218" s="7">
        <f t="shared" ref="AY218:BA219" si="538">C218+I218+O218+U218+AA218+AM218+AS218</f>
        <v>0</v>
      </c>
      <c r="AZ218" s="7">
        <f t="shared" si="538"/>
        <v>0</v>
      </c>
      <c r="BA218" s="7">
        <f t="shared" si="538"/>
        <v>0</v>
      </c>
      <c r="BB218" s="7">
        <f t="shared" si="535"/>
        <v>0</v>
      </c>
    </row>
    <row r="219" spans="1:54" x14ac:dyDescent="0.25">
      <c r="A219" s="147"/>
      <c r="B219" s="7"/>
      <c r="C219" s="7"/>
      <c r="D219" s="7"/>
      <c r="E219" s="7"/>
      <c r="F219" s="7"/>
      <c r="H219" s="7"/>
      <c r="I219" s="7"/>
      <c r="J219" s="7"/>
      <c r="K219" s="7"/>
      <c r="L219" s="7"/>
      <c r="N219" s="7"/>
      <c r="O219" s="7"/>
      <c r="P219" s="7"/>
      <c r="Q219" s="7"/>
      <c r="R219" s="7"/>
      <c r="T219" s="7"/>
      <c r="U219" s="7"/>
      <c r="V219" s="7"/>
      <c r="W219" s="7"/>
      <c r="X219" s="7"/>
      <c r="Z219" s="7"/>
      <c r="AA219" s="7"/>
      <c r="AB219" s="7"/>
      <c r="AC219" s="7"/>
      <c r="AD219" s="7"/>
      <c r="AF219" s="7"/>
      <c r="AG219" s="7"/>
      <c r="AH219" s="7"/>
      <c r="AI219" s="7"/>
      <c r="AJ219" s="7"/>
      <c r="AL219" s="7"/>
      <c r="AM219" s="7"/>
      <c r="AN219" s="7"/>
      <c r="AO219" s="7"/>
      <c r="AP219" s="7"/>
      <c r="AR219" s="7"/>
      <c r="AS219" s="7"/>
      <c r="AT219" s="7"/>
      <c r="AU219" s="7"/>
      <c r="AV219" s="7"/>
      <c r="AX219" s="7">
        <f t="shared" si="537"/>
        <v>0</v>
      </c>
      <c r="AY219" s="7">
        <f t="shared" si="538"/>
        <v>0</v>
      </c>
      <c r="AZ219" s="7">
        <f t="shared" si="538"/>
        <v>0</v>
      </c>
      <c r="BA219" s="7">
        <f t="shared" si="538"/>
        <v>0</v>
      </c>
      <c r="BB219" s="7"/>
    </row>
    <row r="220" spans="1:54" ht="15.75" thickBot="1" x14ac:dyDescent="0.3">
      <c r="A220" s="144" t="s">
        <v>183</v>
      </c>
      <c r="B220" s="145">
        <f>B86-B207-B209-B210-B216-B217</f>
        <v>665235.94813740999</v>
      </c>
      <c r="C220" s="145">
        <f>C86-C207-C209-C210-C216-C217</f>
        <v>-88121.941155737382</v>
      </c>
      <c r="D220" s="145">
        <f>D86-D207-D209-D210-D216-D217</f>
        <v>-501935.39477609948</v>
      </c>
      <c r="E220" s="145">
        <f>E86-E207-E209-E210-E216-E217</f>
        <v>-11159.459999999963</v>
      </c>
      <c r="F220" s="145">
        <f>F86-F207-F209-F210-F216-F217-F211</f>
        <v>64019.152205575258</v>
      </c>
      <c r="H220" s="145">
        <f>H86-H207-H209-H210-H216-H217</f>
        <v>4984496.2495901827</v>
      </c>
      <c r="I220" s="145">
        <f>I86-I207-I209-I210-I216-I217</f>
        <v>-112858.65902443189</v>
      </c>
      <c r="J220" s="145">
        <f>J86-J207-J209-J210-J216-J217</f>
        <v>-1230205.8468019064</v>
      </c>
      <c r="K220" s="145">
        <f>K86-K207-K209-K210-K216-K217</f>
        <v>-30283.800000000047</v>
      </c>
      <c r="L220" s="145">
        <f>L86-L207-L209-L210-L216-L217-L211</f>
        <v>1117147.9437638409</v>
      </c>
      <c r="N220" s="145">
        <f>N86-N207-N209-N210-N216-N217</f>
        <v>1076496.7430845089</v>
      </c>
      <c r="O220" s="145">
        <f>O86-O207-O209-O210-O216-O217</f>
        <v>-164994.4536058387</v>
      </c>
      <c r="P220" s="145">
        <f>P86-P207-P209-P210-P216-P217</f>
        <v>-516274.17256000004</v>
      </c>
      <c r="Q220" s="145">
        <f>Q86-Q207-Q209-Q210-Q216-Q217</f>
        <v>-12161.400000000023</v>
      </c>
      <c r="R220" s="145">
        <f>R86-R207-R209-R210-R216-R217-R211</f>
        <v>383066.71691866964</v>
      </c>
      <c r="T220" s="145">
        <f>T86-T207-T209-T210-T216-T217</f>
        <v>1132412.4760628128</v>
      </c>
      <c r="U220" s="145">
        <f>U86-U207-U209-U210-U216-U217</f>
        <v>-74446.39939778985</v>
      </c>
      <c r="V220" s="145">
        <f>V86-V207-V209-V210-V216-V217</f>
        <v>-541385.70070068853</v>
      </c>
      <c r="W220" s="145">
        <f>W86-W207-W209-W210-W216-W217</f>
        <v>-20451.299999999988</v>
      </c>
      <c r="X220" s="145">
        <f>X86-X207-X209-X210-X216-X217-X211</f>
        <v>496129.07596433349</v>
      </c>
      <c r="Z220" s="145">
        <f>Z86-Z207-Z209-Z210-Z216-Z217</f>
        <v>2086525.9196525551</v>
      </c>
      <c r="AA220" s="145">
        <f>AA86-AA207-AA209-AA210-AA216-AA217</f>
        <v>-86075.864047511976</v>
      </c>
      <c r="AB220" s="145">
        <f>AB86-AB207-AB209-AB210-AB216-AB217</f>
        <v>-1164449.5002352982</v>
      </c>
      <c r="AC220" s="145">
        <f>AC86-AC207-AC209-AC210-AC216-AC217</f>
        <v>-23857.79999999993</v>
      </c>
      <c r="AD220" s="145">
        <f>AD86-AD207-AD209-AD210-AD216-AD217-AD211</f>
        <v>812142.75536974892</v>
      </c>
      <c r="AF220" s="145">
        <f>AF86-AF207-AF209-AF210-AF216-AF217</f>
        <v>266237.10437978432</v>
      </c>
      <c r="AG220" s="145">
        <f>AG86-AG207-AG209-AG210-AG216-AG217</f>
        <v>142668.58250000002</v>
      </c>
      <c r="AH220" s="145">
        <f>AH86-AH207-AH209-AH210-AH216-AH217</f>
        <v>-362755.19999999995</v>
      </c>
      <c r="AI220" s="145">
        <f>AI86-AI207-AI209-AI210-AI216-AI217</f>
        <v>34744.559999999998</v>
      </c>
      <c r="AJ220" s="145">
        <f>AJ86-AJ207-AJ209-AJ210-AJ216-AJ217-AJ211</f>
        <v>80895.046879784204</v>
      </c>
      <c r="AL220" s="145">
        <f>AL86-AL207-AL209-AL210-AL216-AL217</f>
        <v>-233776.97070416002</v>
      </c>
      <c r="AM220" s="145">
        <f>AM86-AM207-AM209-AM210-AM216-AM217</f>
        <v>-41231.906558949995</v>
      </c>
      <c r="AN220" s="145">
        <f>AN86-AN207-AN209-AN210-AN216-AN217</f>
        <v>0</v>
      </c>
      <c r="AO220" s="145">
        <f>AO86-AO207-AO209-AO210-AO216-AO217</f>
        <v>0</v>
      </c>
      <c r="AP220" s="145">
        <f>AP86-AP207-AP209-AP210-AP216-AP217-AP211</f>
        <v>-275008.87726311001</v>
      </c>
      <c r="AR220" s="145">
        <f>AR86-AR207-AR209-AR210-AR216-AR217</f>
        <v>483619.20000000019</v>
      </c>
      <c r="AS220" s="145">
        <f>AS86-AS207-AS209-AS210-AS216-AS217</f>
        <v>15911.5</v>
      </c>
      <c r="AT220" s="145">
        <f>AT86-AT207-AT209-AT210-AT216-AT217</f>
        <v>-113899.5</v>
      </c>
      <c r="AU220" s="145">
        <f>AU86-AU207-AU209-AU210-AU216-AU217</f>
        <v>14104</v>
      </c>
      <c r="AV220" s="145">
        <f>AV86-AV207-AV209-AV210-AV216-AV217</f>
        <v>399735.20000000019</v>
      </c>
      <c r="AX220" s="145">
        <f>AX86-AX207-AX209-AX210-AX216-AX217</f>
        <v>10461246.670203097</v>
      </c>
      <c r="AY220" s="145">
        <f>AY86-AY207-AY209-AY210-AY216-AY217</f>
        <v>-409149.14129025978</v>
      </c>
      <c r="AZ220" s="145">
        <f>AZ86-AZ207-AZ209-AZ210-AZ216-AZ217</f>
        <v>-4430905.3150739931</v>
      </c>
      <c r="BA220" s="145">
        <f>BA86-BA207-BA209-BA210-BA216-BA217</f>
        <v>-49065.199999999953</v>
      </c>
      <c r="BB220" s="145">
        <f>BB86-BB207-BB209-BB210-BB216-BB217-BB211</f>
        <v>3078127.01383885</v>
      </c>
    </row>
    <row r="221" spans="1:54" ht="15.75" thickBot="1" x14ac:dyDescent="0.3">
      <c r="A221" s="108"/>
      <c r="B221" s="110">
        <f>B220/(B86-B76)</f>
        <v>9.3562535226680718E-2</v>
      </c>
      <c r="C221" s="110">
        <f>C220/(C86-C76)</f>
        <v>-0.714607426249804</v>
      </c>
      <c r="D221" s="110">
        <f>D220/(D86-D76)</f>
        <v>-1.4113868824187075</v>
      </c>
      <c r="E221" s="110">
        <f>E220/(E86)</f>
        <v>-4.9801587301587132E-2</v>
      </c>
      <c r="F221" s="110">
        <f>F220/(F86-F76)</f>
        <v>8.4357651126256306E-3</v>
      </c>
      <c r="H221" s="110">
        <f>H220/(H86-H76)</f>
        <v>0.26334222631821386</v>
      </c>
      <c r="I221" s="110">
        <f>I220/(I86-I76)</f>
        <v>-0.46085102015934659</v>
      </c>
      <c r="J221" s="110">
        <f>J220/(J86-J76)</f>
        <v>-1.1251569793886151</v>
      </c>
      <c r="K221" s="110">
        <f>K220/(K86)</f>
        <v>-4.9170953160314938E-2</v>
      </c>
      <c r="L221" s="110">
        <f>L220/(L86-L76)</f>
        <v>5.5124018547535264E-2</v>
      </c>
      <c r="N221" s="110">
        <f>N220/(N86-N76)</f>
        <v>0.13948958292658442</v>
      </c>
      <c r="O221" s="110">
        <f>O220/(O86-O76)</f>
        <v>-1.2918551946526258</v>
      </c>
      <c r="P221" s="110">
        <f>P220/(P86-P76)</f>
        <v>-1.9780680268751782</v>
      </c>
      <c r="Q221" s="110">
        <f>Q220/(Q86)</f>
        <v>-6.3332708411448696E-2</v>
      </c>
      <c r="R221" s="110">
        <f>R220/(R86-R76)</f>
        <v>4.725649973180384E-2</v>
      </c>
      <c r="T221" s="110">
        <f>T220/(T86-T76)</f>
        <v>0.12270092715567653</v>
      </c>
      <c r="U221" s="110">
        <f>U220/(U86-U76)</f>
        <v>-0.66319488181961361</v>
      </c>
      <c r="V221" s="110">
        <f>V220/(V86-V76)</f>
        <v>-1.401661055708006</v>
      </c>
      <c r="W221" s="110">
        <f>W220/(W86)</f>
        <v>-0.17812006009536863</v>
      </c>
      <c r="X221" s="110">
        <f>X220/(X86-X76)</f>
        <v>5.100249199750282E-2</v>
      </c>
      <c r="Z221" s="110">
        <f>Z220/(Z86-Z76)</f>
        <v>0.11284522279266339</v>
      </c>
      <c r="AA221" s="110">
        <f>AA220/(AA86-AA76)</f>
        <v>-0.48587893452484388</v>
      </c>
      <c r="AB221" s="110">
        <f>AB220/(AB86-AB76)</f>
        <v>-1.6569315536691474</v>
      </c>
      <c r="AC221" s="110">
        <f>AC220/(AC86)</f>
        <v>-6.480069098138895E-2</v>
      </c>
      <c r="AD221" s="110">
        <f>AD220/(AD86-AD76)</f>
        <v>4.1927677403089454E-2</v>
      </c>
      <c r="AF221" s="110">
        <f>AF220/(AF86-AF76)</f>
        <v>3.6511374090981902E-2</v>
      </c>
      <c r="AG221" s="110">
        <f>AG220/(AG86-AG76)</f>
        <v>0.31477534738252089</v>
      </c>
      <c r="AH221" s="110">
        <f>AH220/(AH86-AH76)</f>
        <v>-1.0531126981362131</v>
      </c>
      <c r="AI221" s="110">
        <f>AI220/(AI86)</f>
        <v>8.1556324222006885E-2</v>
      </c>
      <c r="AJ221" s="110">
        <f>AJ220/(AJ86-AJ76)</f>
        <v>9.9995925252849924E-3</v>
      </c>
      <c r="AL221" s="110">
        <f>AL220/(AL86-AL76)</f>
        <v>-85.947415700058826</v>
      </c>
      <c r="AM221" s="110">
        <f>AM220/(AM86-AM76)</f>
        <v>-343.59922132458331</v>
      </c>
      <c r="AN221" s="110" t="e">
        <f>AN220/(AN86-AN76)</f>
        <v>#DIV/0!</v>
      </c>
      <c r="AO221" s="110" t="e">
        <f>AO220/(AO86)</f>
        <v>#DIV/0!</v>
      </c>
      <c r="AP221" s="110">
        <f>AP220/(AP86-AP76)</f>
        <v>-96.834111712362684</v>
      </c>
      <c r="AR221" s="110">
        <f>AR220/(AR86-AR76)</f>
        <v>0.20392794494670094</v>
      </c>
      <c r="AS221" s="110">
        <f>AS220/(AS86-AS76)</f>
        <v>0.66022821576763491</v>
      </c>
      <c r="AT221" s="110">
        <f>AT220/(AT86-AT76)</f>
        <v>-1.352243856108275</v>
      </c>
      <c r="AU221" s="110">
        <f>AU220/(AU86)</f>
        <v>0.15692033822874946</v>
      </c>
      <c r="AV221" s="110">
        <f>AV220/(AV86-AV76)</f>
        <v>0.16022414173196792</v>
      </c>
      <c r="AX221" s="110">
        <f>AX220/(AX86-AX76)</f>
        <v>0.14705023521837488</v>
      </c>
      <c r="AY221" s="110">
        <f>AY220/(AY86-AY76)</f>
        <v>-0.3240029358794419</v>
      </c>
      <c r="AZ221" s="110">
        <f>AZ220/(AZ86-AZ76)</f>
        <v>-1.3727722136779528</v>
      </c>
      <c r="BA221" s="110">
        <f>BA220/(BA86)</f>
        <v>-2.4159586850837137E-2</v>
      </c>
      <c r="BB221" s="110">
        <f>BB220/(BB86-BB76)</f>
        <v>4.0691006108791623E-2</v>
      </c>
    </row>
    <row r="222" spans="1:54" x14ac:dyDescent="0.25">
      <c r="B222" s="111"/>
      <c r="C222" s="111"/>
      <c r="D222" s="111"/>
      <c r="E222" s="111"/>
      <c r="F222" s="111"/>
      <c r="H222" s="111"/>
      <c r="I222" s="111"/>
      <c r="J222" s="111"/>
      <c r="K222" s="111"/>
      <c r="L222" s="111"/>
      <c r="N222" s="111"/>
      <c r="O222" s="111"/>
      <c r="P222" s="111"/>
      <c r="Q222" s="111"/>
      <c r="R222" s="111"/>
      <c r="T222" s="111"/>
      <c r="U222" s="111"/>
      <c r="V222" s="111"/>
      <c r="W222" s="111"/>
      <c r="X222" s="111"/>
      <c r="Z222" s="111"/>
      <c r="AA222" s="111"/>
      <c r="AB222" s="111"/>
      <c r="AC222" s="111"/>
      <c r="AD222" s="111"/>
      <c r="AF222" s="111"/>
      <c r="AG222" s="111"/>
      <c r="AH222" s="111"/>
      <c r="AI222" s="111"/>
      <c r="AJ222" s="111"/>
      <c r="AL222" s="111"/>
      <c r="AM222" s="111"/>
      <c r="AN222" s="111"/>
      <c r="AO222" s="111"/>
      <c r="AP222" s="111"/>
      <c r="AR222" s="111"/>
      <c r="AS222" s="111"/>
      <c r="AT222" s="111"/>
      <c r="AU222" s="111"/>
      <c r="AV222" s="111"/>
      <c r="AX222" s="111"/>
      <c r="AY222" s="111"/>
      <c r="AZ222" s="111"/>
      <c r="BA222" s="111"/>
      <c r="BB222" s="111"/>
    </row>
    <row r="223" spans="1:54" x14ac:dyDescent="0.25">
      <c r="A223" s="112" t="str">
        <f>A1</f>
        <v xml:space="preserve"> FY 26</v>
      </c>
      <c r="B223" s="112" t="str">
        <f>B1</f>
        <v>Operating</v>
      </c>
      <c r="C223" s="112" t="str">
        <f>C1</f>
        <v>Weights</v>
      </c>
      <c r="D223" s="112" t="str">
        <f>D1</f>
        <v>SPED</v>
      </c>
      <c r="E223" s="112" t="str">
        <f t="shared" ref="E223:F223" si="539">E1</f>
        <v>NSLP</v>
      </c>
      <c r="F223" s="112" t="str">
        <f t="shared" si="539"/>
        <v>Horizon</v>
      </c>
      <c r="H223" s="112" t="str">
        <f>H1</f>
        <v>Operating</v>
      </c>
      <c r="I223" s="112" t="str">
        <f>I1</f>
        <v>Weights</v>
      </c>
      <c r="J223" s="112" t="str">
        <f>J1</f>
        <v>SPED</v>
      </c>
      <c r="K223" s="112" t="str">
        <f t="shared" ref="K223:L223" si="540">K1</f>
        <v>NSLP</v>
      </c>
      <c r="L223" s="112" t="str">
        <f t="shared" si="540"/>
        <v>Cadence</v>
      </c>
      <c r="N223" s="112" t="str">
        <f>N1</f>
        <v>Operating</v>
      </c>
      <c r="O223" s="112" t="str">
        <f>O1</f>
        <v>Weights</v>
      </c>
      <c r="P223" s="112" t="str">
        <f>P1</f>
        <v>SPED</v>
      </c>
      <c r="Q223" s="112" t="str">
        <f t="shared" ref="Q223:R223" si="541">Q1</f>
        <v>NSLP</v>
      </c>
      <c r="R223" s="112" t="str">
        <f t="shared" si="541"/>
        <v>St. Rose</v>
      </c>
      <c r="T223" s="112" t="str">
        <f>T1</f>
        <v>Operating</v>
      </c>
      <c r="U223" s="112" t="str">
        <f>U1</f>
        <v>Weights</v>
      </c>
      <c r="V223" s="112" t="str">
        <f>V1</f>
        <v>SPED</v>
      </c>
      <c r="W223" s="112" t="str">
        <f t="shared" ref="W223:X223" si="542">W1</f>
        <v>NSLP</v>
      </c>
      <c r="X223" s="112" t="str">
        <f t="shared" si="542"/>
        <v>Inspirada</v>
      </c>
      <c r="Z223" s="112" t="str">
        <f>Z1</f>
        <v>Operating</v>
      </c>
      <c r="AA223" s="112" t="str">
        <f>AA1</f>
        <v>Weights</v>
      </c>
      <c r="AB223" s="112" t="str">
        <f>AB1</f>
        <v>SPED</v>
      </c>
      <c r="AC223" s="112" t="str">
        <f t="shared" ref="AC223:AD223" si="543">AC1</f>
        <v>NSLP</v>
      </c>
      <c r="AD223" s="112" t="str">
        <f t="shared" si="543"/>
        <v>Sloan Canyon</v>
      </c>
      <c r="AF223" s="112" t="str">
        <f>AF1</f>
        <v>Operating</v>
      </c>
      <c r="AG223" s="112" t="str">
        <f>AG1</f>
        <v>Weights</v>
      </c>
      <c r="AH223" s="112" t="str">
        <f>AH1</f>
        <v>SPED</v>
      </c>
      <c r="AI223" s="112" t="str">
        <f t="shared" ref="AI223:AJ223" si="544">AI1</f>
        <v>NSLP</v>
      </c>
      <c r="AJ223" s="112" t="str">
        <f t="shared" si="544"/>
        <v>Springs</v>
      </c>
      <c r="AL223" s="112" t="str">
        <f>AL1</f>
        <v>Operating</v>
      </c>
      <c r="AM223" s="112" t="str">
        <f>AM1</f>
        <v>Weights</v>
      </c>
      <c r="AN223" s="112" t="str">
        <f>AN1</f>
        <v>SPED</v>
      </c>
      <c r="AO223" s="112" t="str">
        <f t="shared" ref="AO223:AP223" si="545">AO1</f>
        <v>NSLP</v>
      </c>
      <c r="AP223" s="112" t="str">
        <f t="shared" si="545"/>
        <v>System Wide</v>
      </c>
      <c r="AR223" s="112" t="str">
        <f>AR1</f>
        <v>Operating</v>
      </c>
      <c r="AS223" s="112" t="str">
        <f>AS1</f>
        <v>Weights</v>
      </c>
      <c r="AT223" s="112" t="str">
        <f>AT1</f>
        <v>SPED</v>
      </c>
      <c r="AU223" s="112" t="str">
        <f t="shared" ref="AU223:AV223" si="546">AU1</f>
        <v>NSLP</v>
      </c>
      <c r="AV223" s="112" t="str">
        <f t="shared" si="546"/>
        <v>Virtual</v>
      </c>
      <c r="AX223" s="112" t="str">
        <f>AX1</f>
        <v>Operating</v>
      </c>
      <c r="AY223" s="112" t="str">
        <f>AY1</f>
        <v>Weights</v>
      </c>
      <c r="AZ223" s="112" t="str">
        <f>AZ1</f>
        <v>SPED</v>
      </c>
      <c r="BA223" s="112" t="str">
        <f t="shared" ref="BA223:BB223" si="547">BA1</f>
        <v>NSLP</v>
      </c>
      <c r="BB223" s="112" t="str">
        <f t="shared" si="547"/>
        <v>Pinecrest System</v>
      </c>
    </row>
    <row r="224" spans="1:54" x14ac:dyDescent="0.25">
      <c r="B224" s="109"/>
      <c r="C224" s="109"/>
      <c r="D224" s="109"/>
      <c r="E224" s="109"/>
      <c r="F224" s="109"/>
      <c r="H224" s="109"/>
      <c r="I224" s="109"/>
      <c r="J224" s="109"/>
      <c r="K224" s="109"/>
      <c r="L224" s="109"/>
      <c r="N224" s="109"/>
      <c r="O224" s="109"/>
      <c r="P224" s="109"/>
      <c r="Q224" s="109"/>
      <c r="R224" s="109"/>
      <c r="T224" s="109"/>
      <c r="U224" s="109"/>
      <c r="V224" s="109"/>
      <c r="W224" s="109"/>
      <c r="X224" s="109"/>
      <c r="Z224" s="109"/>
      <c r="AA224" s="109"/>
      <c r="AB224" s="109"/>
      <c r="AC224" s="109"/>
      <c r="AD224" s="109"/>
      <c r="AF224" s="109"/>
      <c r="AG224" s="109"/>
      <c r="AH224" s="109"/>
      <c r="AI224" s="109"/>
      <c r="AJ224" s="109"/>
      <c r="AL224" s="109"/>
      <c r="AM224" s="109"/>
      <c r="AN224" s="109"/>
      <c r="AO224" s="109"/>
      <c r="AP224" s="109"/>
      <c r="AR224" s="109"/>
      <c r="AS224" s="109"/>
      <c r="AT224" s="109"/>
      <c r="AU224" s="109"/>
      <c r="AV224" s="109"/>
      <c r="AX224" s="109"/>
      <c r="AY224" s="109"/>
      <c r="AZ224" s="109"/>
      <c r="BA224" s="109"/>
      <c r="BB224" s="109"/>
    </row>
    <row r="225" spans="1:54" x14ac:dyDescent="0.25">
      <c r="A225" s="112"/>
      <c r="B225" s="71"/>
      <c r="C225" s="71"/>
      <c r="D225" s="71"/>
      <c r="E225" s="71"/>
      <c r="F225" s="71"/>
      <c r="H225" s="71"/>
      <c r="I225" s="71"/>
      <c r="J225" s="71"/>
      <c r="K225" s="71"/>
      <c r="L225" s="71"/>
      <c r="N225" s="71"/>
      <c r="O225" s="71"/>
      <c r="P225" s="71"/>
      <c r="Q225" s="71"/>
      <c r="R225" s="71"/>
      <c r="T225" s="71"/>
      <c r="U225" s="71"/>
      <c r="V225" s="71"/>
      <c r="W225" s="71"/>
      <c r="X225" s="71"/>
      <c r="Z225" s="71"/>
      <c r="AA225" s="71"/>
      <c r="AB225" s="71"/>
      <c r="AC225" s="71"/>
      <c r="AD225" s="71"/>
      <c r="AF225" s="71"/>
      <c r="AG225" s="71"/>
      <c r="AH225" s="71"/>
      <c r="AI225" s="71"/>
      <c r="AJ225" s="71"/>
      <c r="AL225" s="71"/>
      <c r="AM225" s="71"/>
      <c r="AN225" s="71"/>
      <c r="AO225" s="71"/>
      <c r="AP225" s="71"/>
      <c r="AR225" s="71"/>
      <c r="AS225" s="71"/>
      <c r="AT225" s="71"/>
      <c r="AU225" s="71"/>
      <c r="AV225" s="71"/>
      <c r="AX225" s="71"/>
      <c r="AY225" s="71"/>
      <c r="AZ225" s="71"/>
      <c r="BA225" s="71"/>
      <c r="BB225" s="71"/>
    </row>
    <row r="226" spans="1:54" x14ac:dyDescent="0.25">
      <c r="B226" s="109"/>
      <c r="C226" s="109"/>
      <c r="D226" s="109"/>
      <c r="E226" s="109"/>
      <c r="F226" s="109"/>
      <c r="H226" s="109"/>
      <c r="I226" s="109"/>
      <c r="J226" s="109"/>
      <c r="K226" s="109"/>
      <c r="L226" s="109"/>
      <c r="N226" s="109"/>
      <c r="O226" s="109"/>
      <c r="P226" s="109"/>
      <c r="Q226" s="109"/>
      <c r="R226" s="109"/>
      <c r="T226" s="109"/>
      <c r="U226" s="109"/>
      <c r="V226" s="109"/>
      <c r="W226" s="109"/>
      <c r="X226" s="109"/>
      <c r="Z226" s="109"/>
      <c r="AA226" s="109"/>
      <c r="AB226" s="109"/>
      <c r="AC226" s="109"/>
      <c r="AD226" s="109"/>
      <c r="AF226" s="109"/>
      <c r="AG226" s="109"/>
      <c r="AH226" s="109"/>
      <c r="AI226" s="109"/>
      <c r="AJ226" s="109"/>
      <c r="AL226" s="109"/>
      <c r="AM226" s="109"/>
      <c r="AN226" s="109"/>
      <c r="AO226" s="109"/>
      <c r="AP226" s="109"/>
      <c r="AR226" s="109"/>
      <c r="AS226" s="109"/>
      <c r="AT226" s="109"/>
      <c r="AU226" s="109"/>
      <c r="AV226" s="109" t="e">
        <f>AV220=#REF!</f>
        <v>#REF!</v>
      </c>
      <c r="AX226" s="109"/>
      <c r="AY226" s="109"/>
      <c r="AZ226" s="109"/>
      <c r="BA226" s="109"/>
      <c r="BB226" s="10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C226"/>
  <sheetViews>
    <sheetView topLeftCell="A35" zoomScale="75" zoomScaleNormal="75" workbookViewId="0">
      <pane xSplit="1" topLeftCell="S1" activePane="topRight" state="frozen"/>
      <selection pane="topRight" activeCell="AG45" sqref="AG45"/>
    </sheetView>
  </sheetViews>
  <sheetFormatPr defaultRowHeight="15" x14ac:dyDescent="0.25"/>
  <cols>
    <col min="1" max="1" width="46.85546875" customWidth="1"/>
    <col min="2" max="2" width="16.42578125" customWidth="1"/>
    <col min="3" max="3" width="14.85546875" customWidth="1"/>
    <col min="4" max="4" width="16.42578125" customWidth="1"/>
    <col min="5" max="6" width="14.85546875" customWidth="1"/>
    <col min="7" max="7" width="8.85546875" style="199"/>
    <col min="8" max="8" width="16.42578125" customWidth="1"/>
    <col min="9" max="9" width="14.85546875" customWidth="1"/>
    <col min="10" max="10" width="16.42578125" customWidth="1"/>
    <col min="11" max="12" width="14.85546875" customWidth="1"/>
    <col min="13" max="13" width="8.85546875" style="199"/>
    <col min="14" max="14" width="16.42578125" customWidth="1"/>
    <col min="15" max="15" width="14.85546875" customWidth="1"/>
    <col min="16" max="16" width="16.42578125" customWidth="1"/>
    <col min="17" max="18" width="14.85546875" customWidth="1"/>
    <col min="19" max="19" width="8.85546875" style="199"/>
    <col min="20" max="20" width="16.42578125" customWidth="1"/>
    <col min="21" max="21" width="14.85546875" customWidth="1"/>
    <col min="22" max="22" width="16.42578125" customWidth="1"/>
    <col min="23" max="24" width="14.85546875" customWidth="1"/>
    <col min="25" max="25" width="8.85546875" style="199"/>
    <col min="26" max="26" width="16.42578125" customWidth="1"/>
    <col min="27" max="27" width="14.85546875" customWidth="1"/>
    <col min="28" max="28" width="16.42578125" customWidth="1"/>
    <col min="29" max="30" width="14.85546875" customWidth="1"/>
    <col min="31" max="31" width="8.85546875" style="199"/>
    <col min="32" max="32" width="16.42578125" customWidth="1"/>
    <col min="33" max="33" width="14.85546875" customWidth="1"/>
    <col min="34" max="34" width="16.42578125" customWidth="1"/>
    <col min="35" max="36" width="14.85546875" customWidth="1"/>
    <col min="37" max="37" width="8.85546875" style="199"/>
    <col min="38" max="38" width="16.42578125" customWidth="1"/>
    <col min="39" max="39" width="14.85546875" customWidth="1"/>
    <col min="40" max="40" width="16.42578125" customWidth="1"/>
    <col min="41" max="42" width="14.85546875" customWidth="1"/>
    <col min="43" max="43" width="8.85546875" style="199"/>
    <col min="44" max="44" width="16.42578125" customWidth="1"/>
    <col min="45" max="45" width="14.85546875" customWidth="1"/>
    <col min="46" max="46" width="16.42578125" customWidth="1"/>
    <col min="47" max="48" width="14.85546875" customWidth="1"/>
    <col min="50" max="50" width="16.42578125" customWidth="1"/>
    <col min="51" max="51" width="14.85546875" customWidth="1"/>
    <col min="52" max="52" width="16.42578125" customWidth="1"/>
    <col min="53" max="53" width="14.85546875" customWidth="1"/>
    <col min="54" max="54" width="17.140625" bestFit="1" customWidth="1"/>
  </cols>
  <sheetData>
    <row r="1" spans="1:54" x14ac:dyDescent="0.25">
      <c r="A1" s="1" t="s">
        <v>261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238</v>
      </c>
      <c r="H1" s="3" t="s">
        <v>1</v>
      </c>
      <c r="I1" s="3" t="s">
        <v>2</v>
      </c>
      <c r="J1" s="3" t="s">
        <v>3</v>
      </c>
      <c r="K1" s="3" t="s">
        <v>4</v>
      </c>
      <c r="L1" s="3" t="s">
        <v>208</v>
      </c>
      <c r="N1" s="3" t="s">
        <v>1</v>
      </c>
      <c r="O1" s="3" t="s">
        <v>2</v>
      </c>
      <c r="P1" s="3" t="s">
        <v>3</v>
      </c>
      <c r="Q1" s="3" t="s">
        <v>4</v>
      </c>
      <c r="R1" s="3" t="s">
        <v>215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231</v>
      </c>
      <c r="Z1" s="3" t="s">
        <v>1</v>
      </c>
      <c r="AA1" s="3" t="s">
        <v>2</v>
      </c>
      <c r="AB1" s="3" t="s">
        <v>3</v>
      </c>
      <c r="AC1" s="3" t="s">
        <v>4</v>
      </c>
      <c r="AD1" s="3" t="s">
        <v>240</v>
      </c>
      <c r="AF1" s="3" t="s">
        <v>1</v>
      </c>
      <c r="AG1" s="3" t="s">
        <v>2</v>
      </c>
      <c r="AH1" s="3" t="s">
        <v>3</v>
      </c>
      <c r="AI1" s="3" t="s">
        <v>4</v>
      </c>
      <c r="AJ1" s="340" t="s">
        <v>258</v>
      </c>
      <c r="AL1" s="3" t="s">
        <v>1</v>
      </c>
      <c r="AM1" s="3" t="s">
        <v>2</v>
      </c>
      <c r="AN1" s="3" t="s">
        <v>3</v>
      </c>
      <c r="AO1" s="3" t="s">
        <v>4</v>
      </c>
      <c r="AP1" s="3" t="s">
        <v>241</v>
      </c>
      <c r="AR1" s="3" t="s">
        <v>1</v>
      </c>
      <c r="AS1" s="3" t="s">
        <v>2</v>
      </c>
      <c r="AT1" s="3" t="s">
        <v>3</v>
      </c>
      <c r="AU1" s="3" t="s">
        <v>4</v>
      </c>
      <c r="AV1" s="3" t="s">
        <v>242</v>
      </c>
      <c r="AX1" s="3" t="s">
        <v>1</v>
      </c>
      <c r="AY1" s="3" t="s">
        <v>2</v>
      </c>
      <c r="AZ1" s="3" t="s">
        <v>3</v>
      </c>
      <c r="BA1" s="3" t="s">
        <v>4</v>
      </c>
      <c r="BB1" s="3" t="s">
        <v>243</v>
      </c>
    </row>
    <row r="2" spans="1:54" x14ac:dyDescent="0.25">
      <c r="A2" s="6" t="s">
        <v>7</v>
      </c>
      <c r="B2" s="7">
        <f>7293*1.013*1.013*1.013*1.013</f>
        <v>7679.6954011793705</v>
      </c>
      <c r="C2" s="7">
        <v>0</v>
      </c>
      <c r="D2" s="7">
        <v>0</v>
      </c>
      <c r="E2" s="7">
        <v>0</v>
      </c>
      <c r="F2" s="7">
        <f>SUM(B2:E2)</f>
        <v>7679.6954011793705</v>
      </c>
      <c r="H2" s="7">
        <f>7293*1.013*1.013*1.013*1.013</f>
        <v>7679.6954011793705</v>
      </c>
      <c r="I2" s="7">
        <v>0</v>
      </c>
      <c r="J2" s="7">
        <v>0</v>
      </c>
      <c r="K2" s="7">
        <v>0</v>
      </c>
      <c r="L2" s="7">
        <f>SUM(H2:K2)</f>
        <v>7679.6954011793705</v>
      </c>
      <c r="N2" s="7">
        <f>7293*1.013*1.013*1.013*1.013</f>
        <v>7679.6954011793705</v>
      </c>
      <c r="O2" s="7">
        <v>0</v>
      </c>
      <c r="P2" s="7">
        <v>0</v>
      </c>
      <c r="Q2" s="7">
        <v>0</v>
      </c>
      <c r="R2" s="7">
        <f>SUM(N2:Q2)</f>
        <v>7679.6954011793705</v>
      </c>
      <c r="T2" s="7">
        <f>7293*1.013*1.013*1.013*1.013</f>
        <v>7679.6954011793705</v>
      </c>
      <c r="U2" s="7">
        <v>0</v>
      </c>
      <c r="V2" s="7">
        <v>0</v>
      </c>
      <c r="W2" s="7">
        <v>0</v>
      </c>
      <c r="X2" s="7">
        <f>SUM(T2:W2)</f>
        <v>7679.6954011793705</v>
      </c>
      <c r="Z2" s="7">
        <f>7293*1.013*1.013*1.013*1.013</f>
        <v>7679.6954011793705</v>
      </c>
      <c r="AA2" s="7">
        <v>0</v>
      </c>
      <c r="AB2" s="7">
        <v>0</v>
      </c>
      <c r="AC2" s="7">
        <v>0</v>
      </c>
      <c r="AD2" s="7">
        <f>SUM(Z2:AC2)</f>
        <v>7679.6954011793705</v>
      </c>
      <c r="AF2" s="7">
        <f>7293*1.013*1.013*1.013*1.013</f>
        <v>7679.6954011793705</v>
      </c>
      <c r="AG2" s="7">
        <v>0</v>
      </c>
      <c r="AH2" s="7">
        <v>0</v>
      </c>
      <c r="AI2" s="7">
        <v>0</v>
      </c>
      <c r="AJ2" s="7">
        <f>SUM(AF2:AI2)</f>
        <v>7679.6954011793705</v>
      </c>
      <c r="AL2" s="7">
        <v>0</v>
      </c>
      <c r="AM2" s="7">
        <v>0</v>
      </c>
      <c r="AN2" s="7">
        <v>0</v>
      </c>
      <c r="AO2" s="7">
        <v>0</v>
      </c>
      <c r="AP2" s="7">
        <f>SUM(AL2:AO2)</f>
        <v>0</v>
      </c>
      <c r="AR2" s="7">
        <v>7500</v>
      </c>
      <c r="AS2" s="7">
        <v>0</v>
      </c>
      <c r="AT2" s="7">
        <v>0</v>
      </c>
      <c r="AU2" s="7">
        <v>0</v>
      </c>
      <c r="AV2" s="7">
        <f>SUM(AR2:AU2)</f>
        <v>7500</v>
      </c>
      <c r="AX2" s="7">
        <f>AX87/AX19</f>
        <v>7672.3339299125691</v>
      </c>
      <c r="AY2" s="7">
        <v>0</v>
      </c>
      <c r="AZ2" s="7">
        <v>0</v>
      </c>
      <c r="BA2" s="7">
        <v>0</v>
      </c>
      <c r="BB2" s="7">
        <f>SUM(AX2:BA2)</f>
        <v>7672.3339299125691</v>
      </c>
    </row>
    <row r="3" spans="1:54" hidden="1" x14ac:dyDescent="0.25">
      <c r="A3" s="8"/>
      <c r="B3" s="7">
        <v>0</v>
      </c>
      <c r="C3" s="7">
        <v>0</v>
      </c>
      <c r="D3" s="7"/>
      <c r="E3" s="7">
        <v>0</v>
      </c>
      <c r="F3" s="7">
        <f>SUM(B3:E3)</f>
        <v>0</v>
      </c>
      <c r="H3" s="7">
        <v>0</v>
      </c>
      <c r="I3" s="7">
        <v>0</v>
      </c>
      <c r="J3" s="7"/>
      <c r="K3" s="7">
        <v>0</v>
      </c>
      <c r="L3" s="7">
        <f>SUM(H3:K3)</f>
        <v>0</v>
      </c>
      <c r="N3" s="7">
        <v>0</v>
      </c>
      <c r="O3" s="7">
        <v>0</v>
      </c>
      <c r="P3" s="7"/>
      <c r="Q3" s="7">
        <v>0</v>
      </c>
      <c r="R3" s="7">
        <f>SUM(N3:Q3)</f>
        <v>0</v>
      </c>
      <c r="T3" s="7">
        <v>0</v>
      </c>
      <c r="U3" s="7">
        <v>0</v>
      </c>
      <c r="V3" s="7"/>
      <c r="W3" s="7">
        <v>0</v>
      </c>
      <c r="X3" s="7">
        <f>SUM(T3:W3)</f>
        <v>0</v>
      </c>
      <c r="Z3" s="7">
        <v>0</v>
      </c>
      <c r="AA3" s="7">
        <v>0</v>
      </c>
      <c r="AB3" s="7"/>
      <c r="AC3" s="7">
        <v>0</v>
      </c>
      <c r="AD3" s="7">
        <f>SUM(Z3:AC3)</f>
        <v>0</v>
      </c>
      <c r="AF3" s="7">
        <v>0</v>
      </c>
      <c r="AG3" s="7">
        <v>0</v>
      </c>
      <c r="AH3" s="7"/>
      <c r="AI3" s="7">
        <v>0</v>
      </c>
      <c r="AJ3" s="7">
        <f>SUM(AF3:AI3)</f>
        <v>0</v>
      </c>
      <c r="AL3" s="7">
        <v>0</v>
      </c>
      <c r="AM3" s="7">
        <v>0</v>
      </c>
      <c r="AN3" s="7"/>
      <c r="AO3" s="7">
        <v>0</v>
      </c>
      <c r="AP3" s="7">
        <f>SUM(AL3:AO3)</f>
        <v>0</v>
      </c>
      <c r="AR3" s="7">
        <v>0</v>
      </c>
      <c r="AS3" s="7">
        <v>0</v>
      </c>
      <c r="AT3" s="7"/>
      <c r="AU3" s="7">
        <v>0</v>
      </c>
      <c r="AV3" s="7">
        <f>SUM(AR3:AU3)</f>
        <v>0</v>
      </c>
      <c r="AX3" s="7">
        <v>0</v>
      </c>
      <c r="AY3" s="7">
        <v>0</v>
      </c>
      <c r="AZ3" s="7"/>
      <c r="BA3" s="7">
        <v>0</v>
      </c>
      <c r="BB3" s="7">
        <f>SUM(AX3:BA3)</f>
        <v>0</v>
      </c>
    </row>
    <row r="4" spans="1:54" hidden="1" x14ac:dyDescent="0.25">
      <c r="A4" s="8"/>
      <c r="B4" s="139"/>
      <c r="C4" s="139"/>
      <c r="D4" s="139"/>
      <c r="E4" s="139"/>
      <c r="F4" s="153"/>
      <c r="H4" s="139"/>
      <c r="I4" s="139"/>
      <c r="J4" s="139"/>
      <c r="K4" s="139"/>
      <c r="L4" s="153"/>
      <c r="N4" s="139"/>
      <c r="O4" s="139"/>
      <c r="P4" s="139"/>
      <c r="Q4" s="139"/>
      <c r="R4" s="153"/>
      <c r="T4" s="139"/>
      <c r="U4" s="139"/>
      <c r="V4" s="139"/>
      <c r="W4" s="139"/>
      <c r="X4" s="153"/>
      <c r="Z4" s="139"/>
      <c r="AA4" s="139"/>
      <c r="AB4" s="139"/>
      <c r="AC4" s="139"/>
      <c r="AD4" s="153"/>
      <c r="AF4" s="139"/>
      <c r="AG4" s="139"/>
      <c r="AH4" s="139"/>
      <c r="AI4" s="139"/>
      <c r="AJ4" s="153"/>
      <c r="AL4" s="139"/>
      <c r="AM4" s="139"/>
      <c r="AN4" s="139"/>
      <c r="AO4" s="139"/>
      <c r="AP4" s="153"/>
      <c r="AR4" s="139"/>
      <c r="AS4" s="139"/>
      <c r="AT4" s="139"/>
      <c r="AU4" s="139"/>
      <c r="AV4" s="153"/>
      <c r="AX4" s="139"/>
      <c r="AY4" s="139"/>
      <c r="AZ4" s="139"/>
      <c r="BA4" s="139"/>
      <c r="BB4" s="153"/>
    </row>
    <row r="5" spans="1:54" x14ac:dyDescent="0.25">
      <c r="A5" s="8" t="s">
        <v>8</v>
      </c>
      <c r="B5" s="9">
        <f>B6+B7+B8+B9+B10+B11+B12+B13+B14+B15+B16+B17+B18</f>
        <v>936</v>
      </c>
      <c r="C5" s="9"/>
      <c r="D5" s="9"/>
      <c r="E5" s="9"/>
      <c r="F5" s="9">
        <f t="shared" ref="F5:F19" si="0">SUM(B5:E5)</f>
        <v>936</v>
      </c>
      <c r="H5" s="9">
        <f>H6+H7+H8+H9+H10+H11+H12+H13+H14+H15+H16+H17+H18</f>
        <v>2454</v>
      </c>
      <c r="I5" s="9"/>
      <c r="J5" s="9"/>
      <c r="K5" s="9"/>
      <c r="L5" s="9">
        <f t="shared" ref="L5:L19" si="1">SUM(H5:K5)</f>
        <v>2454</v>
      </c>
      <c r="N5" s="9">
        <f>N6+N7+N8+N9+N10+N11+N12+N13+N14+N15+N16+N17+N18</f>
        <v>1016</v>
      </c>
      <c r="O5" s="9"/>
      <c r="P5" s="9"/>
      <c r="Q5" s="9"/>
      <c r="R5" s="9">
        <f t="shared" ref="R5:R19" si="2">SUM(N5:Q5)</f>
        <v>1016</v>
      </c>
      <c r="T5" s="9">
        <f>T6+T7+T8+T9+T10+T11+T12+T13+T14+T15+T16+T17+T18</f>
        <v>1215</v>
      </c>
      <c r="U5" s="9"/>
      <c r="V5" s="9"/>
      <c r="W5" s="9"/>
      <c r="X5" s="9">
        <f t="shared" ref="X5:X19" si="3">SUM(T5:W5)</f>
        <v>1215</v>
      </c>
      <c r="Z5" s="9">
        <f>Z6+Z7+Z8+Z9+Z10+Z11+Z12+Z13+Z14+Z15+Z16+Z17+Z18</f>
        <v>2429</v>
      </c>
      <c r="AA5" s="9"/>
      <c r="AB5" s="9"/>
      <c r="AC5" s="9"/>
      <c r="AD5" s="9">
        <f t="shared" ref="AD5:AD19" si="4">SUM(Z5:AC5)</f>
        <v>2429</v>
      </c>
      <c r="AF5" s="9">
        <f>AF6+AF7+AF8+AF9+AF10+AF11+AF12+AF13+AF14+AF15+AF16+AF17+AF18</f>
        <v>1080</v>
      </c>
      <c r="AG5" s="9"/>
      <c r="AH5" s="9"/>
      <c r="AI5" s="9"/>
      <c r="AJ5" s="9">
        <f t="shared" ref="AJ5:AJ19" si="5">SUM(AF5:AI5)</f>
        <v>1080</v>
      </c>
      <c r="AL5" s="9">
        <f>AL6+AL7+AL8+AL9+AL10+AL11+AL12+AL13+AL14+AL15+AL16+AL17+AL18</f>
        <v>0</v>
      </c>
      <c r="AM5" s="9"/>
      <c r="AN5" s="9"/>
      <c r="AO5" s="9"/>
      <c r="AP5" s="9">
        <f t="shared" ref="AP5:AP19" si="6">SUM(AL5:AO5)</f>
        <v>0</v>
      </c>
      <c r="AR5" s="9">
        <f>AR6+AR7+AR8+AR9+AR10+AR11+AR12+AR13+AR14+AR15+AR16+AR17+AR18</f>
        <v>390</v>
      </c>
      <c r="AS5" s="9"/>
      <c r="AT5" s="9"/>
      <c r="AU5" s="9"/>
      <c r="AV5" s="9">
        <f t="shared" ref="AV5:AV19" si="7">SUM(AR5:AU5)</f>
        <v>390</v>
      </c>
      <c r="AX5" s="9">
        <f>B5+H5+N5+T5+Z5+AL5+AR5</f>
        <v>8440</v>
      </c>
      <c r="AY5" s="9">
        <f>C5+I5+O5+U5+AA5+AM5+AS5</f>
        <v>0</v>
      </c>
      <c r="AZ5" s="9">
        <f>D5+J5+P5+V5+AB5+AN5+AT5</f>
        <v>0</v>
      </c>
      <c r="BA5" s="9">
        <f>E5+K5+Q5+W5+AC5+AO5+AU5</f>
        <v>0</v>
      </c>
      <c r="BB5" s="9">
        <f t="shared" ref="BB5:BB19" si="8">SUM(AX5:BA5)</f>
        <v>8440</v>
      </c>
    </row>
    <row r="6" spans="1:54" x14ac:dyDescent="0.25">
      <c r="A6" s="10" t="s">
        <v>9</v>
      </c>
      <c r="B6" s="11">
        <f>6*25</f>
        <v>150</v>
      </c>
      <c r="C6" s="11"/>
      <c r="D6" s="11"/>
      <c r="E6" s="11"/>
      <c r="F6" s="9">
        <f t="shared" si="0"/>
        <v>150</v>
      </c>
      <c r="G6" s="222">
        <f>F6/25</f>
        <v>6</v>
      </c>
      <c r="H6" s="11">
        <f>25*5</f>
        <v>125</v>
      </c>
      <c r="I6" s="11"/>
      <c r="J6" s="11"/>
      <c r="K6" s="11"/>
      <c r="L6" s="9">
        <f t="shared" si="1"/>
        <v>125</v>
      </c>
      <c r="M6" s="221">
        <f>L6/25</f>
        <v>5</v>
      </c>
      <c r="N6" s="11">
        <f>25*4</f>
        <v>100</v>
      </c>
      <c r="O6" s="11"/>
      <c r="P6" s="11"/>
      <c r="Q6" s="11"/>
      <c r="R6" s="9">
        <f t="shared" si="2"/>
        <v>100</v>
      </c>
      <c r="S6" s="221">
        <f>R6/25</f>
        <v>4</v>
      </c>
      <c r="T6" s="11">
        <f>25*5</f>
        <v>125</v>
      </c>
      <c r="U6" s="11"/>
      <c r="V6" s="11"/>
      <c r="W6" s="11"/>
      <c r="X6" s="9">
        <f t="shared" si="3"/>
        <v>125</v>
      </c>
      <c r="Y6" s="221">
        <f>X6/25</f>
        <v>5</v>
      </c>
      <c r="Z6" s="11">
        <f>25*5</f>
        <v>125</v>
      </c>
      <c r="AA6" s="11"/>
      <c r="AB6" s="11"/>
      <c r="AC6" s="11"/>
      <c r="AD6" s="9">
        <f t="shared" si="4"/>
        <v>125</v>
      </c>
      <c r="AE6" s="221">
        <f>AD6/25</f>
        <v>5</v>
      </c>
      <c r="AF6" s="11">
        <f t="shared" ref="AF6:AF11" si="9">25*4</f>
        <v>100</v>
      </c>
      <c r="AG6" s="11"/>
      <c r="AH6" s="11"/>
      <c r="AI6" s="11"/>
      <c r="AJ6" s="9">
        <f t="shared" si="5"/>
        <v>100</v>
      </c>
      <c r="AK6" s="221">
        <f>AJ6/25</f>
        <v>4</v>
      </c>
      <c r="AL6" s="11">
        <v>0</v>
      </c>
      <c r="AM6" s="11"/>
      <c r="AN6" s="11"/>
      <c r="AO6" s="11"/>
      <c r="AP6" s="9">
        <f t="shared" si="6"/>
        <v>0</v>
      </c>
      <c r="AR6" s="11"/>
      <c r="AS6" s="11"/>
      <c r="AT6" s="11"/>
      <c r="AU6" s="11"/>
      <c r="AV6" s="9">
        <f t="shared" si="7"/>
        <v>0</v>
      </c>
      <c r="AX6" s="94">
        <f>B6+H6+N6+T6+Z6+AF6+AL6+AR6</f>
        <v>725</v>
      </c>
      <c r="AY6" s="94">
        <f t="shared" ref="AY6:BA18" si="10">C6+I6+O6+U6+AA6+AG6+AM6+AS6</f>
        <v>0</v>
      </c>
      <c r="AZ6" s="94">
        <f t="shared" si="10"/>
        <v>0</v>
      </c>
      <c r="BA6" s="94">
        <f t="shared" si="10"/>
        <v>0</v>
      </c>
      <c r="BB6" s="9">
        <f t="shared" si="8"/>
        <v>725</v>
      </c>
    </row>
    <row r="7" spans="1:54" x14ac:dyDescent="0.25">
      <c r="A7" s="12" t="s">
        <v>10</v>
      </c>
      <c r="B7" s="11">
        <f>6*25</f>
        <v>150</v>
      </c>
      <c r="C7" s="11"/>
      <c r="D7" s="11"/>
      <c r="E7" s="11"/>
      <c r="F7" s="9">
        <f t="shared" si="0"/>
        <v>150</v>
      </c>
      <c r="G7" s="222">
        <f t="shared" ref="G7" si="11">F7/25</f>
        <v>6</v>
      </c>
      <c r="H7" s="11">
        <f>26*5</f>
        <v>130</v>
      </c>
      <c r="I7" s="11"/>
      <c r="J7" s="11"/>
      <c r="K7" s="11"/>
      <c r="L7" s="9">
        <f t="shared" si="1"/>
        <v>130</v>
      </c>
      <c r="M7" s="221">
        <f>L7/26</f>
        <v>5</v>
      </c>
      <c r="N7" s="11">
        <f>25*4</f>
        <v>100</v>
      </c>
      <c r="O7" s="11"/>
      <c r="P7" s="11"/>
      <c r="Q7" s="11"/>
      <c r="R7" s="9">
        <f t="shared" si="2"/>
        <v>100</v>
      </c>
      <c r="S7" s="221">
        <f>R7/25</f>
        <v>4</v>
      </c>
      <c r="T7" s="11">
        <f>25*5</f>
        <v>125</v>
      </c>
      <c r="U7" s="11"/>
      <c r="V7" s="11"/>
      <c r="W7" s="11"/>
      <c r="X7" s="9">
        <f t="shared" si="3"/>
        <v>125</v>
      </c>
      <c r="Y7" s="221">
        <f>X7/25</f>
        <v>5</v>
      </c>
      <c r="Z7" s="11">
        <f t="shared" ref="Z7" si="12">25*5</f>
        <v>125</v>
      </c>
      <c r="AA7" s="11"/>
      <c r="AB7" s="11"/>
      <c r="AC7" s="11"/>
      <c r="AD7" s="9">
        <f t="shared" si="4"/>
        <v>125</v>
      </c>
      <c r="AE7" s="221">
        <f>AD7/25</f>
        <v>5</v>
      </c>
      <c r="AF7" s="11">
        <f t="shared" si="9"/>
        <v>100</v>
      </c>
      <c r="AG7" s="11"/>
      <c r="AH7" s="11"/>
      <c r="AI7" s="11"/>
      <c r="AJ7" s="9">
        <f t="shared" si="5"/>
        <v>100</v>
      </c>
      <c r="AK7" s="221">
        <f t="shared" ref="AK7:AK11" si="13">AJ7/25</f>
        <v>4</v>
      </c>
      <c r="AL7" s="11">
        <v>0</v>
      </c>
      <c r="AM7" s="11"/>
      <c r="AN7" s="11"/>
      <c r="AO7" s="11"/>
      <c r="AP7" s="9">
        <f t="shared" si="6"/>
        <v>0</v>
      </c>
      <c r="AR7" s="11"/>
      <c r="AS7" s="11"/>
      <c r="AT7" s="11"/>
      <c r="AU7" s="11"/>
      <c r="AV7" s="9">
        <f t="shared" si="7"/>
        <v>0</v>
      </c>
      <c r="AX7" s="94">
        <f t="shared" ref="AX7:AX18" si="14">B7+H7+N7+T7+Z7+AF7+AL7+AR7</f>
        <v>730</v>
      </c>
      <c r="AY7" s="94">
        <f t="shared" si="10"/>
        <v>0</v>
      </c>
      <c r="AZ7" s="94">
        <f t="shared" si="10"/>
        <v>0</v>
      </c>
      <c r="BA7" s="94">
        <f t="shared" si="10"/>
        <v>0</v>
      </c>
      <c r="BB7" s="9">
        <f t="shared" si="8"/>
        <v>730</v>
      </c>
    </row>
    <row r="8" spans="1:54" x14ac:dyDescent="0.25">
      <c r="A8" s="12" t="s">
        <v>11</v>
      </c>
      <c r="B8" s="11">
        <f>6*26</f>
        <v>156</v>
      </c>
      <c r="C8" s="11"/>
      <c r="D8" s="11"/>
      <c r="E8" s="11"/>
      <c r="F8" s="9">
        <f t="shared" si="0"/>
        <v>156</v>
      </c>
      <c r="G8" s="222">
        <f>F8/26</f>
        <v>6</v>
      </c>
      <c r="H8" s="11">
        <f>27*5</f>
        <v>135</v>
      </c>
      <c r="I8" s="11"/>
      <c r="J8" s="11"/>
      <c r="K8" s="11"/>
      <c r="L8" s="9">
        <f t="shared" si="1"/>
        <v>135</v>
      </c>
      <c r="M8" s="221">
        <f>L8/27</f>
        <v>5</v>
      </c>
      <c r="N8" s="11">
        <f>26*4</f>
        <v>104</v>
      </c>
      <c r="O8" s="11"/>
      <c r="P8" s="11"/>
      <c r="Q8" s="11"/>
      <c r="R8" s="9">
        <f t="shared" si="2"/>
        <v>104</v>
      </c>
      <c r="S8" s="221">
        <f>R8/26</f>
        <v>4</v>
      </c>
      <c r="T8" s="11">
        <f>25*5</f>
        <v>125</v>
      </c>
      <c r="U8" s="11"/>
      <c r="V8" s="11"/>
      <c r="W8" s="11"/>
      <c r="X8" s="9">
        <f t="shared" si="3"/>
        <v>125</v>
      </c>
      <c r="Y8" s="221">
        <f>X8/25</f>
        <v>5</v>
      </c>
      <c r="Z8" s="11">
        <f>26*5</f>
        <v>130</v>
      </c>
      <c r="AA8" s="11"/>
      <c r="AB8" s="11"/>
      <c r="AC8" s="11"/>
      <c r="AD8" s="9">
        <f t="shared" si="4"/>
        <v>130</v>
      </c>
      <c r="AE8" s="221">
        <f>AD8/26</f>
        <v>5</v>
      </c>
      <c r="AF8" s="11">
        <f t="shared" si="9"/>
        <v>100</v>
      </c>
      <c r="AG8" s="11"/>
      <c r="AH8" s="11"/>
      <c r="AI8" s="11"/>
      <c r="AJ8" s="9">
        <f t="shared" si="5"/>
        <v>100</v>
      </c>
      <c r="AK8" s="221">
        <f t="shared" si="13"/>
        <v>4</v>
      </c>
      <c r="AL8" s="11">
        <v>0</v>
      </c>
      <c r="AM8" s="11"/>
      <c r="AN8" s="11"/>
      <c r="AO8" s="11"/>
      <c r="AP8" s="9">
        <f t="shared" si="6"/>
        <v>0</v>
      </c>
      <c r="AR8" s="11"/>
      <c r="AS8" s="11"/>
      <c r="AT8" s="11"/>
      <c r="AU8" s="11"/>
      <c r="AV8" s="9">
        <f t="shared" si="7"/>
        <v>0</v>
      </c>
      <c r="AX8" s="94">
        <f t="shared" si="14"/>
        <v>750</v>
      </c>
      <c r="AY8" s="94">
        <f t="shared" si="10"/>
        <v>0</v>
      </c>
      <c r="AZ8" s="94">
        <f t="shared" si="10"/>
        <v>0</v>
      </c>
      <c r="BA8" s="94">
        <f t="shared" si="10"/>
        <v>0</v>
      </c>
      <c r="BB8" s="9">
        <f t="shared" si="8"/>
        <v>750</v>
      </c>
    </row>
    <row r="9" spans="1:54" x14ac:dyDescent="0.25">
      <c r="A9" s="13" t="s">
        <v>12</v>
      </c>
      <c r="B9" s="11">
        <f>6*26</f>
        <v>156</v>
      </c>
      <c r="C9" s="11"/>
      <c r="D9" s="11"/>
      <c r="E9" s="11"/>
      <c r="F9" s="9">
        <f t="shared" si="0"/>
        <v>156</v>
      </c>
      <c r="G9" s="222">
        <f>F9/26</f>
        <v>6</v>
      </c>
      <c r="H9" s="11">
        <f>27*5</f>
        <v>135</v>
      </c>
      <c r="I9" s="11"/>
      <c r="J9" s="11"/>
      <c r="K9" s="11"/>
      <c r="L9" s="9">
        <f t="shared" si="1"/>
        <v>135</v>
      </c>
      <c r="M9" s="221">
        <f>L9/27</f>
        <v>5</v>
      </c>
      <c r="N9" s="11">
        <f>27*4</f>
        <v>108</v>
      </c>
      <c r="O9" s="11"/>
      <c r="P9" s="11"/>
      <c r="Q9" s="11"/>
      <c r="R9" s="9">
        <f t="shared" si="2"/>
        <v>108</v>
      </c>
      <c r="S9" s="221">
        <f>R9/27</f>
        <v>4</v>
      </c>
      <c r="T9" s="11">
        <f t="shared" ref="T9:T11" si="15">26*6</f>
        <v>156</v>
      </c>
      <c r="U9" s="11"/>
      <c r="V9" s="11"/>
      <c r="W9" s="11"/>
      <c r="X9" s="9">
        <f t="shared" si="3"/>
        <v>156</v>
      </c>
      <c r="Y9" s="221">
        <f t="shared" ref="Y9:Y11" si="16">X9/26</f>
        <v>6</v>
      </c>
      <c r="Z9" s="11">
        <f>26*5</f>
        <v>130</v>
      </c>
      <c r="AA9" s="11"/>
      <c r="AB9" s="11"/>
      <c r="AC9" s="11"/>
      <c r="AD9" s="9">
        <f t="shared" si="4"/>
        <v>130</v>
      </c>
      <c r="AE9" s="221">
        <f t="shared" ref="AE9" si="17">AD9/26</f>
        <v>5</v>
      </c>
      <c r="AF9" s="11">
        <f t="shared" si="9"/>
        <v>100</v>
      </c>
      <c r="AG9" s="11"/>
      <c r="AH9" s="11"/>
      <c r="AI9" s="11"/>
      <c r="AJ9" s="9">
        <f t="shared" si="5"/>
        <v>100</v>
      </c>
      <c r="AK9" s="221">
        <f t="shared" si="13"/>
        <v>4</v>
      </c>
      <c r="AL9" s="11">
        <v>0</v>
      </c>
      <c r="AM9" s="11"/>
      <c r="AN9" s="11"/>
      <c r="AO9" s="11"/>
      <c r="AP9" s="9">
        <f t="shared" si="6"/>
        <v>0</v>
      </c>
      <c r="AR9" s="11"/>
      <c r="AS9" s="11"/>
      <c r="AT9" s="11"/>
      <c r="AU9" s="11"/>
      <c r="AV9" s="9">
        <f t="shared" si="7"/>
        <v>0</v>
      </c>
      <c r="AX9" s="94">
        <f t="shared" si="14"/>
        <v>785</v>
      </c>
      <c r="AY9" s="94">
        <f t="shared" si="10"/>
        <v>0</v>
      </c>
      <c r="AZ9" s="94">
        <f t="shared" si="10"/>
        <v>0</v>
      </c>
      <c r="BA9" s="94">
        <f t="shared" si="10"/>
        <v>0</v>
      </c>
      <c r="BB9" s="9">
        <f t="shared" si="8"/>
        <v>785</v>
      </c>
    </row>
    <row r="10" spans="1:54" x14ac:dyDescent="0.25">
      <c r="A10" s="13" t="s">
        <v>13</v>
      </c>
      <c r="B10" s="11">
        <f>6*27</f>
        <v>162</v>
      </c>
      <c r="C10" s="11"/>
      <c r="D10" s="11"/>
      <c r="E10" s="11"/>
      <c r="F10" s="9">
        <f t="shared" si="0"/>
        <v>162</v>
      </c>
      <c r="G10" s="222">
        <f>F10/27</f>
        <v>6</v>
      </c>
      <c r="H10" s="11">
        <f>28*5</f>
        <v>140</v>
      </c>
      <c r="I10" s="11"/>
      <c r="J10" s="11"/>
      <c r="K10" s="11"/>
      <c r="L10" s="9">
        <f t="shared" si="1"/>
        <v>140</v>
      </c>
      <c r="M10" s="221">
        <f>L10/28</f>
        <v>5</v>
      </c>
      <c r="N10" s="11">
        <f>27*4</f>
        <v>108</v>
      </c>
      <c r="O10" s="11"/>
      <c r="P10" s="11"/>
      <c r="Q10" s="11"/>
      <c r="R10" s="9">
        <f t="shared" si="2"/>
        <v>108</v>
      </c>
      <c r="S10" s="221">
        <f>R10/27</f>
        <v>4</v>
      </c>
      <c r="T10" s="11">
        <f t="shared" si="15"/>
        <v>156</v>
      </c>
      <c r="U10" s="11"/>
      <c r="V10" s="11"/>
      <c r="W10" s="11"/>
      <c r="X10" s="9">
        <f t="shared" si="3"/>
        <v>156</v>
      </c>
      <c r="Y10" s="221">
        <f t="shared" si="16"/>
        <v>6</v>
      </c>
      <c r="Z10" s="11">
        <f>27*5</f>
        <v>135</v>
      </c>
      <c r="AA10" s="11"/>
      <c r="AB10" s="11"/>
      <c r="AC10" s="11"/>
      <c r="AD10" s="9">
        <f t="shared" si="4"/>
        <v>135</v>
      </c>
      <c r="AE10" s="221">
        <f>AD10/27</f>
        <v>5</v>
      </c>
      <c r="AF10" s="11">
        <f t="shared" si="9"/>
        <v>100</v>
      </c>
      <c r="AG10" s="11"/>
      <c r="AH10" s="11"/>
      <c r="AI10" s="11"/>
      <c r="AJ10" s="9">
        <f t="shared" si="5"/>
        <v>100</v>
      </c>
      <c r="AK10" s="221">
        <f t="shared" si="13"/>
        <v>4</v>
      </c>
      <c r="AL10" s="11">
        <v>0</v>
      </c>
      <c r="AM10" s="11"/>
      <c r="AN10" s="11"/>
      <c r="AO10" s="11"/>
      <c r="AP10" s="9">
        <f t="shared" si="6"/>
        <v>0</v>
      </c>
      <c r="AR10" s="11"/>
      <c r="AS10" s="11"/>
      <c r="AT10" s="11"/>
      <c r="AU10" s="11"/>
      <c r="AV10" s="9">
        <f t="shared" si="7"/>
        <v>0</v>
      </c>
      <c r="AX10" s="94">
        <f t="shared" si="14"/>
        <v>801</v>
      </c>
      <c r="AY10" s="94">
        <f t="shared" si="10"/>
        <v>0</v>
      </c>
      <c r="AZ10" s="94">
        <f t="shared" si="10"/>
        <v>0</v>
      </c>
      <c r="BA10" s="94">
        <f t="shared" si="10"/>
        <v>0</v>
      </c>
      <c r="BB10" s="9">
        <f t="shared" si="8"/>
        <v>801</v>
      </c>
    </row>
    <row r="11" spans="1:54" x14ac:dyDescent="0.25">
      <c r="A11" s="13" t="s">
        <v>14</v>
      </c>
      <c r="B11" s="11">
        <f>6*27</f>
        <v>162</v>
      </c>
      <c r="C11" s="11"/>
      <c r="D11" s="11"/>
      <c r="E11" s="11"/>
      <c r="F11" s="9">
        <f t="shared" si="0"/>
        <v>162</v>
      </c>
      <c r="G11" s="222">
        <f>F11/27</f>
        <v>6</v>
      </c>
      <c r="H11" s="11">
        <f>29*5</f>
        <v>145</v>
      </c>
      <c r="I11" s="11"/>
      <c r="J11" s="11"/>
      <c r="K11" s="11"/>
      <c r="L11" s="9">
        <f t="shared" si="1"/>
        <v>145</v>
      </c>
      <c r="M11" s="221">
        <f>L11/29</f>
        <v>5</v>
      </c>
      <c r="N11" s="11">
        <v>124</v>
      </c>
      <c r="O11" s="11"/>
      <c r="P11" s="11"/>
      <c r="Q11" s="11"/>
      <c r="R11" s="9">
        <f t="shared" si="2"/>
        <v>124</v>
      </c>
      <c r="S11" s="221">
        <f>R11/31</f>
        <v>4</v>
      </c>
      <c r="T11" s="11">
        <f t="shared" si="15"/>
        <v>156</v>
      </c>
      <c r="U11" s="11"/>
      <c r="V11" s="11"/>
      <c r="W11" s="11"/>
      <c r="X11" s="9">
        <f t="shared" si="3"/>
        <v>156</v>
      </c>
      <c r="Y11" s="221">
        <f t="shared" si="16"/>
        <v>6</v>
      </c>
      <c r="Z11" s="11">
        <f>27*5</f>
        <v>135</v>
      </c>
      <c r="AA11" s="11"/>
      <c r="AB11" s="11"/>
      <c r="AC11" s="11"/>
      <c r="AD11" s="9">
        <f t="shared" si="4"/>
        <v>135</v>
      </c>
      <c r="AE11" s="221">
        <f>AD11/27</f>
        <v>5</v>
      </c>
      <c r="AF11" s="11">
        <f t="shared" si="9"/>
        <v>100</v>
      </c>
      <c r="AG11" s="11"/>
      <c r="AH11" s="11"/>
      <c r="AI11" s="11"/>
      <c r="AJ11" s="9">
        <f t="shared" si="5"/>
        <v>100</v>
      </c>
      <c r="AK11" s="221">
        <f t="shared" si="13"/>
        <v>4</v>
      </c>
      <c r="AL11" s="11">
        <v>0</v>
      </c>
      <c r="AM11" s="11"/>
      <c r="AN11" s="11"/>
      <c r="AO11" s="11"/>
      <c r="AP11" s="9">
        <f t="shared" si="6"/>
        <v>0</v>
      </c>
      <c r="AR11" s="11"/>
      <c r="AS11" s="11"/>
      <c r="AT11" s="11"/>
      <c r="AU11" s="11"/>
      <c r="AV11" s="9">
        <f t="shared" si="7"/>
        <v>0</v>
      </c>
      <c r="AX11" s="94">
        <f t="shared" si="14"/>
        <v>822</v>
      </c>
      <c r="AY11" s="94">
        <f t="shared" si="10"/>
        <v>0</v>
      </c>
      <c r="AZ11" s="94">
        <f t="shared" si="10"/>
        <v>0</v>
      </c>
      <c r="BA11" s="94">
        <f t="shared" si="10"/>
        <v>0</v>
      </c>
      <c r="BB11" s="9">
        <f t="shared" si="8"/>
        <v>822</v>
      </c>
    </row>
    <row r="12" spans="1:54" x14ac:dyDescent="0.25">
      <c r="A12" s="13" t="s">
        <v>15</v>
      </c>
      <c r="B12" s="11"/>
      <c r="C12" s="7"/>
      <c r="D12" s="7"/>
      <c r="E12" s="7"/>
      <c r="F12" s="9">
        <f t="shared" si="0"/>
        <v>0</v>
      </c>
      <c r="H12" s="11">
        <f>31*8</f>
        <v>248</v>
      </c>
      <c r="I12" s="7"/>
      <c r="J12" s="7"/>
      <c r="K12" s="7"/>
      <c r="L12" s="9">
        <f t="shared" si="1"/>
        <v>248</v>
      </c>
      <c r="M12" s="221">
        <f>L12/31</f>
        <v>8</v>
      </c>
      <c r="N12" s="11">
        <f>31*4</f>
        <v>124</v>
      </c>
      <c r="O12" s="7"/>
      <c r="P12" s="7"/>
      <c r="Q12" s="7"/>
      <c r="R12" s="9">
        <f t="shared" si="2"/>
        <v>124</v>
      </c>
      <c r="S12" s="221">
        <f>R12/31</f>
        <v>4</v>
      </c>
      <c r="T12" s="11">
        <f>31*4</f>
        <v>124</v>
      </c>
      <c r="U12" s="7"/>
      <c r="V12" s="7"/>
      <c r="W12" s="7"/>
      <c r="X12" s="9">
        <f t="shared" si="3"/>
        <v>124</v>
      </c>
      <c r="Y12" s="221">
        <f>T12/31</f>
        <v>4</v>
      </c>
      <c r="Z12" s="11">
        <f>31*6</f>
        <v>186</v>
      </c>
      <c r="AA12" s="7"/>
      <c r="AB12" s="7"/>
      <c r="AC12" s="7"/>
      <c r="AD12" s="9">
        <f t="shared" si="4"/>
        <v>186</v>
      </c>
      <c r="AE12" s="221">
        <f>AD12/31</f>
        <v>6</v>
      </c>
      <c r="AF12" s="11">
        <f>30*4</f>
        <v>120</v>
      </c>
      <c r="AG12" s="7"/>
      <c r="AH12" s="7"/>
      <c r="AI12" s="7"/>
      <c r="AJ12" s="9">
        <f t="shared" si="5"/>
        <v>120</v>
      </c>
      <c r="AK12" s="221">
        <f>AJ12/30</f>
        <v>4</v>
      </c>
      <c r="AL12" s="11">
        <v>0</v>
      </c>
      <c r="AM12" s="7"/>
      <c r="AN12" s="7"/>
      <c r="AO12" s="7"/>
      <c r="AP12" s="9">
        <f t="shared" si="6"/>
        <v>0</v>
      </c>
      <c r="AR12" s="11">
        <v>60</v>
      </c>
      <c r="AS12" s="7"/>
      <c r="AT12" s="7"/>
      <c r="AU12" s="7"/>
      <c r="AV12" s="9">
        <f t="shared" si="7"/>
        <v>60</v>
      </c>
      <c r="AX12" s="94">
        <f t="shared" si="14"/>
        <v>862</v>
      </c>
      <c r="AY12" s="94">
        <f t="shared" si="10"/>
        <v>0</v>
      </c>
      <c r="AZ12" s="94">
        <f t="shared" si="10"/>
        <v>0</v>
      </c>
      <c r="BA12" s="94">
        <f t="shared" si="10"/>
        <v>0</v>
      </c>
      <c r="BB12" s="9">
        <f t="shared" si="8"/>
        <v>862</v>
      </c>
    </row>
    <row r="13" spans="1:54" x14ac:dyDescent="0.25">
      <c r="A13" s="13" t="s">
        <v>16</v>
      </c>
      <c r="B13" s="11"/>
      <c r="C13" s="7"/>
      <c r="D13" s="7"/>
      <c r="E13" s="7"/>
      <c r="F13" s="9">
        <f t="shared" si="0"/>
        <v>0</v>
      </c>
      <c r="H13" s="11">
        <f t="shared" ref="H13:H14" si="18">31*8</f>
        <v>248</v>
      </c>
      <c r="I13" s="7"/>
      <c r="J13" s="7"/>
      <c r="K13" s="7"/>
      <c r="L13" s="9">
        <f t="shared" si="1"/>
        <v>248</v>
      </c>
      <c r="M13" s="221">
        <f t="shared" ref="M13:M14" si="19">L13/31</f>
        <v>8</v>
      </c>
      <c r="N13" s="11">
        <f>31*4</f>
        <v>124</v>
      </c>
      <c r="O13" s="7"/>
      <c r="P13" s="7"/>
      <c r="Q13" s="7"/>
      <c r="R13" s="9">
        <f t="shared" si="2"/>
        <v>124</v>
      </c>
      <c r="S13" s="221">
        <f t="shared" ref="S13:S14" si="20">R13/31</f>
        <v>4</v>
      </c>
      <c r="T13" s="11">
        <f>31*4</f>
        <v>124</v>
      </c>
      <c r="U13" s="7"/>
      <c r="V13" s="7"/>
      <c r="W13" s="7"/>
      <c r="X13" s="9">
        <f t="shared" si="3"/>
        <v>124</v>
      </c>
      <c r="Y13" s="221">
        <f t="shared" ref="Y13:Y14" si="21">T13/31</f>
        <v>4</v>
      </c>
      <c r="Z13" s="11">
        <f>31*7</f>
        <v>217</v>
      </c>
      <c r="AA13" s="7"/>
      <c r="AB13" s="7"/>
      <c r="AC13" s="7"/>
      <c r="AD13" s="9">
        <f t="shared" si="4"/>
        <v>217</v>
      </c>
      <c r="AE13" s="221">
        <f t="shared" ref="AE13:AE15" si="22">AD13/31</f>
        <v>7</v>
      </c>
      <c r="AF13" s="11">
        <f>30*4</f>
        <v>120</v>
      </c>
      <c r="AG13" s="7"/>
      <c r="AH13" s="7"/>
      <c r="AI13" s="7"/>
      <c r="AJ13" s="9">
        <f t="shared" si="5"/>
        <v>120</v>
      </c>
      <c r="AK13" s="221">
        <f>AJ13/30</f>
        <v>4</v>
      </c>
      <c r="AL13" s="11">
        <v>0</v>
      </c>
      <c r="AM13" s="7"/>
      <c r="AN13" s="7"/>
      <c r="AO13" s="7"/>
      <c r="AP13" s="9">
        <f t="shared" si="6"/>
        <v>0</v>
      </c>
      <c r="AR13" s="11">
        <v>60</v>
      </c>
      <c r="AS13" s="7"/>
      <c r="AT13" s="7"/>
      <c r="AU13" s="7"/>
      <c r="AV13" s="9">
        <f t="shared" si="7"/>
        <v>60</v>
      </c>
      <c r="AX13" s="94">
        <f t="shared" si="14"/>
        <v>893</v>
      </c>
      <c r="AY13" s="94">
        <f t="shared" si="10"/>
        <v>0</v>
      </c>
      <c r="AZ13" s="94">
        <f t="shared" si="10"/>
        <v>0</v>
      </c>
      <c r="BA13" s="94">
        <f t="shared" si="10"/>
        <v>0</v>
      </c>
      <c r="BB13" s="9">
        <f t="shared" si="8"/>
        <v>893</v>
      </c>
    </row>
    <row r="14" spans="1:54" x14ac:dyDescent="0.25">
      <c r="A14" s="13" t="s">
        <v>17</v>
      </c>
      <c r="B14" s="11"/>
      <c r="C14" s="7"/>
      <c r="D14" s="7"/>
      <c r="E14" s="7"/>
      <c r="F14" s="9">
        <f t="shared" si="0"/>
        <v>0</v>
      </c>
      <c r="H14" s="11">
        <f t="shared" si="18"/>
        <v>248</v>
      </c>
      <c r="I14" s="7"/>
      <c r="J14" s="7"/>
      <c r="K14" s="7"/>
      <c r="L14" s="9">
        <f t="shared" si="1"/>
        <v>248</v>
      </c>
      <c r="M14" s="221">
        <f t="shared" si="19"/>
        <v>8</v>
      </c>
      <c r="N14" s="11">
        <f>31*4</f>
        <v>124</v>
      </c>
      <c r="O14" s="7"/>
      <c r="P14" s="7"/>
      <c r="Q14" s="7"/>
      <c r="R14" s="9">
        <f t="shared" si="2"/>
        <v>124</v>
      </c>
      <c r="S14" s="221">
        <f t="shared" si="20"/>
        <v>4</v>
      </c>
      <c r="T14" s="11">
        <f>31*4</f>
        <v>124</v>
      </c>
      <c r="U14" s="7"/>
      <c r="V14" s="7"/>
      <c r="W14" s="7"/>
      <c r="X14" s="9">
        <f t="shared" si="3"/>
        <v>124</v>
      </c>
      <c r="Y14" s="221">
        <f t="shared" si="21"/>
        <v>4</v>
      </c>
      <c r="Z14" s="11">
        <f>31*7</f>
        <v>217</v>
      </c>
      <c r="AA14" s="7"/>
      <c r="AB14" s="7"/>
      <c r="AC14" s="7"/>
      <c r="AD14" s="9">
        <f t="shared" si="4"/>
        <v>217</v>
      </c>
      <c r="AE14" s="221">
        <f t="shared" si="22"/>
        <v>7</v>
      </c>
      <c r="AF14" s="11">
        <f>30*4</f>
        <v>120</v>
      </c>
      <c r="AG14" s="7"/>
      <c r="AH14" s="7"/>
      <c r="AI14" s="7"/>
      <c r="AJ14" s="9">
        <f t="shared" si="5"/>
        <v>120</v>
      </c>
      <c r="AK14" s="221">
        <f>AJ14/30</f>
        <v>4</v>
      </c>
      <c r="AL14" s="11">
        <v>0</v>
      </c>
      <c r="AM14" s="7"/>
      <c r="AN14" s="7"/>
      <c r="AO14" s="7"/>
      <c r="AP14" s="9">
        <f t="shared" si="6"/>
        <v>0</v>
      </c>
      <c r="AR14" s="11">
        <v>60</v>
      </c>
      <c r="AS14" s="7"/>
      <c r="AT14" s="7"/>
      <c r="AU14" s="7"/>
      <c r="AV14" s="9">
        <f t="shared" si="7"/>
        <v>60</v>
      </c>
      <c r="AX14" s="94">
        <f t="shared" si="14"/>
        <v>893</v>
      </c>
      <c r="AY14" s="94">
        <f t="shared" si="10"/>
        <v>0</v>
      </c>
      <c r="AZ14" s="94">
        <f t="shared" si="10"/>
        <v>0</v>
      </c>
      <c r="BA14" s="94">
        <f t="shared" si="10"/>
        <v>0</v>
      </c>
      <c r="BB14" s="9">
        <f t="shared" si="8"/>
        <v>893</v>
      </c>
    </row>
    <row r="15" spans="1:54" x14ac:dyDescent="0.25">
      <c r="A15" s="13" t="s">
        <v>18</v>
      </c>
      <c r="B15" s="11"/>
      <c r="C15" s="7"/>
      <c r="D15" s="7"/>
      <c r="E15" s="7"/>
      <c r="F15" s="9">
        <f t="shared" si="0"/>
        <v>0</v>
      </c>
      <c r="H15" s="11">
        <f>30*8</f>
        <v>240</v>
      </c>
      <c r="I15" s="7"/>
      <c r="J15" s="7"/>
      <c r="K15" s="7"/>
      <c r="L15" s="9">
        <f t="shared" si="1"/>
        <v>240</v>
      </c>
      <c r="M15" s="221">
        <f>L15/30</f>
        <v>8</v>
      </c>
      <c r="N15" s="11"/>
      <c r="O15" s="7"/>
      <c r="P15" s="7"/>
      <c r="Q15" s="7"/>
      <c r="R15" s="9">
        <f t="shared" si="2"/>
        <v>0</v>
      </c>
      <c r="T15" s="11"/>
      <c r="U15" s="7"/>
      <c r="V15" s="7"/>
      <c r="W15" s="7"/>
      <c r="X15" s="9">
        <f t="shared" si="3"/>
        <v>0</v>
      </c>
      <c r="Z15" s="11">
        <f>31*9</f>
        <v>279</v>
      </c>
      <c r="AA15" s="7"/>
      <c r="AB15" s="7"/>
      <c r="AC15" s="7"/>
      <c r="AD15" s="9">
        <f t="shared" si="4"/>
        <v>279</v>
      </c>
      <c r="AE15" s="221">
        <f t="shared" si="22"/>
        <v>9</v>
      </c>
      <c r="AF15" s="11">
        <f>30*4</f>
        <v>120</v>
      </c>
      <c r="AG15" s="7"/>
      <c r="AH15" s="7"/>
      <c r="AI15" s="7"/>
      <c r="AJ15" s="9">
        <f t="shared" si="5"/>
        <v>120</v>
      </c>
      <c r="AK15" s="221">
        <f>AJ15/30</f>
        <v>4</v>
      </c>
      <c r="AL15" s="11">
        <v>0</v>
      </c>
      <c r="AM15" s="7"/>
      <c r="AN15" s="7"/>
      <c r="AO15" s="7"/>
      <c r="AP15" s="9">
        <f t="shared" si="6"/>
        <v>0</v>
      </c>
      <c r="AR15" s="11">
        <v>60</v>
      </c>
      <c r="AS15" s="7"/>
      <c r="AT15" s="7"/>
      <c r="AU15" s="7"/>
      <c r="AV15" s="9">
        <f t="shared" si="7"/>
        <v>60</v>
      </c>
      <c r="AX15" s="94">
        <f t="shared" si="14"/>
        <v>699</v>
      </c>
      <c r="AY15" s="94">
        <f t="shared" si="10"/>
        <v>0</v>
      </c>
      <c r="AZ15" s="94">
        <f t="shared" si="10"/>
        <v>0</v>
      </c>
      <c r="BA15" s="94">
        <f t="shared" si="10"/>
        <v>0</v>
      </c>
      <c r="BB15" s="9">
        <f t="shared" si="8"/>
        <v>699</v>
      </c>
    </row>
    <row r="16" spans="1:54" x14ac:dyDescent="0.25">
      <c r="A16" s="13" t="s">
        <v>19</v>
      </c>
      <c r="B16" s="11"/>
      <c r="C16" s="7"/>
      <c r="D16" s="7"/>
      <c r="E16" s="7"/>
      <c r="F16" s="9">
        <f t="shared" si="0"/>
        <v>0</v>
      </c>
      <c r="H16" s="11">
        <v>230</v>
      </c>
      <c r="I16" s="7"/>
      <c r="J16" s="7"/>
      <c r="K16" s="7"/>
      <c r="L16" s="9">
        <f t="shared" si="1"/>
        <v>230</v>
      </c>
      <c r="M16" s="221">
        <v>8</v>
      </c>
      <c r="N16" s="11"/>
      <c r="O16" s="7"/>
      <c r="P16" s="7"/>
      <c r="Q16" s="7"/>
      <c r="R16" s="9">
        <f t="shared" si="2"/>
        <v>0</v>
      </c>
      <c r="T16" s="11"/>
      <c r="U16" s="7"/>
      <c r="V16" s="7"/>
      <c r="W16" s="7"/>
      <c r="X16" s="9">
        <f t="shared" si="3"/>
        <v>0</v>
      </c>
      <c r="Z16" s="11">
        <f>30*9</f>
        <v>270</v>
      </c>
      <c r="AA16" s="7"/>
      <c r="AB16" s="7"/>
      <c r="AC16" s="7"/>
      <c r="AD16" s="9">
        <f t="shared" si="4"/>
        <v>270</v>
      </c>
      <c r="AE16" s="221">
        <f>AD16/30</f>
        <v>9</v>
      </c>
      <c r="AF16" s="11"/>
      <c r="AG16" s="7"/>
      <c r="AH16" s="7"/>
      <c r="AI16" s="7"/>
      <c r="AJ16" s="9">
        <f t="shared" si="5"/>
        <v>0</v>
      </c>
      <c r="AK16" s="221"/>
      <c r="AL16" s="11">
        <v>0</v>
      </c>
      <c r="AM16" s="7"/>
      <c r="AN16" s="7"/>
      <c r="AO16" s="7"/>
      <c r="AP16" s="9">
        <f t="shared" si="6"/>
        <v>0</v>
      </c>
      <c r="AR16" s="11">
        <v>60</v>
      </c>
      <c r="AS16" s="7"/>
      <c r="AT16" s="7"/>
      <c r="AU16" s="7"/>
      <c r="AV16" s="9">
        <f t="shared" si="7"/>
        <v>60</v>
      </c>
      <c r="AX16" s="94">
        <f t="shared" si="14"/>
        <v>560</v>
      </c>
      <c r="AY16" s="94">
        <f t="shared" si="10"/>
        <v>0</v>
      </c>
      <c r="AZ16" s="94">
        <f t="shared" si="10"/>
        <v>0</v>
      </c>
      <c r="BA16" s="94">
        <f t="shared" si="10"/>
        <v>0</v>
      </c>
      <c r="BB16" s="9">
        <f t="shared" si="8"/>
        <v>560</v>
      </c>
    </row>
    <row r="17" spans="1:55" x14ac:dyDescent="0.25">
      <c r="A17" s="13" t="s">
        <v>20</v>
      </c>
      <c r="B17" s="11"/>
      <c r="C17" s="7"/>
      <c r="D17" s="7"/>
      <c r="E17" s="7"/>
      <c r="F17" s="9">
        <f t="shared" si="0"/>
        <v>0</v>
      </c>
      <c r="H17" s="11">
        <v>220</v>
      </c>
      <c r="I17" s="7"/>
      <c r="J17" s="7"/>
      <c r="K17" s="7"/>
      <c r="L17" s="9">
        <f t="shared" si="1"/>
        <v>220</v>
      </c>
      <c r="M17" s="221">
        <v>8</v>
      </c>
      <c r="N17" s="11"/>
      <c r="O17" s="7"/>
      <c r="P17" s="7"/>
      <c r="Q17" s="7"/>
      <c r="R17" s="9">
        <f t="shared" si="2"/>
        <v>0</v>
      </c>
      <c r="T17" s="11"/>
      <c r="U17" s="7"/>
      <c r="V17" s="7"/>
      <c r="W17" s="7"/>
      <c r="X17" s="9">
        <f t="shared" si="3"/>
        <v>0</v>
      </c>
      <c r="Z17" s="11">
        <v>260</v>
      </c>
      <c r="AA17" s="7"/>
      <c r="AB17" s="7"/>
      <c r="AC17" s="7"/>
      <c r="AD17" s="9">
        <f t="shared" si="4"/>
        <v>260</v>
      </c>
      <c r="AE17" s="221">
        <v>9</v>
      </c>
      <c r="AF17" s="11"/>
      <c r="AG17" s="7"/>
      <c r="AH17" s="7"/>
      <c r="AI17" s="7"/>
      <c r="AJ17" s="9">
        <f t="shared" si="5"/>
        <v>0</v>
      </c>
      <c r="AK17" s="221"/>
      <c r="AL17" s="11">
        <v>0</v>
      </c>
      <c r="AM17" s="7"/>
      <c r="AN17" s="7"/>
      <c r="AO17" s="7"/>
      <c r="AP17" s="9">
        <f t="shared" si="6"/>
        <v>0</v>
      </c>
      <c r="AR17" s="11">
        <v>50</v>
      </c>
      <c r="AS17" s="7"/>
      <c r="AT17" s="7"/>
      <c r="AU17" s="7"/>
      <c r="AV17" s="9">
        <f t="shared" si="7"/>
        <v>50</v>
      </c>
      <c r="AX17" s="94">
        <f t="shared" si="14"/>
        <v>530</v>
      </c>
      <c r="AY17" s="94">
        <f t="shared" si="10"/>
        <v>0</v>
      </c>
      <c r="AZ17" s="94">
        <f t="shared" si="10"/>
        <v>0</v>
      </c>
      <c r="BA17" s="94">
        <f t="shared" si="10"/>
        <v>0</v>
      </c>
      <c r="BB17" s="9">
        <f t="shared" si="8"/>
        <v>530</v>
      </c>
    </row>
    <row r="18" spans="1:55" x14ac:dyDescent="0.25">
      <c r="A18" s="13" t="s">
        <v>21</v>
      </c>
      <c r="B18" s="11"/>
      <c r="C18" s="7"/>
      <c r="D18" s="7"/>
      <c r="E18" s="7"/>
      <c r="F18" s="9">
        <f t="shared" si="0"/>
        <v>0</v>
      </c>
      <c r="H18" s="11">
        <v>210</v>
      </c>
      <c r="I18" s="7"/>
      <c r="J18" s="7"/>
      <c r="K18" s="7"/>
      <c r="L18" s="9">
        <f t="shared" si="1"/>
        <v>210</v>
      </c>
      <c r="M18" s="221">
        <v>8</v>
      </c>
      <c r="N18" s="11"/>
      <c r="O18" s="7"/>
      <c r="P18" s="7"/>
      <c r="Q18" s="7"/>
      <c r="R18" s="9">
        <f t="shared" si="2"/>
        <v>0</v>
      </c>
      <c r="T18" s="11"/>
      <c r="U18" s="7"/>
      <c r="V18" s="7"/>
      <c r="W18" s="7"/>
      <c r="X18" s="9">
        <f t="shared" si="3"/>
        <v>0</v>
      </c>
      <c r="Z18" s="11">
        <v>220</v>
      </c>
      <c r="AA18" s="7"/>
      <c r="AB18" s="7"/>
      <c r="AC18" s="7"/>
      <c r="AD18" s="9">
        <f t="shared" si="4"/>
        <v>220</v>
      </c>
      <c r="AE18" s="221">
        <v>8</v>
      </c>
      <c r="AF18" s="11"/>
      <c r="AG18" s="7"/>
      <c r="AH18" s="7"/>
      <c r="AI18" s="7"/>
      <c r="AJ18" s="9">
        <f t="shared" si="5"/>
        <v>0</v>
      </c>
      <c r="AK18" s="221"/>
      <c r="AL18" s="11">
        <v>0</v>
      </c>
      <c r="AM18" s="7"/>
      <c r="AN18" s="7"/>
      <c r="AO18" s="7"/>
      <c r="AP18" s="9">
        <f t="shared" si="6"/>
        <v>0</v>
      </c>
      <c r="AR18" s="11">
        <v>40</v>
      </c>
      <c r="AS18" s="7"/>
      <c r="AT18" s="7"/>
      <c r="AU18" s="7"/>
      <c r="AV18" s="9">
        <f t="shared" si="7"/>
        <v>40</v>
      </c>
      <c r="AX18" s="94">
        <f t="shared" si="14"/>
        <v>470</v>
      </c>
      <c r="AY18" s="94">
        <f t="shared" si="10"/>
        <v>0</v>
      </c>
      <c r="AZ18" s="94">
        <f t="shared" si="10"/>
        <v>0</v>
      </c>
      <c r="BA18" s="94">
        <f t="shared" si="10"/>
        <v>0</v>
      </c>
      <c r="BB18" s="9">
        <f t="shared" si="8"/>
        <v>470</v>
      </c>
    </row>
    <row r="19" spans="1:55" x14ac:dyDescent="0.25">
      <c r="A19" s="13" t="s">
        <v>8</v>
      </c>
      <c r="B19" s="9">
        <f>SUM(B6:B18)</f>
        <v>936</v>
      </c>
      <c r="C19" s="9"/>
      <c r="D19" s="9"/>
      <c r="E19" s="9"/>
      <c r="F19" s="9">
        <f t="shared" si="0"/>
        <v>936</v>
      </c>
      <c r="H19" s="9">
        <f>SUM(H6:H18)</f>
        <v>2454</v>
      </c>
      <c r="I19" s="9"/>
      <c r="J19" s="9"/>
      <c r="K19" s="9"/>
      <c r="L19" s="9">
        <f t="shared" si="1"/>
        <v>2454</v>
      </c>
      <c r="N19" s="9">
        <f>SUM(N6:N18)</f>
        <v>1016</v>
      </c>
      <c r="O19" s="9"/>
      <c r="P19" s="9"/>
      <c r="Q19" s="9"/>
      <c r="R19" s="9">
        <f t="shared" si="2"/>
        <v>1016</v>
      </c>
      <c r="T19" s="9">
        <f>SUM(T6:T18)</f>
        <v>1215</v>
      </c>
      <c r="U19" s="9"/>
      <c r="V19" s="9"/>
      <c r="W19" s="9"/>
      <c r="X19" s="9">
        <f t="shared" si="3"/>
        <v>1215</v>
      </c>
      <c r="Z19" s="9">
        <f>SUM(Z6:Z18)</f>
        <v>2429</v>
      </c>
      <c r="AA19" s="9"/>
      <c r="AB19" s="9"/>
      <c r="AC19" s="9"/>
      <c r="AD19" s="9">
        <f t="shared" si="4"/>
        <v>2429</v>
      </c>
      <c r="AF19" s="9">
        <f>SUM(AF6:AF18)</f>
        <v>1080</v>
      </c>
      <c r="AG19" s="9"/>
      <c r="AH19" s="9"/>
      <c r="AI19" s="9"/>
      <c r="AJ19" s="9">
        <f t="shared" si="5"/>
        <v>1080</v>
      </c>
      <c r="AL19" s="9">
        <f>SUM(AL6:AL18)</f>
        <v>0</v>
      </c>
      <c r="AM19" s="9"/>
      <c r="AN19" s="9"/>
      <c r="AO19" s="9"/>
      <c r="AP19" s="9">
        <f t="shared" si="6"/>
        <v>0</v>
      </c>
      <c r="AR19" s="9">
        <f>SUM(AR6:AR18)</f>
        <v>390</v>
      </c>
      <c r="AS19" s="9"/>
      <c r="AT19" s="9"/>
      <c r="AU19" s="9"/>
      <c r="AV19" s="9">
        <f t="shared" si="7"/>
        <v>390</v>
      </c>
      <c r="AX19" s="9">
        <f>B19+H19+N19+T19+Z19+AF19+AL19+AR19</f>
        <v>9520</v>
      </c>
      <c r="AY19" s="9">
        <f>C19+I19+O19+U19+AA19+AM19+AS19</f>
        <v>0</v>
      </c>
      <c r="AZ19" s="9">
        <f>D19+J19+P19+V19+AB19+AN19+AT19</f>
        <v>0</v>
      </c>
      <c r="BA19" s="9">
        <f>E19+K19+Q19+W19+AC19+AO19+AU19</f>
        <v>0</v>
      </c>
      <c r="BB19" s="9">
        <f t="shared" si="8"/>
        <v>9520</v>
      </c>
      <c r="BC19" s="224" t="b">
        <f>BB19='Use this enrollment'!G70</f>
        <v>1</v>
      </c>
    </row>
    <row r="20" spans="1:55" x14ac:dyDescent="0.25">
      <c r="A20" s="16"/>
      <c r="B20" s="7"/>
      <c r="C20" s="7"/>
      <c r="D20" s="7"/>
      <c r="E20" s="7"/>
      <c r="F20" s="7"/>
      <c r="H20" s="7"/>
      <c r="I20" s="7"/>
      <c r="J20" s="7"/>
      <c r="K20" s="7"/>
      <c r="L20" s="7"/>
      <c r="N20" s="7"/>
      <c r="O20" s="7"/>
      <c r="P20" s="7"/>
      <c r="Q20" s="7"/>
      <c r="R20" s="7"/>
      <c r="T20" s="7"/>
      <c r="U20" s="7"/>
      <c r="V20" s="7"/>
      <c r="W20" s="7"/>
      <c r="X20" s="7"/>
      <c r="Z20" s="7"/>
      <c r="AA20" s="7"/>
      <c r="AB20" s="7"/>
      <c r="AC20" s="7"/>
      <c r="AD20" s="7"/>
      <c r="AF20" s="7"/>
      <c r="AG20" s="7"/>
      <c r="AH20" s="7"/>
      <c r="AI20" s="7"/>
      <c r="AJ20" s="7"/>
      <c r="AL20" s="7"/>
      <c r="AM20" s="7"/>
      <c r="AN20" s="7"/>
      <c r="AO20" s="7"/>
      <c r="AP20" s="7"/>
      <c r="AR20" s="7"/>
      <c r="AS20" s="7"/>
      <c r="AT20" s="7"/>
      <c r="AU20" s="7"/>
      <c r="AV20" s="7"/>
      <c r="AX20" s="7"/>
      <c r="AY20" s="7"/>
      <c r="AZ20" s="7"/>
      <c r="BA20" s="7"/>
      <c r="BB20" s="7"/>
    </row>
    <row r="21" spans="1:55" x14ac:dyDescent="0.25">
      <c r="A21" s="17" t="s">
        <v>22</v>
      </c>
      <c r="B21" s="18"/>
      <c r="C21" s="18"/>
      <c r="D21" s="18"/>
      <c r="E21" s="18"/>
      <c r="F21" s="18"/>
      <c r="H21" s="18"/>
      <c r="I21" s="18"/>
      <c r="J21" s="18"/>
      <c r="K21" s="18"/>
      <c r="L21" s="18"/>
      <c r="N21" s="18"/>
      <c r="O21" s="18"/>
      <c r="P21" s="18"/>
      <c r="Q21" s="18"/>
      <c r="R21" s="18"/>
      <c r="T21" s="18"/>
      <c r="U21" s="18"/>
      <c r="V21" s="18"/>
      <c r="W21" s="18"/>
      <c r="X21" s="18"/>
      <c r="Z21" s="18"/>
      <c r="AA21" s="18"/>
      <c r="AB21" s="18"/>
      <c r="AC21" s="18"/>
      <c r="AD21" s="18"/>
      <c r="AF21" s="18"/>
      <c r="AG21" s="18"/>
      <c r="AH21" s="18"/>
      <c r="AI21" s="18"/>
      <c r="AJ21" s="18"/>
      <c r="AL21" s="18"/>
      <c r="AM21" s="18"/>
      <c r="AN21" s="18"/>
      <c r="AO21" s="18"/>
      <c r="AP21" s="18"/>
      <c r="AR21" s="18"/>
      <c r="AS21" s="18"/>
      <c r="AT21" s="18"/>
      <c r="AU21" s="18"/>
      <c r="AV21" s="18"/>
      <c r="AX21" s="18"/>
      <c r="AY21" s="18"/>
      <c r="AZ21" s="18"/>
      <c r="BA21" s="18"/>
      <c r="BB21" s="18"/>
    </row>
    <row r="22" spans="1:55" x14ac:dyDescent="0.25">
      <c r="A22" s="140" t="s">
        <v>23</v>
      </c>
      <c r="B22" s="7"/>
      <c r="C22" s="7"/>
      <c r="D22" s="7">
        <f>('FY26'!D22/'FY26'!B19)*'FY27'!B19</f>
        <v>100.99221357063404</v>
      </c>
      <c r="E22" s="7"/>
      <c r="F22" s="7">
        <f t="shared" ref="F22:F27" si="23">SUM(B22:E22)</f>
        <v>100.99221357063404</v>
      </c>
      <c r="H22" s="7"/>
      <c r="I22" s="7"/>
      <c r="J22" s="7">
        <f>('FY26'!J22/'FY26'!H19)*'FY27'!H19</f>
        <v>311.67112299465242</v>
      </c>
      <c r="K22" s="7"/>
      <c r="L22" s="7">
        <f t="shared" ref="L22:L27" si="24">SUM(H22:K22)</f>
        <v>311.67112299465242</v>
      </c>
      <c r="M22" s="219">
        <f>J22/24</f>
        <v>12.98629679144385</v>
      </c>
      <c r="N22" s="7"/>
      <c r="O22" s="7"/>
      <c r="P22" s="7">
        <f>('FY26'!P22/'FY26'!N19)*'FY27'!N19</f>
        <v>74</v>
      </c>
      <c r="Q22" s="7"/>
      <c r="R22" s="7">
        <f t="shared" ref="R22:R27" si="25">SUM(N22:Q22)</f>
        <v>74</v>
      </c>
      <c r="T22" s="7"/>
      <c r="U22" s="7"/>
      <c r="V22" s="7">
        <f>('FY26'!V22/'FY26'!T19)*'FY27'!T19</f>
        <v>109.44120100083403</v>
      </c>
      <c r="W22" s="7"/>
      <c r="X22" s="7">
        <f t="shared" ref="X22:X27" si="26">SUM(T22:W22)</f>
        <v>109.44120100083403</v>
      </c>
      <c r="Z22" s="7"/>
      <c r="AA22" s="7"/>
      <c r="AB22" s="7">
        <f>('FY26'!AB22/'FY26'!Z19)*'FY27'!Z19</f>
        <v>198.73636363636365</v>
      </c>
      <c r="AC22" s="7"/>
      <c r="AD22" s="7">
        <f t="shared" ref="AD22:AD27" si="27">SUM(Z22:AC22)</f>
        <v>198.73636363636365</v>
      </c>
      <c r="AF22" s="7"/>
      <c r="AG22" s="7"/>
      <c r="AH22" s="7">
        <f>'FY26'!AF19*0.12</f>
        <v>115.19999999999999</v>
      </c>
      <c r="AI22" s="7"/>
      <c r="AJ22" s="7">
        <f t="shared" ref="AJ22:AJ27" si="28">SUM(AF22:AI22)</f>
        <v>115.19999999999999</v>
      </c>
      <c r="AL22" s="7"/>
      <c r="AM22" s="7"/>
      <c r="AN22" s="7">
        <v>0</v>
      </c>
      <c r="AO22" s="7"/>
      <c r="AP22" s="7">
        <f t="shared" ref="AP22:AP27" si="29">SUM(AL22:AO22)</f>
        <v>0</v>
      </c>
      <c r="AR22" s="7"/>
      <c r="AS22" s="7"/>
      <c r="AT22" s="7">
        <v>32</v>
      </c>
      <c r="AU22" s="7"/>
      <c r="AV22" s="7">
        <f t="shared" ref="AV22:AV27" si="30">SUM(AR22:AU22)</f>
        <v>32</v>
      </c>
      <c r="AX22" s="7">
        <f>B22+H22+N22+T22+Z22+AF22+AL22+AR22</f>
        <v>0</v>
      </c>
      <c r="AY22" s="7">
        <f t="shared" ref="AY22:BA22" si="31">C22+I22+O22+U22+AA22+AG22+AM22+AS22</f>
        <v>0</v>
      </c>
      <c r="AZ22" s="7">
        <f t="shared" si="31"/>
        <v>942.04090120248406</v>
      </c>
      <c r="BA22" s="7">
        <f t="shared" si="31"/>
        <v>0</v>
      </c>
      <c r="BB22" s="7">
        <f t="shared" ref="BB22:BB27" si="32">SUM(AX22:BA22)</f>
        <v>942.04090120248406</v>
      </c>
    </row>
    <row r="23" spans="1:55" x14ac:dyDescent="0.25">
      <c r="A23" s="140" t="s">
        <v>24</v>
      </c>
      <c r="B23" s="7"/>
      <c r="C23" s="7">
        <f>('FY26'!C23/'FY26'!B19)*'FY27'!B19</f>
        <v>15.617352614015573</v>
      </c>
      <c r="D23" s="7"/>
      <c r="E23" s="7"/>
      <c r="F23" s="7">
        <f t="shared" si="23"/>
        <v>15.617352614015573</v>
      </c>
      <c r="H23" s="7"/>
      <c r="I23" s="7">
        <f>('FY26'!I23/'FY26'!H19)*'FY27'!H19</f>
        <v>36.088235294117645</v>
      </c>
      <c r="J23" s="7"/>
      <c r="K23" s="7"/>
      <c r="L23" s="7">
        <f t="shared" si="24"/>
        <v>36.088235294117645</v>
      </c>
      <c r="N23" s="7"/>
      <c r="O23" s="7">
        <f>('FY26'!O23/'FY26'!N19)*'FY27'!N19</f>
        <v>18</v>
      </c>
      <c r="P23" s="7"/>
      <c r="Q23" s="7"/>
      <c r="R23" s="7">
        <f t="shared" si="25"/>
        <v>18</v>
      </c>
      <c r="T23" s="7"/>
      <c r="U23" s="7">
        <f>('FY26'!U23/'FY26'!T19)*'FY27'!T19</f>
        <v>8.1067556296914098</v>
      </c>
      <c r="V23" s="7"/>
      <c r="W23" s="7"/>
      <c r="X23" s="7">
        <f t="shared" si="26"/>
        <v>8.1067556296914098</v>
      </c>
      <c r="Z23" s="7"/>
      <c r="AA23" s="7">
        <f>('FY26'!AA23/'FY26'!Z19)*'FY27'!Z19</f>
        <v>26.730622009569377</v>
      </c>
      <c r="AB23" s="7"/>
      <c r="AC23" s="7"/>
      <c r="AD23" s="7">
        <f t="shared" si="27"/>
        <v>26.730622009569377</v>
      </c>
      <c r="AF23" s="7"/>
      <c r="AG23" s="7">
        <f>'FY26'!AF19*0.29</f>
        <v>278.39999999999998</v>
      </c>
      <c r="AH23" s="7"/>
      <c r="AI23" s="7"/>
      <c r="AJ23" s="7">
        <f t="shared" si="28"/>
        <v>278.39999999999998</v>
      </c>
      <c r="AL23" s="7"/>
      <c r="AM23" s="7">
        <v>0</v>
      </c>
      <c r="AN23" s="7"/>
      <c r="AO23" s="7"/>
      <c r="AP23" s="7">
        <f t="shared" si="29"/>
        <v>0</v>
      </c>
      <c r="AR23" s="7"/>
      <c r="AS23" s="7">
        <v>0</v>
      </c>
      <c r="AT23" s="7"/>
      <c r="AU23" s="7"/>
      <c r="AV23" s="7">
        <f t="shared" si="30"/>
        <v>0</v>
      </c>
      <c r="AX23" s="7">
        <f t="shared" ref="AX23:AX26" si="33">B23+H23+N23+T23+Z23+AL23+AR23</f>
        <v>0</v>
      </c>
      <c r="AY23" s="7">
        <f t="shared" ref="AY23:BA24" si="34">C23+I23+O23+U23+AA23+AM23+AS23</f>
        <v>104.542965547394</v>
      </c>
      <c r="AZ23" s="7">
        <f t="shared" si="34"/>
        <v>0</v>
      </c>
      <c r="BA23" s="7">
        <f t="shared" si="34"/>
        <v>0</v>
      </c>
      <c r="BB23" s="7">
        <f t="shared" si="32"/>
        <v>104.542965547394</v>
      </c>
    </row>
    <row r="24" spans="1:55" x14ac:dyDescent="0.25">
      <c r="A24" s="140" t="s">
        <v>25</v>
      </c>
      <c r="B24" s="7"/>
      <c r="C24" s="7">
        <f>('FY26'!C24/'FY26'!B19)*'FY27'!B19</f>
        <v>45.810901001112349</v>
      </c>
      <c r="D24" s="7"/>
      <c r="E24" s="7"/>
      <c r="F24" s="7">
        <f t="shared" si="23"/>
        <v>45.810901001112349</v>
      </c>
      <c r="H24" s="7"/>
      <c r="I24" s="7">
        <f>('FY26'!I24/'FY26'!H19)*'FY27'!H19</f>
        <v>56.866310160427808</v>
      </c>
      <c r="J24" s="7"/>
      <c r="K24" s="7"/>
      <c r="L24" s="7">
        <f t="shared" si="24"/>
        <v>56.866310160427808</v>
      </c>
      <c r="N24" s="7"/>
      <c r="O24" s="7">
        <f>('FY26'!O24/'FY26'!N19)*'FY27'!N19</f>
        <v>46</v>
      </c>
      <c r="P24" s="7"/>
      <c r="Q24" s="7"/>
      <c r="R24" s="7">
        <f t="shared" si="25"/>
        <v>46</v>
      </c>
      <c r="T24" s="7"/>
      <c r="U24" s="7">
        <f>('FY26'!U24/'FY26'!T19)*'FY27'!T19</f>
        <v>78.027522935779814</v>
      </c>
      <c r="V24" s="7"/>
      <c r="W24" s="7"/>
      <c r="X24" s="7">
        <f t="shared" si="26"/>
        <v>78.027522935779814</v>
      </c>
      <c r="Z24" s="7"/>
      <c r="AA24" s="7">
        <f>('FY26'!AA24/'FY26'!Z19)*'FY27'!Z19</f>
        <v>74.38086124401913</v>
      </c>
      <c r="AB24" s="7"/>
      <c r="AC24" s="7"/>
      <c r="AD24" s="7">
        <f t="shared" si="27"/>
        <v>74.38086124401913</v>
      </c>
      <c r="AF24" s="7"/>
      <c r="AG24" s="7">
        <f>'FY26'!AF19*0.025</f>
        <v>24</v>
      </c>
      <c r="AH24" s="7"/>
      <c r="AI24" s="7"/>
      <c r="AJ24" s="7">
        <f t="shared" si="28"/>
        <v>24</v>
      </c>
      <c r="AL24" s="7"/>
      <c r="AM24" s="7">
        <v>0</v>
      </c>
      <c r="AN24" s="7"/>
      <c r="AO24" s="7"/>
      <c r="AP24" s="7">
        <f t="shared" si="29"/>
        <v>0</v>
      </c>
      <c r="AR24" s="7"/>
      <c r="AS24" s="7">
        <v>0</v>
      </c>
      <c r="AT24" s="7"/>
      <c r="AU24" s="7"/>
      <c r="AV24" s="7">
        <f t="shared" si="30"/>
        <v>0</v>
      </c>
      <c r="AX24" s="7">
        <f t="shared" si="33"/>
        <v>0</v>
      </c>
      <c r="AY24" s="7">
        <f t="shared" si="34"/>
        <v>301.08559534133911</v>
      </c>
      <c r="AZ24" s="7">
        <f t="shared" si="34"/>
        <v>0</v>
      </c>
      <c r="BA24" s="7">
        <f t="shared" si="34"/>
        <v>0</v>
      </c>
      <c r="BB24" s="7">
        <f t="shared" si="32"/>
        <v>301.08559534133911</v>
      </c>
    </row>
    <row r="25" spans="1:55" x14ac:dyDescent="0.25">
      <c r="A25" s="140" t="s">
        <v>26</v>
      </c>
      <c r="B25" s="19"/>
      <c r="C25" s="19"/>
      <c r="D25" s="19"/>
      <c r="E25" s="19">
        <v>0.38</v>
      </c>
      <c r="F25" s="19">
        <f t="shared" si="23"/>
        <v>0.38</v>
      </c>
      <c r="H25" s="19"/>
      <c r="I25" s="19"/>
      <c r="J25" s="19"/>
      <c r="K25" s="19">
        <v>0.4</v>
      </c>
      <c r="L25" s="19">
        <f t="shared" si="24"/>
        <v>0.4</v>
      </c>
      <c r="N25" s="19"/>
      <c r="O25" s="19"/>
      <c r="P25" s="19"/>
      <c r="Q25" s="19">
        <v>0.3</v>
      </c>
      <c r="R25" s="19">
        <f t="shared" si="25"/>
        <v>0.3</v>
      </c>
      <c r="T25" s="19"/>
      <c r="U25" s="19"/>
      <c r="V25" s="19"/>
      <c r="W25" s="19">
        <v>0.15</v>
      </c>
      <c r="X25" s="19">
        <f t="shared" si="26"/>
        <v>0.15</v>
      </c>
      <c r="Z25" s="19"/>
      <c r="AA25" s="19"/>
      <c r="AB25" s="19"/>
      <c r="AC25" s="19">
        <v>0.24</v>
      </c>
      <c r="AD25" s="19">
        <f t="shared" si="27"/>
        <v>0.24</v>
      </c>
      <c r="AF25" s="19"/>
      <c r="AG25" s="19"/>
      <c r="AH25" s="19"/>
      <c r="AI25" s="19">
        <v>0.64</v>
      </c>
      <c r="AJ25" s="19">
        <f t="shared" si="28"/>
        <v>0.64</v>
      </c>
      <c r="AL25" s="19"/>
      <c r="AM25" s="19"/>
      <c r="AN25" s="19"/>
      <c r="AO25" s="19">
        <v>0</v>
      </c>
      <c r="AP25" s="19">
        <f t="shared" si="29"/>
        <v>0</v>
      </c>
      <c r="AR25" s="19"/>
      <c r="AS25" s="19"/>
      <c r="AT25" s="19"/>
      <c r="AU25" s="19">
        <v>0.4</v>
      </c>
      <c r="AV25" s="19">
        <f t="shared" si="30"/>
        <v>0.4</v>
      </c>
      <c r="AX25" s="7">
        <f t="shared" si="33"/>
        <v>0</v>
      </c>
      <c r="AY25" s="7">
        <f>C25+I25+O25+U25+AA25+AM25+AS25</f>
        <v>0</v>
      </c>
      <c r="AZ25" s="7">
        <f>D25+J25+P25+V25+AB25+AN25+AT25</f>
        <v>0</v>
      </c>
      <c r="BA25" s="226">
        <f>((E25*B19)+(K25*H19)+(Q25*N19)+(W25*T19)+(AC25*Z19)+(AF19*AI25))/AX19</f>
        <v>0.32547163865546214</v>
      </c>
      <c r="BB25" s="19">
        <f t="shared" si="32"/>
        <v>0.32547163865546214</v>
      </c>
    </row>
    <row r="26" spans="1:55" x14ac:dyDescent="0.25">
      <c r="A26" s="140" t="s">
        <v>27</v>
      </c>
      <c r="B26" s="7"/>
      <c r="C26" s="7">
        <f>('FY26'!C26/'FY26'!B19)*'FY27'!B19</f>
        <v>241.54838709677418</v>
      </c>
      <c r="D26" s="7"/>
      <c r="E26" s="7"/>
      <c r="F26" s="7">
        <f t="shared" si="23"/>
        <v>241.54838709677418</v>
      </c>
      <c r="H26" s="7"/>
      <c r="I26" s="7">
        <f>('FY26'!I26/'FY26'!H19)*'FY27'!H19</f>
        <v>565.38235294117646</v>
      </c>
      <c r="J26" s="7"/>
      <c r="K26" s="7"/>
      <c r="L26" s="7">
        <f t="shared" si="24"/>
        <v>565.38235294117646</v>
      </c>
      <c r="N26" s="7"/>
      <c r="O26" s="7">
        <f>('FY26'!O26/'FY26'!N19)*'FY27'!N19</f>
        <v>241</v>
      </c>
      <c r="P26" s="7"/>
      <c r="Q26" s="7"/>
      <c r="R26" s="7">
        <f t="shared" si="25"/>
        <v>241</v>
      </c>
      <c r="T26" s="7"/>
      <c r="U26" s="7">
        <f>('FY26'!U26/'FY26'!T19)*'FY27'!T19</f>
        <v>132.74812343619683</v>
      </c>
      <c r="V26" s="7"/>
      <c r="W26" s="7"/>
      <c r="X26" s="7">
        <f t="shared" si="26"/>
        <v>132.74812343619683</v>
      </c>
      <c r="Z26" s="7"/>
      <c r="AA26" s="7">
        <f>('FY26'!AA26/'FY26'!Z19)*'FY27'!Z19</f>
        <v>284.73923444976072</v>
      </c>
      <c r="AB26" s="7"/>
      <c r="AC26" s="7"/>
      <c r="AD26" s="7">
        <f t="shared" si="27"/>
        <v>284.73923444976072</v>
      </c>
      <c r="AF26" s="7"/>
      <c r="AG26" s="7">
        <f>'FY26'!AF19*AI25-((AH22+AG23+AG24)*0.9)</f>
        <v>238.56</v>
      </c>
      <c r="AH26" s="19"/>
      <c r="AI26" s="7"/>
      <c r="AJ26" s="7">
        <f>SUM(AF26:AI26)</f>
        <v>238.56</v>
      </c>
      <c r="AL26" s="7"/>
      <c r="AM26" s="7">
        <v>0</v>
      </c>
      <c r="AN26" s="7"/>
      <c r="AO26" s="7"/>
      <c r="AP26" s="7">
        <f t="shared" si="29"/>
        <v>0</v>
      </c>
      <c r="AR26" s="7"/>
      <c r="AS26" s="7">
        <v>128</v>
      </c>
      <c r="AT26" s="7"/>
      <c r="AU26" s="7"/>
      <c r="AV26" s="7">
        <f t="shared" si="30"/>
        <v>128</v>
      </c>
      <c r="AX26" s="7">
        <f t="shared" si="33"/>
        <v>0</v>
      </c>
      <c r="AY26" s="7">
        <f>C26+I26+O26+U26+AA26+AM26+AS26</f>
        <v>1593.4180979239084</v>
      </c>
      <c r="AZ26" s="7">
        <f>D26+J26+P26+V26+AB26+AN26+AT26</f>
        <v>0</v>
      </c>
      <c r="BA26" s="7">
        <f>E26+K26+Q26+W26+AC26+AO26+AU26</f>
        <v>0</v>
      </c>
      <c r="BB26" s="7">
        <f t="shared" si="32"/>
        <v>1593.4180979239084</v>
      </c>
    </row>
    <row r="27" spans="1:55" x14ac:dyDescent="0.25">
      <c r="A27" s="20"/>
      <c r="B27" s="7"/>
      <c r="C27" s="7"/>
      <c r="D27" s="7"/>
      <c r="E27" s="7"/>
      <c r="F27" s="7">
        <f t="shared" si="23"/>
        <v>0</v>
      </c>
      <c r="H27" s="7"/>
      <c r="I27" s="7"/>
      <c r="J27" s="7"/>
      <c r="K27" s="7"/>
      <c r="L27" s="7">
        <f t="shared" si="24"/>
        <v>0</v>
      </c>
      <c r="N27" s="7"/>
      <c r="O27" s="7"/>
      <c r="P27" s="7"/>
      <c r="Q27" s="7"/>
      <c r="R27" s="7">
        <f t="shared" si="25"/>
        <v>0</v>
      </c>
      <c r="T27" s="7"/>
      <c r="U27" s="7"/>
      <c r="V27" s="7"/>
      <c r="W27" s="7"/>
      <c r="X27" s="7">
        <f t="shared" si="26"/>
        <v>0</v>
      </c>
      <c r="Z27" s="7"/>
      <c r="AA27" s="7"/>
      <c r="AB27" s="7"/>
      <c r="AC27" s="7"/>
      <c r="AD27" s="7">
        <f t="shared" si="27"/>
        <v>0</v>
      </c>
      <c r="AF27" s="7"/>
      <c r="AG27" s="7"/>
      <c r="AH27" s="7"/>
      <c r="AI27" s="7"/>
      <c r="AJ27" s="7">
        <f t="shared" si="28"/>
        <v>0</v>
      </c>
      <c r="AL27" s="7"/>
      <c r="AM27" s="7"/>
      <c r="AN27" s="7"/>
      <c r="AO27" s="7"/>
      <c r="AP27" s="7">
        <f t="shared" si="29"/>
        <v>0</v>
      </c>
      <c r="AR27" s="7"/>
      <c r="AS27" s="7"/>
      <c r="AT27" s="7"/>
      <c r="AU27" s="7"/>
      <c r="AV27" s="7">
        <f t="shared" si="30"/>
        <v>0</v>
      </c>
      <c r="AX27" s="7"/>
      <c r="AY27" s="7"/>
      <c r="AZ27" s="7"/>
      <c r="BA27" s="7"/>
      <c r="BB27" s="7">
        <f t="shared" si="32"/>
        <v>0</v>
      </c>
    </row>
    <row r="28" spans="1:55" x14ac:dyDescent="0.25">
      <c r="A28" s="17" t="s">
        <v>28</v>
      </c>
      <c r="B28" s="18"/>
      <c r="C28" s="18"/>
      <c r="D28" s="18"/>
      <c r="E28" s="18"/>
      <c r="F28" s="18"/>
      <c r="H28" s="18"/>
      <c r="I28" s="18"/>
      <c r="J28" s="18"/>
      <c r="K28" s="18"/>
      <c r="L28" s="18"/>
      <c r="N28" s="18"/>
      <c r="O28" s="18"/>
      <c r="P28" s="18"/>
      <c r="Q28" s="18"/>
      <c r="R28" s="18"/>
      <c r="T28" s="18"/>
      <c r="U28" s="18"/>
      <c r="V28" s="18"/>
      <c r="W28" s="18"/>
      <c r="X28" s="18"/>
      <c r="Z28" s="18"/>
      <c r="AA28" s="18"/>
      <c r="AB28" s="18"/>
      <c r="AC28" s="18"/>
      <c r="AD28" s="18"/>
      <c r="AF28" s="18"/>
      <c r="AG28" s="18"/>
      <c r="AH28" s="18"/>
      <c r="AI28" s="18"/>
      <c r="AJ28" s="18"/>
      <c r="AL28" s="18"/>
      <c r="AM28" s="18"/>
      <c r="AN28" s="18"/>
      <c r="AO28" s="18"/>
      <c r="AP28" s="18"/>
      <c r="AR28" s="18"/>
      <c r="AS28" s="18"/>
      <c r="AT28" s="18"/>
      <c r="AU28" s="18"/>
      <c r="AV28" s="18"/>
      <c r="AX28" s="18"/>
      <c r="AY28" s="18"/>
      <c r="AZ28" s="18"/>
      <c r="BA28" s="18"/>
      <c r="BB28" s="18"/>
    </row>
    <row r="29" spans="1:55" x14ac:dyDescent="0.25">
      <c r="A29" s="21" t="s">
        <v>29</v>
      </c>
      <c r="B29" s="23">
        <v>36</v>
      </c>
      <c r="C29" s="23">
        <v>0</v>
      </c>
      <c r="D29" s="23">
        <v>0</v>
      </c>
      <c r="E29" s="23">
        <v>0</v>
      </c>
      <c r="F29" s="23">
        <f t="shared" ref="F29:F38" si="35">SUM(B29:E29)</f>
        <v>36</v>
      </c>
      <c r="G29" s="223" t="b">
        <f>SUM(G6:G18)=B29</f>
        <v>1</v>
      </c>
      <c r="H29" s="23">
        <v>86</v>
      </c>
      <c r="I29" s="23">
        <v>0</v>
      </c>
      <c r="J29" s="23">
        <v>0</v>
      </c>
      <c r="K29" s="23">
        <v>0</v>
      </c>
      <c r="L29" s="23">
        <f t="shared" ref="L29:L38" si="36">SUM(H29:K29)</f>
        <v>86</v>
      </c>
      <c r="M29" s="223" t="b">
        <f>SUM(M6:M18)=H29</f>
        <v>1</v>
      </c>
      <c r="N29" s="23">
        <v>36</v>
      </c>
      <c r="O29" s="23">
        <v>0</v>
      </c>
      <c r="P29" s="23">
        <v>0</v>
      </c>
      <c r="Q29" s="23">
        <v>0</v>
      </c>
      <c r="R29" s="23">
        <f t="shared" ref="R29:R38" si="37">SUM(N29:Q29)</f>
        <v>36</v>
      </c>
      <c r="S29" s="223" t="b">
        <f>SUM(S6:S18)=N29</f>
        <v>1</v>
      </c>
      <c r="T29" s="23">
        <v>45</v>
      </c>
      <c r="U29" s="23">
        <v>0</v>
      </c>
      <c r="V29" s="23">
        <v>0</v>
      </c>
      <c r="W29" s="23">
        <v>0</v>
      </c>
      <c r="X29" s="23">
        <f t="shared" ref="X29:X38" si="38">SUM(T29:W29)</f>
        <v>45</v>
      </c>
      <c r="Y29" s="223" t="b">
        <f>SUM(Y6:Y18)=T29</f>
        <v>1</v>
      </c>
      <c r="Z29" s="23">
        <v>85</v>
      </c>
      <c r="AA29" s="23">
        <v>0</v>
      </c>
      <c r="AB29" s="23">
        <v>0</v>
      </c>
      <c r="AC29" s="23">
        <v>0</v>
      </c>
      <c r="AD29" s="23">
        <f t="shared" ref="AD29:AD38" si="39">SUM(Z29:AC29)</f>
        <v>85</v>
      </c>
      <c r="AE29" s="223" t="b">
        <f>SUM(AE6:AE18)=Z29</f>
        <v>1</v>
      </c>
      <c r="AF29" s="23">
        <v>40</v>
      </c>
      <c r="AG29" s="23">
        <v>0</v>
      </c>
      <c r="AH29" s="23">
        <v>0</v>
      </c>
      <c r="AI29" s="23">
        <v>0</v>
      </c>
      <c r="AJ29" s="23">
        <f t="shared" ref="AJ29:AJ38" si="40">SUM(AF29:AI29)</f>
        <v>40</v>
      </c>
      <c r="AK29" s="223" t="b">
        <f>SUM(AK6:AK18)=AF29</f>
        <v>1</v>
      </c>
      <c r="AL29" s="23">
        <v>0</v>
      </c>
      <c r="AM29" s="23">
        <v>0</v>
      </c>
      <c r="AN29" s="23">
        <v>0</v>
      </c>
      <c r="AO29" s="23">
        <v>0</v>
      </c>
      <c r="AP29" s="23">
        <f t="shared" ref="AP29:AP38" si="41">SUM(AL29:AO29)</f>
        <v>0</v>
      </c>
      <c r="AQ29" s="200">
        <f>AP29/6</f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f t="shared" ref="AV29:AV38" si="42">SUM(AR29:AU29)</f>
        <v>0</v>
      </c>
      <c r="AX29" s="23">
        <f>B29+H29+N29+T29+Z29+AF29+AL29+AR29</f>
        <v>328</v>
      </c>
      <c r="AY29" s="23">
        <f t="shared" ref="AY29:BA38" si="43">C29+I29+O29+U29+AA29+AG29+AM29+AS29</f>
        <v>0</v>
      </c>
      <c r="AZ29" s="23">
        <f t="shared" si="43"/>
        <v>0</v>
      </c>
      <c r="BA29" s="23">
        <f t="shared" si="43"/>
        <v>0</v>
      </c>
      <c r="BB29" s="23">
        <f t="shared" ref="BB29:BB38" si="44">SUM(AX29:BA29)</f>
        <v>328</v>
      </c>
    </row>
    <row r="30" spans="1:55" x14ac:dyDescent="0.25">
      <c r="A30" s="21" t="s">
        <v>30</v>
      </c>
      <c r="B30" s="23">
        <v>0</v>
      </c>
      <c r="C30" s="23">
        <v>0</v>
      </c>
      <c r="D30" s="23">
        <v>4</v>
      </c>
      <c r="E30" s="23">
        <v>0</v>
      </c>
      <c r="F30" s="23">
        <f t="shared" si="35"/>
        <v>4</v>
      </c>
      <c r="G30" s="223">
        <f>D22/23</f>
        <v>4.3909658074188709</v>
      </c>
      <c r="H30" s="23">
        <v>0</v>
      </c>
      <c r="I30" s="23">
        <v>0</v>
      </c>
      <c r="J30" s="23">
        <v>13</v>
      </c>
      <c r="K30" s="23">
        <v>0</v>
      </c>
      <c r="L30" s="23">
        <f t="shared" si="36"/>
        <v>13</v>
      </c>
      <c r="M30" s="223">
        <f>J22/23</f>
        <v>13.550918391071844</v>
      </c>
      <c r="N30" s="23">
        <v>0</v>
      </c>
      <c r="O30" s="23">
        <v>0</v>
      </c>
      <c r="P30" s="23">
        <v>4</v>
      </c>
      <c r="Q30" s="23">
        <v>0</v>
      </c>
      <c r="R30" s="23">
        <f t="shared" si="37"/>
        <v>4</v>
      </c>
      <c r="S30" s="223">
        <f>P22/23</f>
        <v>3.2173913043478262</v>
      </c>
      <c r="T30" s="23">
        <v>0</v>
      </c>
      <c r="U30" s="23">
        <v>0</v>
      </c>
      <c r="V30" s="23">
        <v>5</v>
      </c>
      <c r="W30" s="23">
        <v>0</v>
      </c>
      <c r="X30" s="23">
        <f t="shared" si="38"/>
        <v>5</v>
      </c>
      <c r="Y30" s="223">
        <f>V22/23</f>
        <v>4.7583130869927839</v>
      </c>
      <c r="Z30" s="23">
        <v>0</v>
      </c>
      <c r="AA30" s="23">
        <v>0</v>
      </c>
      <c r="AB30" s="23">
        <v>10</v>
      </c>
      <c r="AC30" s="23">
        <v>0</v>
      </c>
      <c r="AD30" s="23">
        <f t="shared" si="39"/>
        <v>10</v>
      </c>
      <c r="AE30" s="223">
        <f>AB22/23</f>
        <v>8.640711462450593</v>
      </c>
      <c r="AF30" s="23">
        <v>0</v>
      </c>
      <c r="AG30" s="23">
        <v>0</v>
      </c>
      <c r="AH30" s="23">
        <v>5</v>
      </c>
      <c r="AI30" s="23">
        <v>0</v>
      </c>
      <c r="AJ30" s="23">
        <f t="shared" si="40"/>
        <v>5</v>
      </c>
      <c r="AK30" s="223">
        <f>AH22/23</f>
        <v>5.0086956521739125</v>
      </c>
      <c r="AL30" s="23">
        <v>0</v>
      </c>
      <c r="AM30" s="23">
        <v>0</v>
      </c>
      <c r="AN30" s="23">
        <v>0</v>
      </c>
      <c r="AO30" s="23">
        <v>0</v>
      </c>
      <c r="AP30" s="23">
        <f t="shared" si="41"/>
        <v>0</v>
      </c>
      <c r="AQ30" s="199">
        <f>(AL19*0.13)/23</f>
        <v>0</v>
      </c>
      <c r="AR30" s="23">
        <v>0</v>
      </c>
      <c r="AS30" s="23">
        <v>0</v>
      </c>
      <c r="AT30" s="23">
        <v>1</v>
      </c>
      <c r="AU30" s="23">
        <v>0</v>
      </c>
      <c r="AV30" s="23">
        <f t="shared" si="42"/>
        <v>1</v>
      </c>
      <c r="AX30" s="23">
        <f t="shared" ref="AX30:AX38" si="45">B30+H30+N30+T30+Z30+AF30+AL30+AR30</f>
        <v>0</v>
      </c>
      <c r="AY30" s="23">
        <f t="shared" si="43"/>
        <v>0</v>
      </c>
      <c r="AZ30" s="23">
        <f t="shared" si="43"/>
        <v>42</v>
      </c>
      <c r="BA30" s="23">
        <f t="shared" si="43"/>
        <v>0</v>
      </c>
      <c r="BB30" s="23">
        <f t="shared" si="44"/>
        <v>42</v>
      </c>
    </row>
    <row r="31" spans="1:55" x14ac:dyDescent="0.25">
      <c r="A31" s="21" t="s">
        <v>31</v>
      </c>
      <c r="B31" s="23">
        <v>1</v>
      </c>
      <c r="C31" s="23">
        <v>0</v>
      </c>
      <c r="D31" s="23">
        <v>0</v>
      </c>
      <c r="E31" s="23">
        <v>0</v>
      </c>
      <c r="F31" s="23">
        <f t="shared" si="35"/>
        <v>1</v>
      </c>
      <c r="H31" s="23">
        <v>2</v>
      </c>
      <c r="I31" s="23">
        <v>0</v>
      </c>
      <c r="J31" s="23">
        <v>0</v>
      </c>
      <c r="K31" s="23">
        <v>0</v>
      </c>
      <c r="L31" s="23">
        <f t="shared" si="36"/>
        <v>2</v>
      </c>
      <c r="N31" s="23">
        <v>1</v>
      </c>
      <c r="O31" s="23">
        <v>0</v>
      </c>
      <c r="P31" s="23">
        <v>0</v>
      </c>
      <c r="Q31" s="23">
        <v>0</v>
      </c>
      <c r="R31" s="23">
        <f t="shared" si="37"/>
        <v>1</v>
      </c>
      <c r="T31" s="23">
        <v>1</v>
      </c>
      <c r="U31" s="23">
        <v>0</v>
      </c>
      <c r="V31" s="23">
        <v>0</v>
      </c>
      <c r="W31" s="23">
        <v>0</v>
      </c>
      <c r="X31" s="23">
        <f t="shared" si="38"/>
        <v>1</v>
      </c>
      <c r="Z31" s="23">
        <v>2</v>
      </c>
      <c r="AA31" s="23">
        <v>0</v>
      </c>
      <c r="AB31" s="23">
        <v>0</v>
      </c>
      <c r="AC31" s="23">
        <v>0</v>
      </c>
      <c r="AD31" s="23">
        <f t="shared" si="39"/>
        <v>2</v>
      </c>
      <c r="AF31" s="23">
        <v>1</v>
      </c>
      <c r="AG31" s="23">
        <v>0</v>
      </c>
      <c r="AH31" s="23">
        <v>0</v>
      </c>
      <c r="AI31" s="23">
        <v>0</v>
      </c>
      <c r="AJ31" s="23">
        <f t="shared" si="40"/>
        <v>1</v>
      </c>
      <c r="AL31" s="23">
        <v>0</v>
      </c>
      <c r="AM31" s="23">
        <v>0</v>
      </c>
      <c r="AN31" s="23">
        <v>0</v>
      </c>
      <c r="AO31" s="23">
        <v>0</v>
      </c>
      <c r="AP31" s="23">
        <f t="shared" si="41"/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f t="shared" si="42"/>
        <v>0</v>
      </c>
      <c r="AX31" s="23">
        <f t="shared" si="45"/>
        <v>8</v>
      </c>
      <c r="AY31" s="23">
        <f t="shared" si="43"/>
        <v>0</v>
      </c>
      <c r="AZ31" s="23">
        <f t="shared" si="43"/>
        <v>0</v>
      </c>
      <c r="BA31" s="23">
        <f t="shared" si="43"/>
        <v>0</v>
      </c>
      <c r="BB31" s="23">
        <f t="shared" si="44"/>
        <v>8</v>
      </c>
    </row>
    <row r="32" spans="1:55" x14ac:dyDescent="0.25">
      <c r="A32" s="21" t="s">
        <v>32</v>
      </c>
      <c r="B32" s="23">
        <v>1</v>
      </c>
      <c r="C32" s="23">
        <v>0</v>
      </c>
      <c r="D32" s="23">
        <v>0</v>
      </c>
      <c r="E32" s="23">
        <v>0</v>
      </c>
      <c r="F32" s="23">
        <f t="shared" si="35"/>
        <v>1</v>
      </c>
      <c r="H32" s="23">
        <v>2</v>
      </c>
      <c r="I32" s="23">
        <v>0</v>
      </c>
      <c r="J32" s="23">
        <v>0</v>
      </c>
      <c r="K32" s="23">
        <v>0</v>
      </c>
      <c r="L32" s="23">
        <f t="shared" si="36"/>
        <v>2</v>
      </c>
      <c r="N32" s="23">
        <v>1</v>
      </c>
      <c r="O32" s="23">
        <v>0</v>
      </c>
      <c r="P32" s="23">
        <v>0</v>
      </c>
      <c r="Q32" s="23">
        <v>0</v>
      </c>
      <c r="R32" s="23">
        <f t="shared" si="37"/>
        <v>1</v>
      </c>
      <c r="T32" s="23">
        <v>1</v>
      </c>
      <c r="U32" s="23">
        <v>0</v>
      </c>
      <c r="V32" s="23">
        <v>0</v>
      </c>
      <c r="W32" s="23">
        <v>0</v>
      </c>
      <c r="X32" s="23">
        <f t="shared" si="38"/>
        <v>1</v>
      </c>
      <c r="Z32" s="23">
        <v>2</v>
      </c>
      <c r="AA32" s="23">
        <v>0</v>
      </c>
      <c r="AB32" s="23">
        <v>0</v>
      </c>
      <c r="AC32" s="23">
        <v>0</v>
      </c>
      <c r="AD32" s="23">
        <f t="shared" si="39"/>
        <v>2</v>
      </c>
      <c r="AF32" s="23">
        <v>1</v>
      </c>
      <c r="AG32" s="23">
        <v>0</v>
      </c>
      <c r="AH32" s="23">
        <v>0</v>
      </c>
      <c r="AI32" s="23">
        <v>0</v>
      </c>
      <c r="AJ32" s="23">
        <f t="shared" si="40"/>
        <v>1</v>
      </c>
      <c r="AL32" s="23">
        <v>0</v>
      </c>
      <c r="AM32" s="23">
        <v>0</v>
      </c>
      <c r="AN32" s="23">
        <v>0</v>
      </c>
      <c r="AO32" s="23">
        <v>0</v>
      </c>
      <c r="AP32" s="23">
        <f t="shared" si="41"/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f t="shared" si="42"/>
        <v>0</v>
      </c>
      <c r="AX32" s="23">
        <f t="shared" si="45"/>
        <v>8</v>
      </c>
      <c r="AY32" s="23">
        <f t="shared" si="43"/>
        <v>0</v>
      </c>
      <c r="AZ32" s="23">
        <f t="shared" si="43"/>
        <v>0</v>
      </c>
      <c r="BA32" s="23">
        <f t="shared" si="43"/>
        <v>0</v>
      </c>
      <c r="BB32" s="23">
        <f t="shared" si="44"/>
        <v>8</v>
      </c>
    </row>
    <row r="33" spans="1:54" x14ac:dyDescent="0.25">
      <c r="A33" s="21" t="s">
        <v>33</v>
      </c>
      <c r="B33" s="23">
        <v>1</v>
      </c>
      <c r="C33" s="23">
        <v>0</v>
      </c>
      <c r="D33" s="23">
        <v>0</v>
      </c>
      <c r="E33" s="23">
        <v>0</v>
      </c>
      <c r="F33" s="23">
        <f t="shared" si="35"/>
        <v>1</v>
      </c>
      <c r="H33" s="23">
        <v>3</v>
      </c>
      <c r="I33" s="23">
        <v>0</v>
      </c>
      <c r="J33" s="23">
        <v>0</v>
      </c>
      <c r="K33" s="23">
        <v>0</v>
      </c>
      <c r="L33" s="23">
        <f t="shared" si="36"/>
        <v>3</v>
      </c>
      <c r="N33" s="23">
        <v>1</v>
      </c>
      <c r="O33" s="23">
        <v>0</v>
      </c>
      <c r="P33" s="23">
        <v>0</v>
      </c>
      <c r="Q33" s="23">
        <v>0</v>
      </c>
      <c r="R33" s="23">
        <f t="shared" si="37"/>
        <v>1</v>
      </c>
      <c r="T33" s="23">
        <v>1</v>
      </c>
      <c r="U33" s="23">
        <v>0</v>
      </c>
      <c r="V33" s="23">
        <v>0</v>
      </c>
      <c r="W33" s="23">
        <v>0</v>
      </c>
      <c r="X33" s="23">
        <f t="shared" si="38"/>
        <v>1</v>
      </c>
      <c r="Z33" s="23">
        <v>2</v>
      </c>
      <c r="AA33" s="23">
        <v>0</v>
      </c>
      <c r="AB33" s="23">
        <v>0</v>
      </c>
      <c r="AC33" s="23">
        <v>0</v>
      </c>
      <c r="AD33" s="23">
        <f t="shared" si="39"/>
        <v>2</v>
      </c>
      <c r="AF33" s="23">
        <v>1</v>
      </c>
      <c r="AG33" s="23">
        <v>0</v>
      </c>
      <c r="AH33" s="23">
        <v>0</v>
      </c>
      <c r="AI33" s="23">
        <v>0</v>
      </c>
      <c r="AJ33" s="23">
        <f t="shared" si="40"/>
        <v>1</v>
      </c>
      <c r="AL33" s="23">
        <v>0</v>
      </c>
      <c r="AM33" s="23">
        <v>0</v>
      </c>
      <c r="AN33" s="23">
        <v>0</v>
      </c>
      <c r="AO33" s="23">
        <v>0</v>
      </c>
      <c r="AP33" s="23">
        <f t="shared" si="41"/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f t="shared" si="42"/>
        <v>0</v>
      </c>
      <c r="AX33" s="23">
        <f t="shared" si="45"/>
        <v>9</v>
      </c>
      <c r="AY33" s="23">
        <f t="shared" si="43"/>
        <v>0</v>
      </c>
      <c r="AZ33" s="23">
        <f t="shared" si="43"/>
        <v>0</v>
      </c>
      <c r="BA33" s="23">
        <f t="shared" si="43"/>
        <v>0</v>
      </c>
      <c r="BB33" s="23">
        <f t="shared" si="44"/>
        <v>9</v>
      </c>
    </row>
    <row r="34" spans="1:54" x14ac:dyDescent="0.25">
      <c r="A34" s="24" t="s">
        <v>34</v>
      </c>
      <c r="B34" s="23">
        <v>0</v>
      </c>
      <c r="C34" s="23">
        <v>0</v>
      </c>
      <c r="D34" s="23">
        <v>0</v>
      </c>
      <c r="E34" s="23">
        <v>0</v>
      </c>
      <c r="F34" s="23">
        <f t="shared" si="35"/>
        <v>0</v>
      </c>
      <c r="H34" s="23">
        <v>0</v>
      </c>
      <c r="I34" s="23">
        <v>0</v>
      </c>
      <c r="J34" s="23">
        <v>0</v>
      </c>
      <c r="K34" s="23">
        <v>0</v>
      </c>
      <c r="L34" s="23">
        <f t="shared" si="36"/>
        <v>0</v>
      </c>
      <c r="N34" s="23">
        <v>0</v>
      </c>
      <c r="O34" s="23">
        <v>0</v>
      </c>
      <c r="P34" s="23">
        <v>0</v>
      </c>
      <c r="Q34" s="23">
        <v>0</v>
      </c>
      <c r="R34" s="23">
        <f t="shared" si="37"/>
        <v>0</v>
      </c>
      <c r="T34" s="23">
        <v>0</v>
      </c>
      <c r="U34" s="23">
        <v>0</v>
      </c>
      <c r="V34" s="23">
        <v>0</v>
      </c>
      <c r="W34" s="23">
        <v>0</v>
      </c>
      <c r="X34" s="23">
        <f t="shared" si="38"/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f t="shared" si="39"/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f t="shared" si="40"/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f t="shared" si="41"/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f t="shared" si="42"/>
        <v>0</v>
      </c>
      <c r="AX34" s="23">
        <f t="shared" si="45"/>
        <v>0</v>
      </c>
      <c r="AY34" s="23">
        <f t="shared" si="43"/>
        <v>0</v>
      </c>
      <c r="AZ34" s="23">
        <f t="shared" si="43"/>
        <v>0</v>
      </c>
      <c r="BA34" s="23">
        <f t="shared" si="43"/>
        <v>0</v>
      </c>
      <c r="BB34" s="23">
        <f t="shared" si="44"/>
        <v>0</v>
      </c>
    </row>
    <row r="35" spans="1:54" x14ac:dyDescent="0.25">
      <c r="A35" s="27" t="s">
        <v>35</v>
      </c>
      <c r="B35" s="23">
        <v>1</v>
      </c>
      <c r="C35" s="23">
        <v>0</v>
      </c>
      <c r="D35" s="23">
        <v>0</v>
      </c>
      <c r="E35" s="23">
        <v>0</v>
      </c>
      <c r="F35" s="23">
        <f t="shared" si="35"/>
        <v>1</v>
      </c>
      <c r="H35" s="23">
        <v>2</v>
      </c>
      <c r="I35" s="23">
        <v>0</v>
      </c>
      <c r="J35" s="23">
        <v>0</v>
      </c>
      <c r="K35" s="23">
        <v>0</v>
      </c>
      <c r="L35" s="23">
        <f t="shared" si="36"/>
        <v>2</v>
      </c>
      <c r="N35" s="23">
        <v>1</v>
      </c>
      <c r="O35" s="23">
        <v>0</v>
      </c>
      <c r="P35" s="23">
        <v>0</v>
      </c>
      <c r="Q35" s="23">
        <v>0</v>
      </c>
      <c r="R35" s="23">
        <f t="shared" si="37"/>
        <v>1</v>
      </c>
      <c r="T35" s="23">
        <v>1</v>
      </c>
      <c r="U35" s="23">
        <v>0</v>
      </c>
      <c r="V35" s="23">
        <v>0</v>
      </c>
      <c r="W35" s="23">
        <v>0</v>
      </c>
      <c r="X35" s="23">
        <f t="shared" si="38"/>
        <v>1</v>
      </c>
      <c r="Z35" s="23">
        <v>2</v>
      </c>
      <c r="AA35" s="23">
        <v>0</v>
      </c>
      <c r="AB35" s="23">
        <v>0</v>
      </c>
      <c r="AC35" s="23">
        <v>0</v>
      </c>
      <c r="AD35" s="23">
        <f t="shared" si="39"/>
        <v>2</v>
      </c>
      <c r="AF35" s="23">
        <v>1</v>
      </c>
      <c r="AG35" s="23">
        <v>0</v>
      </c>
      <c r="AH35" s="23">
        <v>0</v>
      </c>
      <c r="AI35" s="23">
        <v>0</v>
      </c>
      <c r="AJ35" s="23">
        <f t="shared" si="40"/>
        <v>1</v>
      </c>
      <c r="AL35" s="23">
        <v>0</v>
      </c>
      <c r="AM35" s="23">
        <v>0</v>
      </c>
      <c r="AN35" s="23">
        <v>0</v>
      </c>
      <c r="AO35" s="23">
        <v>0</v>
      </c>
      <c r="AP35" s="23">
        <f t="shared" si="41"/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f t="shared" si="42"/>
        <v>0</v>
      </c>
      <c r="AX35" s="23">
        <f t="shared" si="45"/>
        <v>8</v>
      </c>
      <c r="AY35" s="23">
        <f t="shared" si="43"/>
        <v>0</v>
      </c>
      <c r="AZ35" s="23">
        <f t="shared" si="43"/>
        <v>0</v>
      </c>
      <c r="BA35" s="23">
        <f t="shared" si="43"/>
        <v>0</v>
      </c>
      <c r="BB35" s="23">
        <f t="shared" si="44"/>
        <v>8</v>
      </c>
    </row>
    <row r="36" spans="1:54" x14ac:dyDescent="0.25">
      <c r="A36" s="28" t="s">
        <v>36</v>
      </c>
      <c r="B36" s="23">
        <v>0</v>
      </c>
      <c r="C36" s="23">
        <v>0</v>
      </c>
      <c r="D36" s="23">
        <v>0</v>
      </c>
      <c r="E36" s="23">
        <v>0</v>
      </c>
      <c r="F36" s="23">
        <f t="shared" si="35"/>
        <v>0</v>
      </c>
      <c r="H36" s="23">
        <v>0</v>
      </c>
      <c r="I36" s="23">
        <v>0</v>
      </c>
      <c r="J36" s="23">
        <v>0</v>
      </c>
      <c r="K36" s="23">
        <v>0</v>
      </c>
      <c r="L36" s="23">
        <f t="shared" si="36"/>
        <v>0</v>
      </c>
      <c r="N36" s="23">
        <v>0</v>
      </c>
      <c r="O36" s="23">
        <v>0</v>
      </c>
      <c r="P36" s="23">
        <v>0</v>
      </c>
      <c r="Q36" s="23">
        <v>0</v>
      </c>
      <c r="R36" s="23">
        <f t="shared" si="37"/>
        <v>0</v>
      </c>
      <c r="T36" s="23">
        <v>0</v>
      </c>
      <c r="U36" s="23">
        <v>0</v>
      </c>
      <c r="V36" s="23">
        <v>0</v>
      </c>
      <c r="W36" s="23">
        <v>0</v>
      </c>
      <c r="X36" s="23">
        <f t="shared" si="38"/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f t="shared" si="39"/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f t="shared" si="40"/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f t="shared" si="41"/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f t="shared" si="42"/>
        <v>0</v>
      </c>
      <c r="AX36" s="23">
        <f t="shared" si="45"/>
        <v>0</v>
      </c>
      <c r="AY36" s="23">
        <f t="shared" si="43"/>
        <v>0</v>
      </c>
      <c r="AZ36" s="23">
        <f t="shared" si="43"/>
        <v>0</v>
      </c>
      <c r="BA36" s="23">
        <f t="shared" si="43"/>
        <v>0</v>
      </c>
      <c r="BB36" s="23">
        <f t="shared" si="44"/>
        <v>0</v>
      </c>
    </row>
    <row r="37" spans="1:54" x14ac:dyDescent="0.25">
      <c r="A37" s="27" t="s">
        <v>37</v>
      </c>
      <c r="B37" s="23">
        <v>1</v>
      </c>
      <c r="C37" s="23">
        <v>0</v>
      </c>
      <c r="D37" s="23">
        <v>0</v>
      </c>
      <c r="E37" s="23">
        <v>0</v>
      </c>
      <c r="F37" s="23">
        <f t="shared" si="35"/>
        <v>1</v>
      </c>
      <c r="H37" s="23">
        <v>2</v>
      </c>
      <c r="I37" s="23">
        <v>0</v>
      </c>
      <c r="J37" s="23">
        <v>0</v>
      </c>
      <c r="K37" s="23">
        <v>0</v>
      </c>
      <c r="L37" s="23">
        <f t="shared" si="36"/>
        <v>2</v>
      </c>
      <c r="N37" s="23">
        <v>1</v>
      </c>
      <c r="O37" s="23">
        <v>0</v>
      </c>
      <c r="P37" s="23">
        <v>0</v>
      </c>
      <c r="Q37" s="23">
        <v>0</v>
      </c>
      <c r="R37" s="23">
        <f t="shared" si="37"/>
        <v>1</v>
      </c>
      <c r="T37" s="23">
        <v>1</v>
      </c>
      <c r="U37" s="23">
        <v>0</v>
      </c>
      <c r="V37" s="23">
        <v>0</v>
      </c>
      <c r="W37" s="23">
        <v>0</v>
      </c>
      <c r="X37" s="23">
        <f t="shared" si="38"/>
        <v>1</v>
      </c>
      <c r="Z37" s="23">
        <v>1</v>
      </c>
      <c r="AA37" s="23">
        <v>0</v>
      </c>
      <c r="AB37" s="23">
        <v>0</v>
      </c>
      <c r="AC37" s="23">
        <v>0</v>
      </c>
      <c r="AD37" s="23">
        <f t="shared" si="39"/>
        <v>1</v>
      </c>
      <c r="AF37" s="23">
        <v>1</v>
      </c>
      <c r="AG37" s="23">
        <v>0</v>
      </c>
      <c r="AH37" s="23">
        <v>0</v>
      </c>
      <c r="AI37" s="23">
        <v>0</v>
      </c>
      <c r="AJ37" s="23">
        <f t="shared" si="40"/>
        <v>1</v>
      </c>
      <c r="AL37" s="23">
        <v>0</v>
      </c>
      <c r="AM37" s="23">
        <v>0</v>
      </c>
      <c r="AN37" s="23">
        <v>0</v>
      </c>
      <c r="AO37" s="23">
        <v>0</v>
      </c>
      <c r="AP37" s="23">
        <f t="shared" si="41"/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f t="shared" si="42"/>
        <v>0</v>
      </c>
      <c r="AX37" s="23">
        <f t="shared" si="45"/>
        <v>7</v>
      </c>
      <c r="AY37" s="23">
        <f t="shared" si="43"/>
        <v>0</v>
      </c>
      <c r="AZ37" s="23">
        <f t="shared" si="43"/>
        <v>0</v>
      </c>
      <c r="BA37" s="23">
        <f t="shared" si="43"/>
        <v>0</v>
      </c>
      <c r="BB37" s="23">
        <f t="shared" si="44"/>
        <v>7</v>
      </c>
    </row>
    <row r="38" spans="1:54" x14ac:dyDescent="0.25">
      <c r="A38" s="27" t="s">
        <v>38</v>
      </c>
      <c r="B38" s="23">
        <v>0.5</v>
      </c>
      <c r="C38" s="23">
        <v>0</v>
      </c>
      <c r="D38" s="23">
        <v>0</v>
      </c>
      <c r="E38" s="23">
        <v>0</v>
      </c>
      <c r="F38" s="23">
        <f t="shared" si="35"/>
        <v>0.5</v>
      </c>
      <c r="H38" s="23">
        <v>3</v>
      </c>
      <c r="I38" s="23">
        <v>0</v>
      </c>
      <c r="J38" s="23">
        <v>0</v>
      </c>
      <c r="K38" s="23">
        <v>0</v>
      </c>
      <c r="L38" s="23">
        <f t="shared" si="36"/>
        <v>3</v>
      </c>
      <c r="N38" s="23">
        <v>2</v>
      </c>
      <c r="O38" s="23">
        <v>0</v>
      </c>
      <c r="P38" s="23">
        <v>0</v>
      </c>
      <c r="Q38" s="23">
        <v>0</v>
      </c>
      <c r="R38" s="23">
        <f t="shared" si="37"/>
        <v>2</v>
      </c>
      <c r="T38" s="23">
        <v>3</v>
      </c>
      <c r="U38" s="23">
        <v>0</v>
      </c>
      <c r="V38" s="23">
        <v>0</v>
      </c>
      <c r="W38" s="23">
        <v>0</v>
      </c>
      <c r="X38" s="23">
        <f t="shared" si="38"/>
        <v>3</v>
      </c>
      <c r="Z38" s="23">
        <v>3.5</v>
      </c>
      <c r="AA38" s="23">
        <v>0</v>
      </c>
      <c r="AB38" s="23">
        <v>0</v>
      </c>
      <c r="AC38" s="23">
        <v>0</v>
      </c>
      <c r="AD38" s="23">
        <f t="shared" si="39"/>
        <v>3.5</v>
      </c>
      <c r="AF38" s="23">
        <v>0.5</v>
      </c>
      <c r="AG38" s="23">
        <v>0</v>
      </c>
      <c r="AH38" s="23">
        <v>0</v>
      </c>
      <c r="AI38" s="23">
        <v>0</v>
      </c>
      <c r="AJ38" s="23">
        <f t="shared" si="40"/>
        <v>0.5</v>
      </c>
      <c r="AL38" s="23">
        <v>0</v>
      </c>
      <c r="AM38" s="23">
        <v>0</v>
      </c>
      <c r="AN38" s="23">
        <v>0</v>
      </c>
      <c r="AO38" s="23">
        <v>0</v>
      </c>
      <c r="AP38" s="23">
        <f t="shared" si="41"/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f t="shared" si="42"/>
        <v>0</v>
      </c>
      <c r="AX38" s="23">
        <f t="shared" si="45"/>
        <v>12.5</v>
      </c>
      <c r="AY38" s="23">
        <f t="shared" si="43"/>
        <v>0</v>
      </c>
      <c r="AZ38" s="23">
        <f t="shared" si="43"/>
        <v>0</v>
      </c>
      <c r="BA38" s="23">
        <f t="shared" si="43"/>
        <v>0</v>
      </c>
      <c r="BB38" s="23">
        <f t="shared" si="44"/>
        <v>12.5</v>
      </c>
    </row>
    <row r="39" spans="1:54" x14ac:dyDescent="0.25">
      <c r="A39" s="29" t="s">
        <v>39</v>
      </c>
      <c r="B39" s="30">
        <f>SUM(B29:B38)</f>
        <v>41.5</v>
      </c>
      <c r="C39" s="30">
        <f>SUM(C29:C38)</f>
        <v>0</v>
      </c>
      <c r="D39" s="30">
        <f t="shared" ref="D39:F39" si="46">SUM(D29:D38)</f>
        <v>4</v>
      </c>
      <c r="E39" s="30">
        <f t="shared" si="46"/>
        <v>0</v>
      </c>
      <c r="F39" s="30">
        <f t="shared" si="46"/>
        <v>45.5</v>
      </c>
      <c r="H39" s="30">
        <f>SUM(H29:H38)</f>
        <v>100</v>
      </c>
      <c r="I39" s="30">
        <f>SUM(I29:I38)</f>
        <v>0</v>
      </c>
      <c r="J39" s="30">
        <f t="shared" ref="J39:L39" si="47">SUM(J29:J38)</f>
        <v>13</v>
      </c>
      <c r="K39" s="30">
        <f t="shared" si="47"/>
        <v>0</v>
      </c>
      <c r="L39" s="30">
        <f t="shared" si="47"/>
        <v>113</v>
      </c>
      <c r="N39" s="30">
        <f>SUM(N29:N38)</f>
        <v>43</v>
      </c>
      <c r="O39" s="30">
        <f>SUM(O29:O38)</f>
        <v>0</v>
      </c>
      <c r="P39" s="30">
        <f t="shared" ref="P39:R39" si="48">SUM(P29:P38)</f>
        <v>4</v>
      </c>
      <c r="Q39" s="30">
        <f t="shared" si="48"/>
        <v>0</v>
      </c>
      <c r="R39" s="30">
        <f t="shared" si="48"/>
        <v>47</v>
      </c>
      <c r="T39" s="30">
        <f>SUM(T29:T38)</f>
        <v>53</v>
      </c>
      <c r="U39" s="30">
        <f>SUM(U29:U38)</f>
        <v>0</v>
      </c>
      <c r="V39" s="30">
        <f t="shared" ref="V39:X39" si="49">SUM(V29:V38)</f>
        <v>5</v>
      </c>
      <c r="W39" s="30">
        <f t="shared" si="49"/>
        <v>0</v>
      </c>
      <c r="X39" s="30">
        <f t="shared" si="49"/>
        <v>58</v>
      </c>
      <c r="Z39" s="30">
        <f>SUM(Z29:Z38)</f>
        <v>97.5</v>
      </c>
      <c r="AA39" s="30">
        <f>SUM(AA29:AA38)</f>
        <v>0</v>
      </c>
      <c r="AB39" s="30">
        <f t="shared" ref="AB39:AD39" si="50">SUM(AB29:AB38)</f>
        <v>10</v>
      </c>
      <c r="AC39" s="30">
        <f t="shared" si="50"/>
        <v>0</v>
      </c>
      <c r="AD39" s="30">
        <f t="shared" si="50"/>
        <v>107.5</v>
      </c>
      <c r="AF39" s="30">
        <f>SUM(AF29:AF38)</f>
        <v>45.5</v>
      </c>
      <c r="AG39" s="30">
        <f>SUM(AG29:AG38)</f>
        <v>0</v>
      </c>
      <c r="AH39" s="30">
        <f t="shared" ref="AH39:AJ39" si="51">SUM(AH29:AH38)</f>
        <v>5</v>
      </c>
      <c r="AI39" s="30">
        <f t="shared" si="51"/>
        <v>0</v>
      </c>
      <c r="AJ39" s="30">
        <f t="shared" si="51"/>
        <v>50.5</v>
      </c>
      <c r="AL39" s="30">
        <f>SUM(AL29:AL38)</f>
        <v>0</v>
      </c>
      <c r="AM39" s="30">
        <f>SUM(AM29:AM38)</f>
        <v>0</v>
      </c>
      <c r="AN39" s="30">
        <f t="shared" ref="AN39:AP39" si="52">SUM(AN29:AN38)</f>
        <v>0</v>
      </c>
      <c r="AO39" s="30">
        <f t="shared" si="52"/>
        <v>0</v>
      </c>
      <c r="AP39" s="30">
        <f t="shared" si="52"/>
        <v>0</v>
      </c>
      <c r="AR39" s="30">
        <f>SUM(AR29:AR38)</f>
        <v>0</v>
      </c>
      <c r="AS39" s="30">
        <f>SUM(AS29:AS38)</f>
        <v>0</v>
      </c>
      <c r="AT39" s="30">
        <f t="shared" ref="AT39:AV39" si="53">SUM(AT29:AT38)</f>
        <v>1</v>
      </c>
      <c r="AU39" s="30">
        <f t="shared" si="53"/>
        <v>0</v>
      </c>
      <c r="AV39" s="30">
        <f t="shared" si="53"/>
        <v>1</v>
      </c>
      <c r="AX39" s="30">
        <f>SUM(AX29:AX38)</f>
        <v>380.5</v>
      </c>
      <c r="AY39" s="30">
        <f>SUM(AY29:AY38)</f>
        <v>0</v>
      </c>
      <c r="AZ39" s="30">
        <f t="shared" ref="AZ39:BB39" si="54">SUM(AZ29:AZ38)</f>
        <v>42</v>
      </c>
      <c r="BA39" s="30">
        <f t="shared" si="54"/>
        <v>0</v>
      </c>
      <c r="BB39" s="30">
        <f t="shared" si="54"/>
        <v>422.5</v>
      </c>
    </row>
    <row r="40" spans="1:54" x14ac:dyDescent="0.25">
      <c r="A40" s="31"/>
      <c r="B40" s="23"/>
      <c r="C40" s="23"/>
      <c r="D40" s="23"/>
      <c r="E40" s="23"/>
      <c r="F40" s="23"/>
      <c r="H40" s="23"/>
      <c r="I40" s="23"/>
      <c r="J40" s="23"/>
      <c r="K40" s="23"/>
      <c r="L40" s="23"/>
      <c r="N40" s="23"/>
      <c r="O40" s="23"/>
      <c r="P40" s="23"/>
      <c r="Q40" s="23"/>
      <c r="R40" s="23"/>
      <c r="T40" s="23"/>
      <c r="U40" s="23"/>
      <c r="V40" s="23"/>
      <c r="W40" s="23"/>
      <c r="X40" s="23"/>
      <c r="Z40" s="23"/>
      <c r="AA40" s="23"/>
      <c r="AB40" s="23"/>
      <c r="AC40" s="23"/>
      <c r="AD40" s="23"/>
      <c r="AF40" s="23"/>
      <c r="AG40" s="23"/>
      <c r="AH40" s="23"/>
      <c r="AI40" s="23"/>
      <c r="AJ40" s="23"/>
      <c r="AL40" s="23"/>
      <c r="AM40" s="23"/>
      <c r="AN40" s="23"/>
      <c r="AO40" s="23"/>
      <c r="AP40" s="23"/>
      <c r="AR40" s="23"/>
      <c r="AS40" s="23"/>
      <c r="AT40" s="23"/>
      <c r="AU40" s="23"/>
      <c r="AV40" s="23"/>
      <c r="AX40" s="23"/>
      <c r="AY40" s="23"/>
      <c r="AZ40" s="23"/>
      <c r="BA40" s="23"/>
      <c r="BB40" s="23"/>
    </row>
    <row r="41" spans="1:54" x14ac:dyDescent="0.25">
      <c r="A41" s="17" t="s">
        <v>40</v>
      </c>
      <c r="B41" s="32" t="str">
        <f>B1</f>
        <v>Operating</v>
      </c>
      <c r="C41" s="32" t="str">
        <f t="shared" ref="C41:F41" si="55">C1</f>
        <v>Weights</v>
      </c>
      <c r="D41" s="32" t="str">
        <f t="shared" si="55"/>
        <v>SPED</v>
      </c>
      <c r="E41" s="32" t="str">
        <f t="shared" si="55"/>
        <v>NSLP</v>
      </c>
      <c r="F41" s="32" t="str">
        <f t="shared" si="55"/>
        <v>Horizon</v>
      </c>
      <c r="H41" s="32" t="str">
        <f>H1</f>
        <v>Operating</v>
      </c>
      <c r="I41" s="32" t="str">
        <f t="shared" ref="I41:L41" si="56">I1</f>
        <v>Weights</v>
      </c>
      <c r="J41" s="32" t="str">
        <f t="shared" si="56"/>
        <v>SPED</v>
      </c>
      <c r="K41" s="32" t="str">
        <f t="shared" si="56"/>
        <v>NSLP</v>
      </c>
      <c r="L41" s="32" t="str">
        <f t="shared" si="56"/>
        <v>Cadence</v>
      </c>
      <c r="N41" s="32" t="str">
        <f>N1</f>
        <v>Operating</v>
      </c>
      <c r="O41" s="32" t="str">
        <f t="shared" ref="O41:R41" si="57">O1</f>
        <v>Weights</v>
      </c>
      <c r="P41" s="32" t="str">
        <f t="shared" si="57"/>
        <v>SPED</v>
      </c>
      <c r="Q41" s="32" t="str">
        <f t="shared" si="57"/>
        <v>NSLP</v>
      </c>
      <c r="R41" s="32" t="str">
        <f t="shared" si="57"/>
        <v>St. Rose</v>
      </c>
      <c r="T41" s="32" t="str">
        <f>T1</f>
        <v>Operating</v>
      </c>
      <c r="U41" s="32" t="str">
        <f t="shared" ref="U41:X41" si="58">U1</f>
        <v>Weights</v>
      </c>
      <c r="V41" s="32" t="str">
        <f t="shared" si="58"/>
        <v>SPED</v>
      </c>
      <c r="W41" s="32" t="str">
        <f t="shared" si="58"/>
        <v>NSLP</v>
      </c>
      <c r="X41" s="32" t="str">
        <f t="shared" si="58"/>
        <v>Inspirada</v>
      </c>
      <c r="Z41" s="32" t="str">
        <f>Z1</f>
        <v>Operating</v>
      </c>
      <c r="AA41" s="32" t="str">
        <f t="shared" ref="AA41:AD41" si="59">AA1</f>
        <v>Weights</v>
      </c>
      <c r="AB41" s="32" t="str">
        <f t="shared" si="59"/>
        <v>SPED</v>
      </c>
      <c r="AC41" s="32" t="str">
        <f t="shared" si="59"/>
        <v>NSLP</v>
      </c>
      <c r="AD41" s="32" t="str">
        <f t="shared" si="59"/>
        <v>Sloan Canyon</v>
      </c>
      <c r="AF41" s="32" t="str">
        <f>AF1</f>
        <v>Operating</v>
      </c>
      <c r="AG41" s="32" t="str">
        <f t="shared" ref="AG41:AJ41" si="60">AG1</f>
        <v>Weights</v>
      </c>
      <c r="AH41" s="32" t="str">
        <f t="shared" si="60"/>
        <v>SPED</v>
      </c>
      <c r="AI41" s="32" t="str">
        <f t="shared" si="60"/>
        <v>NSLP</v>
      </c>
      <c r="AJ41" s="32" t="str">
        <f t="shared" si="60"/>
        <v>Springs</v>
      </c>
      <c r="AL41" s="32" t="str">
        <f>AL1</f>
        <v>Operating</v>
      </c>
      <c r="AM41" s="32" t="str">
        <f t="shared" ref="AM41:AP41" si="61">AM1</f>
        <v>Weights</v>
      </c>
      <c r="AN41" s="32" t="str">
        <f t="shared" si="61"/>
        <v>SPED</v>
      </c>
      <c r="AO41" s="32" t="str">
        <f t="shared" si="61"/>
        <v>NSLP</v>
      </c>
      <c r="AP41" s="32" t="str">
        <f t="shared" si="61"/>
        <v>System Wide</v>
      </c>
      <c r="AR41" s="32" t="str">
        <f>AR1</f>
        <v>Operating</v>
      </c>
      <c r="AS41" s="32" t="str">
        <f t="shared" ref="AS41:AV41" si="62">AS1</f>
        <v>Weights</v>
      </c>
      <c r="AT41" s="32" t="str">
        <f t="shared" si="62"/>
        <v>SPED</v>
      </c>
      <c r="AU41" s="32" t="str">
        <f t="shared" si="62"/>
        <v>NSLP</v>
      </c>
      <c r="AV41" s="32" t="str">
        <f t="shared" si="62"/>
        <v>Virtual</v>
      </c>
      <c r="AX41" s="32" t="str">
        <f>AX1</f>
        <v>Operating</v>
      </c>
      <c r="AY41" s="32" t="str">
        <f t="shared" ref="AY41:BB41" si="63">AY1</f>
        <v>Weights</v>
      </c>
      <c r="AZ41" s="32" t="str">
        <f t="shared" si="63"/>
        <v>SPED</v>
      </c>
      <c r="BA41" s="32" t="str">
        <f t="shared" si="63"/>
        <v>NSLP</v>
      </c>
      <c r="BB41" s="32" t="str">
        <f t="shared" si="63"/>
        <v>Pinecrest System</v>
      </c>
    </row>
    <row r="42" spans="1:54" x14ac:dyDescent="0.25">
      <c r="A42" s="21" t="s">
        <v>41</v>
      </c>
      <c r="B42" s="23">
        <v>1</v>
      </c>
      <c r="C42" s="23">
        <v>0</v>
      </c>
      <c r="D42" s="23">
        <v>0</v>
      </c>
      <c r="E42" s="23">
        <v>0</v>
      </c>
      <c r="F42" s="23">
        <f>SUM(B42:E42)</f>
        <v>1</v>
      </c>
      <c r="H42" s="328">
        <v>1</v>
      </c>
      <c r="I42" s="328"/>
      <c r="J42" s="328"/>
      <c r="K42" s="328"/>
      <c r="L42" s="23">
        <f>SUM(H42:K42)</f>
        <v>1</v>
      </c>
      <c r="N42" s="328">
        <v>1</v>
      </c>
      <c r="O42" s="328"/>
      <c r="P42" s="328"/>
      <c r="Q42" s="328"/>
      <c r="R42" s="23">
        <f>SUM(N42:Q42)</f>
        <v>1</v>
      </c>
      <c r="T42" s="328">
        <v>1</v>
      </c>
      <c r="U42" s="328"/>
      <c r="V42" s="328"/>
      <c r="W42" s="328"/>
      <c r="X42" s="23">
        <f>SUM(T42:W42)</f>
        <v>1</v>
      </c>
      <c r="Z42" s="328">
        <v>1</v>
      </c>
      <c r="AA42" s="328"/>
      <c r="AB42" s="328"/>
      <c r="AC42" s="328"/>
      <c r="AD42" s="23">
        <f>SUM(Z42:AC42)</f>
        <v>1</v>
      </c>
      <c r="AF42" s="328">
        <v>1</v>
      </c>
      <c r="AG42" s="328"/>
      <c r="AH42" s="328"/>
      <c r="AI42" s="328"/>
      <c r="AJ42" s="23">
        <f>SUM(AF42:AI42)</f>
        <v>1</v>
      </c>
      <c r="AL42" s="23">
        <v>0</v>
      </c>
      <c r="AM42" s="23">
        <v>0</v>
      </c>
      <c r="AN42" s="23">
        <v>0</v>
      </c>
      <c r="AO42" s="23">
        <v>0</v>
      </c>
      <c r="AP42" s="23">
        <f>SUM(AL42:AO42)</f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f>SUM(AR42:AU42)</f>
        <v>0</v>
      </c>
      <c r="AX42" s="23">
        <f>B42+H42+N42+T42+Z42+AF42+AL42+AR42</f>
        <v>6</v>
      </c>
      <c r="AY42" s="23">
        <f t="shared" ref="AY42:BA57" si="64">C42+I42+O42+U42+AA42+AG42+AM42+AS42</f>
        <v>0</v>
      </c>
      <c r="AZ42" s="23">
        <f t="shared" si="64"/>
        <v>0</v>
      </c>
      <c r="BA42" s="23">
        <f t="shared" si="64"/>
        <v>0</v>
      </c>
      <c r="BB42" s="23">
        <f>SUM(AX42:BA42)</f>
        <v>6</v>
      </c>
    </row>
    <row r="43" spans="1:54" x14ac:dyDescent="0.25">
      <c r="A43" s="21" t="s">
        <v>42</v>
      </c>
      <c r="B43" s="23">
        <v>2</v>
      </c>
      <c r="C43" s="23">
        <v>1</v>
      </c>
      <c r="D43" s="23">
        <v>0</v>
      </c>
      <c r="E43" s="23">
        <v>0</v>
      </c>
      <c r="F43" s="23">
        <f t="shared" ref="F43:F61" si="65">SUM(B43:E43)</f>
        <v>3</v>
      </c>
      <c r="H43" s="328">
        <v>4</v>
      </c>
      <c r="I43" s="328"/>
      <c r="J43" s="328"/>
      <c r="K43" s="328"/>
      <c r="L43" s="23">
        <f t="shared" ref="L43:L61" si="66">SUM(H43:K43)</f>
        <v>4</v>
      </c>
      <c r="N43" s="328">
        <v>2</v>
      </c>
      <c r="O43" s="328"/>
      <c r="P43" s="328"/>
      <c r="Q43" s="328"/>
      <c r="R43" s="23">
        <f t="shared" ref="R43:R61" si="67">SUM(N43:Q43)</f>
        <v>2</v>
      </c>
      <c r="T43" s="328">
        <v>2</v>
      </c>
      <c r="U43" s="328"/>
      <c r="V43" s="328"/>
      <c r="W43" s="328"/>
      <c r="X43" s="23">
        <f t="shared" ref="X43:X61" si="68">SUM(T43:W43)</f>
        <v>2</v>
      </c>
      <c r="Z43" s="328">
        <v>3</v>
      </c>
      <c r="AA43" s="328"/>
      <c r="AB43" s="328">
        <v>1</v>
      </c>
      <c r="AC43" s="328"/>
      <c r="AD43" s="23">
        <f t="shared" ref="AD43:AD61" si="69">SUM(Z43:AC43)</f>
        <v>4</v>
      </c>
      <c r="AF43" s="328">
        <v>3</v>
      </c>
      <c r="AG43" s="328"/>
      <c r="AH43" s="328">
        <v>0</v>
      </c>
      <c r="AI43" s="328"/>
      <c r="AJ43" s="23">
        <f t="shared" ref="AJ43:AJ61" si="70">SUM(AF43:AI43)</f>
        <v>3</v>
      </c>
      <c r="AL43" s="23">
        <v>0</v>
      </c>
      <c r="AM43" s="23">
        <v>0</v>
      </c>
      <c r="AN43" s="23">
        <v>0</v>
      </c>
      <c r="AO43" s="23">
        <v>0</v>
      </c>
      <c r="AP43" s="23">
        <f t="shared" ref="AP43:AP61" si="71">SUM(AL43:AO43)</f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f t="shared" ref="AV43:AV61" si="72">SUM(AR43:AU43)</f>
        <v>0</v>
      </c>
      <c r="AX43" s="23">
        <f t="shared" ref="AX43:BA61" si="73">B43+H43+N43+T43+Z43+AF43+AL43+AR43</f>
        <v>16</v>
      </c>
      <c r="AY43" s="23">
        <f t="shared" si="64"/>
        <v>1</v>
      </c>
      <c r="AZ43" s="23">
        <f t="shared" si="64"/>
        <v>1</v>
      </c>
      <c r="BA43" s="23">
        <f t="shared" si="64"/>
        <v>0</v>
      </c>
      <c r="BB43" s="23">
        <f t="shared" ref="BB43:BB61" si="74">SUM(AX43:BA43)</f>
        <v>18</v>
      </c>
    </row>
    <row r="44" spans="1:54" x14ac:dyDescent="0.25">
      <c r="A44" s="34" t="s">
        <v>43</v>
      </c>
      <c r="B44" s="23">
        <v>0</v>
      </c>
      <c r="C44" s="23">
        <v>0</v>
      </c>
      <c r="D44" s="23">
        <v>0</v>
      </c>
      <c r="E44" s="23">
        <v>0</v>
      </c>
      <c r="F44" s="23">
        <f t="shared" si="65"/>
        <v>0</v>
      </c>
      <c r="H44" s="328">
        <v>0</v>
      </c>
      <c r="I44" s="328"/>
      <c r="J44" s="328"/>
      <c r="K44" s="328"/>
      <c r="L44" s="23">
        <f t="shared" si="66"/>
        <v>0</v>
      </c>
      <c r="N44" s="328">
        <v>0</v>
      </c>
      <c r="O44" s="328"/>
      <c r="P44" s="328"/>
      <c r="Q44" s="328"/>
      <c r="R44" s="23">
        <f t="shared" si="67"/>
        <v>0</v>
      </c>
      <c r="T44" s="328">
        <v>0</v>
      </c>
      <c r="U44" s="328"/>
      <c r="V44" s="328"/>
      <c r="W44" s="328"/>
      <c r="X44" s="23">
        <f t="shared" si="68"/>
        <v>0</v>
      </c>
      <c r="Z44" s="328">
        <v>0</v>
      </c>
      <c r="AA44" s="328"/>
      <c r="AB44" s="328"/>
      <c r="AC44" s="328"/>
      <c r="AD44" s="23">
        <f t="shared" si="69"/>
        <v>0</v>
      </c>
      <c r="AF44" s="328"/>
      <c r="AG44" s="328">
        <v>1.5</v>
      </c>
      <c r="AH44" s="328"/>
      <c r="AI44" s="328"/>
      <c r="AJ44" s="23">
        <f t="shared" si="70"/>
        <v>1.5</v>
      </c>
      <c r="AL44" s="23">
        <v>0</v>
      </c>
      <c r="AM44" s="23">
        <v>0</v>
      </c>
      <c r="AN44" s="23">
        <v>0</v>
      </c>
      <c r="AO44" s="23">
        <v>0</v>
      </c>
      <c r="AP44" s="23">
        <f t="shared" si="71"/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f t="shared" si="72"/>
        <v>0</v>
      </c>
      <c r="AX44" s="23">
        <f t="shared" si="73"/>
        <v>0</v>
      </c>
      <c r="AY44" s="23">
        <f t="shared" si="64"/>
        <v>1.5</v>
      </c>
      <c r="AZ44" s="23">
        <f t="shared" si="64"/>
        <v>0</v>
      </c>
      <c r="BA44" s="23">
        <f t="shared" si="64"/>
        <v>0</v>
      </c>
      <c r="BB44" s="23">
        <f t="shared" si="74"/>
        <v>1.5</v>
      </c>
    </row>
    <row r="45" spans="1:54" x14ac:dyDescent="0.25">
      <c r="A45" s="33" t="s">
        <v>44</v>
      </c>
      <c r="B45" s="23">
        <v>1</v>
      </c>
      <c r="C45" s="23">
        <v>0</v>
      </c>
      <c r="D45" s="23">
        <v>0</v>
      </c>
      <c r="E45" s="23">
        <v>0</v>
      </c>
      <c r="F45" s="23">
        <f t="shared" si="65"/>
        <v>1</v>
      </c>
      <c r="H45" s="328">
        <v>5</v>
      </c>
      <c r="I45" s="328"/>
      <c r="J45" s="328"/>
      <c r="K45" s="328"/>
      <c r="L45" s="23">
        <f t="shared" si="66"/>
        <v>5</v>
      </c>
      <c r="N45" s="328">
        <v>1</v>
      </c>
      <c r="O45" s="328"/>
      <c r="P45" s="328"/>
      <c r="Q45" s="328"/>
      <c r="R45" s="23">
        <f t="shared" si="67"/>
        <v>1</v>
      </c>
      <c r="T45" s="328">
        <v>1</v>
      </c>
      <c r="U45" s="328"/>
      <c r="V45" s="328"/>
      <c r="W45" s="328"/>
      <c r="X45" s="23">
        <f t="shared" si="68"/>
        <v>1</v>
      </c>
      <c r="Z45" s="328">
        <v>2</v>
      </c>
      <c r="AA45" s="328"/>
      <c r="AB45" s="328"/>
      <c r="AC45" s="328"/>
      <c r="AD45" s="23">
        <f t="shared" si="69"/>
        <v>2</v>
      </c>
      <c r="AF45" s="328"/>
      <c r="AG45" s="328">
        <v>1</v>
      </c>
      <c r="AH45" s="328"/>
      <c r="AI45" s="328"/>
      <c r="AJ45" s="23">
        <f t="shared" si="70"/>
        <v>1</v>
      </c>
      <c r="AL45" s="23">
        <v>0</v>
      </c>
      <c r="AM45" s="23">
        <v>0</v>
      </c>
      <c r="AN45" s="23">
        <v>0</v>
      </c>
      <c r="AO45" s="23">
        <v>0</v>
      </c>
      <c r="AP45" s="23">
        <f t="shared" si="71"/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f t="shared" si="72"/>
        <v>0</v>
      </c>
      <c r="AX45" s="23">
        <f t="shared" si="73"/>
        <v>10</v>
      </c>
      <c r="AY45" s="23">
        <f t="shared" si="64"/>
        <v>1</v>
      </c>
      <c r="AZ45" s="23">
        <f t="shared" si="64"/>
        <v>0</v>
      </c>
      <c r="BA45" s="23">
        <f t="shared" si="64"/>
        <v>0</v>
      </c>
      <c r="BB45" s="23">
        <f t="shared" si="74"/>
        <v>11</v>
      </c>
    </row>
    <row r="46" spans="1:54" x14ac:dyDescent="0.25">
      <c r="A46" s="33" t="s">
        <v>45</v>
      </c>
      <c r="B46" s="23">
        <v>0</v>
      </c>
      <c r="C46" s="23">
        <v>0</v>
      </c>
      <c r="D46" s="23">
        <v>0</v>
      </c>
      <c r="E46" s="23">
        <v>0</v>
      </c>
      <c r="F46" s="23">
        <f t="shared" si="65"/>
        <v>0</v>
      </c>
      <c r="H46" s="328">
        <v>1</v>
      </c>
      <c r="I46" s="328">
        <v>1</v>
      </c>
      <c r="J46" s="328"/>
      <c r="K46" s="328"/>
      <c r="L46" s="23">
        <f t="shared" si="66"/>
        <v>2</v>
      </c>
      <c r="N46" s="328">
        <v>1</v>
      </c>
      <c r="O46" s="328"/>
      <c r="P46" s="328"/>
      <c r="Q46" s="328"/>
      <c r="R46" s="23">
        <f t="shared" si="67"/>
        <v>1</v>
      </c>
      <c r="T46" s="328">
        <v>2</v>
      </c>
      <c r="U46" s="328"/>
      <c r="V46" s="328"/>
      <c r="W46" s="328"/>
      <c r="X46" s="23">
        <f t="shared" si="68"/>
        <v>2</v>
      </c>
      <c r="Z46" s="328">
        <v>2</v>
      </c>
      <c r="AA46" s="328"/>
      <c r="AB46" s="328"/>
      <c r="AC46" s="328"/>
      <c r="AD46" s="23">
        <f t="shared" si="69"/>
        <v>2</v>
      </c>
      <c r="AF46" s="328">
        <v>0</v>
      </c>
      <c r="AG46" s="328">
        <v>1</v>
      </c>
      <c r="AH46" s="328"/>
      <c r="AI46" s="328"/>
      <c r="AJ46" s="23">
        <f t="shared" si="70"/>
        <v>1</v>
      </c>
      <c r="AL46" s="23">
        <v>1</v>
      </c>
      <c r="AM46" s="23">
        <v>0</v>
      </c>
      <c r="AN46" s="23">
        <v>0</v>
      </c>
      <c r="AO46" s="23">
        <v>0</v>
      </c>
      <c r="AP46" s="23">
        <f t="shared" si="71"/>
        <v>1</v>
      </c>
      <c r="AR46" s="23">
        <v>0</v>
      </c>
      <c r="AS46" s="23">
        <v>0</v>
      </c>
      <c r="AT46" s="23">
        <v>0</v>
      </c>
      <c r="AU46" s="23">
        <v>0</v>
      </c>
      <c r="AV46" s="23">
        <f t="shared" si="72"/>
        <v>0</v>
      </c>
      <c r="AX46" s="23">
        <f t="shared" si="73"/>
        <v>7</v>
      </c>
      <c r="AY46" s="23">
        <f t="shared" si="64"/>
        <v>2</v>
      </c>
      <c r="AZ46" s="23">
        <f t="shared" si="64"/>
        <v>0</v>
      </c>
      <c r="BA46" s="23">
        <f t="shared" si="64"/>
        <v>0</v>
      </c>
      <c r="BB46" s="23">
        <f t="shared" si="74"/>
        <v>9</v>
      </c>
    </row>
    <row r="47" spans="1:54" x14ac:dyDescent="0.25">
      <c r="A47" s="21" t="s">
        <v>200</v>
      </c>
      <c r="B47" s="23">
        <v>1</v>
      </c>
      <c r="C47" s="23">
        <v>0</v>
      </c>
      <c r="D47" s="23">
        <v>0</v>
      </c>
      <c r="E47" s="23">
        <v>0</v>
      </c>
      <c r="F47" s="23">
        <f t="shared" si="65"/>
        <v>1</v>
      </c>
      <c r="H47" s="328">
        <v>2</v>
      </c>
      <c r="I47" s="328"/>
      <c r="J47" s="328"/>
      <c r="K47" s="328"/>
      <c r="L47" s="23">
        <f t="shared" si="66"/>
        <v>2</v>
      </c>
      <c r="N47" s="328">
        <v>1</v>
      </c>
      <c r="O47" s="328"/>
      <c r="P47" s="328"/>
      <c r="Q47" s="328"/>
      <c r="R47" s="23">
        <f t="shared" si="67"/>
        <v>1</v>
      </c>
      <c r="T47" s="328">
        <v>1</v>
      </c>
      <c r="U47" s="328"/>
      <c r="V47" s="328"/>
      <c r="W47" s="328"/>
      <c r="X47" s="23">
        <f t="shared" si="68"/>
        <v>1</v>
      </c>
      <c r="Z47" s="328">
        <v>2</v>
      </c>
      <c r="AA47" s="328"/>
      <c r="AB47" s="328"/>
      <c r="AC47" s="328"/>
      <c r="AD47" s="23">
        <f t="shared" si="69"/>
        <v>2</v>
      </c>
      <c r="AF47" s="328">
        <v>1</v>
      </c>
      <c r="AG47" s="328"/>
      <c r="AH47" s="328"/>
      <c r="AI47" s="328"/>
      <c r="AJ47" s="23">
        <f t="shared" si="70"/>
        <v>1</v>
      </c>
      <c r="AL47" s="23">
        <v>1</v>
      </c>
      <c r="AM47" s="23">
        <v>0</v>
      </c>
      <c r="AN47" s="23">
        <v>0</v>
      </c>
      <c r="AO47" s="23">
        <v>0</v>
      </c>
      <c r="AP47" s="23">
        <f t="shared" si="71"/>
        <v>1</v>
      </c>
      <c r="AR47" s="23">
        <v>0</v>
      </c>
      <c r="AS47" s="23">
        <v>0</v>
      </c>
      <c r="AT47" s="23">
        <v>0</v>
      </c>
      <c r="AU47" s="23">
        <v>0</v>
      </c>
      <c r="AV47" s="23">
        <f t="shared" si="72"/>
        <v>0</v>
      </c>
      <c r="AX47" s="23">
        <f t="shared" si="73"/>
        <v>9</v>
      </c>
      <c r="AY47" s="23">
        <f t="shared" si="64"/>
        <v>0</v>
      </c>
      <c r="AZ47" s="23">
        <f t="shared" si="64"/>
        <v>0</v>
      </c>
      <c r="BA47" s="23">
        <f t="shared" si="64"/>
        <v>0</v>
      </c>
      <c r="BB47" s="23">
        <f t="shared" si="74"/>
        <v>9</v>
      </c>
    </row>
    <row r="48" spans="1:54" x14ac:dyDescent="0.25">
      <c r="A48" s="21" t="s">
        <v>47</v>
      </c>
      <c r="B48" s="23">
        <v>1</v>
      </c>
      <c r="C48" s="23">
        <v>0</v>
      </c>
      <c r="D48" s="23">
        <v>0</v>
      </c>
      <c r="E48" s="23">
        <v>0</v>
      </c>
      <c r="F48" s="23">
        <f t="shared" si="65"/>
        <v>1</v>
      </c>
      <c r="H48" s="328">
        <v>2</v>
      </c>
      <c r="I48" s="328"/>
      <c r="J48" s="328"/>
      <c r="K48" s="328"/>
      <c r="L48" s="23">
        <f t="shared" si="66"/>
        <v>2</v>
      </c>
      <c r="N48" s="328">
        <v>1</v>
      </c>
      <c r="O48" s="328"/>
      <c r="P48" s="328"/>
      <c r="Q48" s="328"/>
      <c r="R48" s="23">
        <f t="shared" si="67"/>
        <v>1</v>
      </c>
      <c r="T48" s="328">
        <v>1</v>
      </c>
      <c r="U48" s="328"/>
      <c r="V48" s="328"/>
      <c r="W48" s="328"/>
      <c r="X48" s="23">
        <f t="shared" si="68"/>
        <v>1</v>
      </c>
      <c r="Z48" s="328">
        <v>1.5</v>
      </c>
      <c r="AA48" s="328"/>
      <c r="AB48" s="328"/>
      <c r="AC48" s="328"/>
      <c r="AD48" s="23">
        <f t="shared" si="69"/>
        <v>1.5</v>
      </c>
      <c r="AF48" s="328">
        <v>1</v>
      </c>
      <c r="AG48" s="328"/>
      <c r="AH48" s="328"/>
      <c r="AI48" s="328"/>
      <c r="AJ48" s="23">
        <f t="shared" si="70"/>
        <v>1</v>
      </c>
      <c r="AL48" s="23">
        <v>0</v>
      </c>
      <c r="AM48" s="23">
        <v>0</v>
      </c>
      <c r="AN48" s="23">
        <v>0</v>
      </c>
      <c r="AO48" s="23">
        <v>0</v>
      </c>
      <c r="AP48" s="23">
        <f t="shared" si="71"/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f t="shared" si="72"/>
        <v>0</v>
      </c>
      <c r="AX48" s="23">
        <f t="shared" si="73"/>
        <v>7.5</v>
      </c>
      <c r="AY48" s="23">
        <f t="shared" si="64"/>
        <v>0</v>
      </c>
      <c r="AZ48" s="23">
        <f t="shared" si="64"/>
        <v>0</v>
      </c>
      <c r="BA48" s="23">
        <f t="shared" si="64"/>
        <v>0</v>
      </c>
      <c r="BB48" s="23">
        <f t="shared" si="74"/>
        <v>7.5</v>
      </c>
    </row>
    <row r="49" spans="1:54" x14ac:dyDescent="0.25">
      <c r="A49" s="21" t="s">
        <v>48</v>
      </c>
      <c r="B49" s="23">
        <v>1</v>
      </c>
      <c r="C49" s="23">
        <v>0</v>
      </c>
      <c r="D49" s="23">
        <v>0</v>
      </c>
      <c r="E49" s="23">
        <v>0</v>
      </c>
      <c r="F49" s="23">
        <f t="shared" si="65"/>
        <v>1</v>
      </c>
      <c r="H49" s="328">
        <v>2</v>
      </c>
      <c r="I49" s="328"/>
      <c r="J49" s="328"/>
      <c r="K49" s="328"/>
      <c r="L49" s="23">
        <f t="shared" si="66"/>
        <v>2</v>
      </c>
      <c r="N49" s="328">
        <v>1</v>
      </c>
      <c r="O49" s="328"/>
      <c r="P49" s="328"/>
      <c r="Q49" s="328"/>
      <c r="R49" s="23">
        <f t="shared" si="67"/>
        <v>1</v>
      </c>
      <c r="T49" s="328">
        <v>1</v>
      </c>
      <c r="U49" s="328"/>
      <c r="V49" s="328"/>
      <c r="W49" s="328"/>
      <c r="X49" s="23">
        <f t="shared" si="68"/>
        <v>1</v>
      </c>
      <c r="Z49" s="328">
        <v>2</v>
      </c>
      <c r="AA49" s="328"/>
      <c r="AB49" s="328"/>
      <c r="AC49" s="328"/>
      <c r="AD49" s="23">
        <f t="shared" si="69"/>
        <v>2</v>
      </c>
      <c r="AF49" s="328">
        <v>1</v>
      </c>
      <c r="AG49" s="328"/>
      <c r="AH49" s="328"/>
      <c r="AI49" s="328"/>
      <c r="AJ49" s="23">
        <f t="shared" si="70"/>
        <v>1</v>
      </c>
      <c r="AL49" s="23">
        <v>0</v>
      </c>
      <c r="AM49" s="23">
        <v>0</v>
      </c>
      <c r="AN49" s="23">
        <v>0</v>
      </c>
      <c r="AO49" s="23">
        <v>0</v>
      </c>
      <c r="AP49" s="23">
        <f t="shared" si="71"/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f t="shared" si="72"/>
        <v>0</v>
      </c>
      <c r="AX49" s="23">
        <f t="shared" si="73"/>
        <v>8</v>
      </c>
      <c r="AY49" s="23">
        <f t="shared" si="64"/>
        <v>0</v>
      </c>
      <c r="AZ49" s="23">
        <f t="shared" si="64"/>
        <v>0</v>
      </c>
      <c r="BA49" s="23">
        <f t="shared" si="64"/>
        <v>0</v>
      </c>
      <c r="BB49" s="23">
        <f t="shared" si="74"/>
        <v>8</v>
      </c>
    </row>
    <row r="50" spans="1:54" x14ac:dyDescent="0.25">
      <c r="A50" s="21" t="s">
        <v>49</v>
      </c>
      <c r="B50" s="23">
        <v>1</v>
      </c>
      <c r="C50" s="23">
        <v>0</v>
      </c>
      <c r="D50" s="23">
        <v>0</v>
      </c>
      <c r="E50" s="23">
        <v>0</v>
      </c>
      <c r="F50" s="23">
        <f t="shared" si="65"/>
        <v>1</v>
      </c>
      <c r="H50" s="328">
        <v>2</v>
      </c>
      <c r="I50" s="328"/>
      <c r="J50" s="328"/>
      <c r="K50" s="328"/>
      <c r="L50" s="23">
        <f t="shared" si="66"/>
        <v>2</v>
      </c>
      <c r="N50" s="328">
        <v>1</v>
      </c>
      <c r="O50" s="328"/>
      <c r="P50" s="328"/>
      <c r="Q50" s="328"/>
      <c r="R50" s="23">
        <f t="shared" si="67"/>
        <v>1</v>
      </c>
      <c r="T50" s="328">
        <v>1</v>
      </c>
      <c r="U50" s="328"/>
      <c r="V50" s="328"/>
      <c r="W50" s="328"/>
      <c r="X50" s="23">
        <f t="shared" si="68"/>
        <v>1</v>
      </c>
      <c r="Z50" s="328">
        <v>2</v>
      </c>
      <c r="AA50" s="328"/>
      <c r="AB50" s="328"/>
      <c r="AC50" s="328"/>
      <c r="AD50" s="23">
        <f t="shared" si="69"/>
        <v>2</v>
      </c>
      <c r="AF50" s="328">
        <v>1</v>
      </c>
      <c r="AG50" s="328"/>
      <c r="AH50" s="328"/>
      <c r="AI50" s="328"/>
      <c r="AJ50" s="23">
        <f t="shared" si="70"/>
        <v>1</v>
      </c>
      <c r="AL50" s="23">
        <v>0</v>
      </c>
      <c r="AM50" s="23">
        <v>0</v>
      </c>
      <c r="AN50" s="23">
        <v>0</v>
      </c>
      <c r="AO50" s="23">
        <v>0</v>
      </c>
      <c r="AP50" s="23">
        <f t="shared" si="71"/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f t="shared" si="72"/>
        <v>0</v>
      </c>
      <c r="AX50" s="23">
        <f t="shared" si="73"/>
        <v>8</v>
      </c>
      <c r="AY50" s="23">
        <f t="shared" si="64"/>
        <v>0</v>
      </c>
      <c r="AZ50" s="23">
        <f t="shared" si="64"/>
        <v>0</v>
      </c>
      <c r="BA50" s="23">
        <f t="shared" si="64"/>
        <v>0</v>
      </c>
      <c r="BB50" s="23">
        <f t="shared" si="74"/>
        <v>8</v>
      </c>
    </row>
    <row r="51" spans="1:54" x14ac:dyDescent="0.25">
      <c r="A51" s="21" t="s">
        <v>50</v>
      </c>
      <c r="B51" s="23">
        <v>0</v>
      </c>
      <c r="C51" s="23">
        <v>1.5</v>
      </c>
      <c r="D51" s="23">
        <v>4</v>
      </c>
      <c r="E51" s="23">
        <v>0</v>
      </c>
      <c r="F51" s="23">
        <f t="shared" si="65"/>
        <v>5.5</v>
      </c>
      <c r="H51" s="328">
        <v>0</v>
      </c>
      <c r="I51" s="328">
        <v>10</v>
      </c>
      <c r="J51" s="328">
        <v>13</v>
      </c>
      <c r="K51" s="328">
        <v>0</v>
      </c>
      <c r="L51" s="23">
        <f t="shared" si="66"/>
        <v>23</v>
      </c>
      <c r="N51" s="328">
        <v>0</v>
      </c>
      <c r="O51" s="328">
        <v>4.5</v>
      </c>
      <c r="P51" s="328">
        <v>4</v>
      </c>
      <c r="Q51" s="328">
        <v>0</v>
      </c>
      <c r="R51" s="23">
        <f t="shared" si="67"/>
        <v>8.5</v>
      </c>
      <c r="T51" s="328">
        <v>1.5</v>
      </c>
      <c r="U51" s="328">
        <v>2</v>
      </c>
      <c r="V51" s="328">
        <v>5</v>
      </c>
      <c r="W51" s="328">
        <v>0</v>
      </c>
      <c r="X51" s="23">
        <f t="shared" si="68"/>
        <v>8.5</v>
      </c>
      <c r="Z51" s="328">
        <v>0</v>
      </c>
      <c r="AA51" s="328">
        <v>4</v>
      </c>
      <c r="AB51" s="328">
        <v>10</v>
      </c>
      <c r="AC51" s="328">
        <v>0</v>
      </c>
      <c r="AD51" s="23">
        <f t="shared" si="69"/>
        <v>14</v>
      </c>
      <c r="AF51" s="328">
        <v>0</v>
      </c>
      <c r="AG51" s="359">
        <v>0</v>
      </c>
      <c r="AH51" s="359">
        <v>5</v>
      </c>
      <c r="AI51" s="359">
        <v>0</v>
      </c>
      <c r="AJ51" s="23">
        <f t="shared" si="70"/>
        <v>5</v>
      </c>
      <c r="AL51" s="23">
        <v>1</v>
      </c>
      <c r="AM51" s="23">
        <v>0</v>
      </c>
      <c r="AN51" s="23">
        <v>0</v>
      </c>
      <c r="AO51" s="23">
        <v>0</v>
      </c>
      <c r="AP51" s="23">
        <f t="shared" si="71"/>
        <v>1</v>
      </c>
      <c r="AR51" s="23">
        <v>0</v>
      </c>
      <c r="AS51" s="23">
        <v>0</v>
      </c>
      <c r="AT51" s="23">
        <v>1</v>
      </c>
      <c r="AU51" s="23">
        <v>0</v>
      </c>
      <c r="AV51" s="23">
        <f t="shared" si="72"/>
        <v>1</v>
      </c>
      <c r="AX51" s="23">
        <f t="shared" si="73"/>
        <v>2.5</v>
      </c>
      <c r="AY51" s="23">
        <f t="shared" si="64"/>
        <v>22</v>
      </c>
      <c r="AZ51" s="23">
        <f t="shared" si="64"/>
        <v>42</v>
      </c>
      <c r="BA51" s="23">
        <f t="shared" si="64"/>
        <v>0</v>
      </c>
      <c r="BB51" s="23">
        <f t="shared" si="74"/>
        <v>66.5</v>
      </c>
    </row>
    <row r="52" spans="1:54" x14ac:dyDescent="0.25">
      <c r="A52" s="21" t="s">
        <v>51</v>
      </c>
      <c r="B52" s="23">
        <v>1</v>
      </c>
      <c r="C52" s="23">
        <v>0</v>
      </c>
      <c r="D52" s="23">
        <v>0</v>
      </c>
      <c r="E52" s="23">
        <v>0</v>
      </c>
      <c r="F52" s="23">
        <f t="shared" si="65"/>
        <v>1</v>
      </c>
      <c r="H52" s="328">
        <v>5</v>
      </c>
      <c r="I52" s="328"/>
      <c r="J52" s="328"/>
      <c r="K52" s="328"/>
      <c r="L52" s="23">
        <f t="shared" si="66"/>
        <v>5</v>
      </c>
      <c r="N52" s="328">
        <v>2</v>
      </c>
      <c r="O52" s="328"/>
      <c r="P52" s="328"/>
      <c r="Q52" s="328"/>
      <c r="R52" s="23">
        <f t="shared" si="67"/>
        <v>2</v>
      </c>
      <c r="T52" s="328">
        <v>2</v>
      </c>
      <c r="U52" s="328"/>
      <c r="V52" s="328"/>
      <c r="W52" s="328"/>
      <c r="X52" s="23">
        <f t="shared" si="68"/>
        <v>2</v>
      </c>
      <c r="Z52" s="328">
        <v>4</v>
      </c>
      <c r="AA52" s="328"/>
      <c r="AB52" s="328"/>
      <c r="AC52" s="328"/>
      <c r="AD52" s="23">
        <f t="shared" si="69"/>
        <v>4</v>
      </c>
      <c r="AF52" s="359">
        <v>2</v>
      </c>
      <c r="AG52" s="328"/>
      <c r="AH52" s="328"/>
      <c r="AI52" s="328"/>
      <c r="AJ52" s="23">
        <f t="shared" si="70"/>
        <v>2</v>
      </c>
      <c r="AL52" s="23">
        <v>0</v>
      </c>
      <c r="AM52" s="23">
        <v>0</v>
      </c>
      <c r="AN52" s="23">
        <v>0</v>
      </c>
      <c r="AO52" s="23">
        <v>0</v>
      </c>
      <c r="AP52" s="23">
        <f t="shared" si="71"/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f t="shared" si="72"/>
        <v>0</v>
      </c>
      <c r="AX52" s="23">
        <f t="shared" si="73"/>
        <v>16</v>
      </c>
      <c r="AY52" s="23">
        <f t="shared" si="64"/>
        <v>0</v>
      </c>
      <c r="AZ52" s="23">
        <f t="shared" si="64"/>
        <v>0</v>
      </c>
      <c r="BA52" s="23">
        <f t="shared" si="64"/>
        <v>0</v>
      </c>
      <c r="BB52" s="23">
        <f t="shared" si="74"/>
        <v>16</v>
      </c>
    </row>
    <row r="53" spans="1:54" x14ac:dyDescent="0.25">
      <c r="A53" s="21" t="s">
        <v>52</v>
      </c>
      <c r="B53" s="23">
        <v>0</v>
      </c>
      <c r="C53" s="23">
        <v>0</v>
      </c>
      <c r="D53" s="23">
        <v>0</v>
      </c>
      <c r="E53" s="23">
        <v>1</v>
      </c>
      <c r="F53" s="23">
        <f t="shared" si="65"/>
        <v>1</v>
      </c>
      <c r="H53" s="328">
        <v>0</v>
      </c>
      <c r="I53" s="328"/>
      <c r="J53" s="328"/>
      <c r="K53" s="328">
        <v>3</v>
      </c>
      <c r="L53" s="23">
        <f t="shared" si="66"/>
        <v>3</v>
      </c>
      <c r="N53" s="328"/>
      <c r="O53" s="328"/>
      <c r="P53" s="328"/>
      <c r="Q53" s="328">
        <v>1</v>
      </c>
      <c r="R53" s="23">
        <f t="shared" si="67"/>
        <v>1</v>
      </c>
      <c r="T53" s="328"/>
      <c r="U53" s="328"/>
      <c r="V53" s="328"/>
      <c r="W53" s="328">
        <v>1</v>
      </c>
      <c r="X53" s="23">
        <f t="shared" si="68"/>
        <v>1</v>
      </c>
      <c r="Z53" s="328"/>
      <c r="AA53" s="328"/>
      <c r="AB53" s="328"/>
      <c r="AC53" s="328">
        <v>2</v>
      </c>
      <c r="AD53" s="23">
        <f t="shared" si="69"/>
        <v>2</v>
      </c>
      <c r="AF53" s="328"/>
      <c r="AG53" s="328"/>
      <c r="AH53" s="328"/>
      <c r="AI53" s="328">
        <v>1</v>
      </c>
      <c r="AJ53" s="23">
        <f t="shared" si="70"/>
        <v>1</v>
      </c>
      <c r="AL53" s="23">
        <v>0</v>
      </c>
      <c r="AM53" s="23">
        <v>0</v>
      </c>
      <c r="AN53" s="23">
        <v>0</v>
      </c>
      <c r="AO53" s="23">
        <v>0</v>
      </c>
      <c r="AP53" s="23">
        <f t="shared" si="71"/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f t="shared" si="72"/>
        <v>0</v>
      </c>
      <c r="AX53" s="23">
        <f t="shared" si="73"/>
        <v>0</v>
      </c>
      <c r="AY53" s="23">
        <f t="shared" si="64"/>
        <v>0</v>
      </c>
      <c r="AZ53" s="23">
        <f t="shared" si="64"/>
        <v>0</v>
      </c>
      <c r="BA53" s="23">
        <f t="shared" si="64"/>
        <v>9</v>
      </c>
      <c r="BB53" s="23">
        <f t="shared" si="74"/>
        <v>9</v>
      </c>
    </row>
    <row r="54" spans="1:54" x14ac:dyDescent="0.25">
      <c r="A54" s="21" t="s">
        <v>244</v>
      </c>
      <c r="B54" s="23">
        <v>0</v>
      </c>
      <c r="C54" s="23">
        <v>0</v>
      </c>
      <c r="D54" s="23">
        <v>0</v>
      </c>
      <c r="E54" s="23">
        <v>0</v>
      </c>
      <c r="F54" s="23">
        <f t="shared" si="65"/>
        <v>0</v>
      </c>
      <c r="H54" s="328">
        <v>0</v>
      </c>
      <c r="I54" s="328">
        <v>0</v>
      </c>
      <c r="J54" s="328"/>
      <c r="K54" s="328"/>
      <c r="L54" s="23">
        <f t="shared" si="66"/>
        <v>0</v>
      </c>
      <c r="N54" s="328">
        <v>0</v>
      </c>
      <c r="O54" s="328">
        <v>0</v>
      </c>
      <c r="P54" s="328"/>
      <c r="Q54" s="328"/>
      <c r="R54" s="23">
        <f t="shared" si="67"/>
        <v>0</v>
      </c>
      <c r="T54" s="328">
        <v>0</v>
      </c>
      <c r="U54" s="328">
        <v>0</v>
      </c>
      <c r="V54" s="328"/>
      <c r="W54" s="328"/>
      <c r="X54" s="23">
        <f t="shared" si="68"/>
        <v>0</v>
      </c>
      <c r="Z54" s="328">
        <v>0</v>
      </c>
      <c r="AA54" s="328">
        <v>0</v>
      </c>
      <c r="AB54" s="328"/>
      <c r="AC54" s="328"/>
      <c r="AD54" s="23">
        <f t="shared" si="69"/>
        <v>0</v>
      </c>
      <c r="AF54" s="328">
        <v>0</v>
      </c>
      <c r="AG54" s="328">
        <v>0</v>
      </c>
      <c r="AH54" s="328"/>
      <c r="AI54" s="328"/>
      <c r="AJ54" s="23">
        <f t="shared" si="70"/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f t="shared" si="71"/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f t="shared" si="72"/>
        <v>0</v>
      </c>
      <c r="AX54" s="23">
        <f t="shared" si="73"/>
        <v>0</v>
      </c>
      <c r="AY54" s="23">
        <f t="shared" si="64"/>
        <v>0</v>
      </c>
      <c r="AZ54" s="23">
        <f t="shared" si="64"/>
        <v>0</v>
      </c>
      <c r="BA54" s="23">
        <f t="shared" si="64"/>
        <v>0</v>
      </c>
      <c r="BB54" s="23">
        <f t="shared" si="74"/>
        <v>0</v>
      </c>
    </row>
    <row r="55" spans="1:54" x14ac:dyDescent="0.25">
      <c r="A55" s="34" t="s">
        <v>54</v>
      </c>
      <c r="B55" s="23">
        <v>0</v>
      </c>
      <c r="C55" s="23">
        <v>0</v>
      </c>
      <c r="D55" s="23">
        <v>1</v>
      </c>
      <c r="E55" s="23">
        <v>0</v>
      </c>
      <c r="F55" s="23">
        <f t="shared" si="65"/>
        <v>1</v>
      </c>
      <c r="H55" s="328">
        <v>0</v>
      </c>
      <c r="I55" s="328"/>
      <c r="J55" s="328">
        <v>1</v>
      </c>
      <c r="K55" s="328"/>
      <c r="L55" s="23">
        <f t="shared" si="66"/>
        <v>1</v>
      </c>
      <c r="N55" s="328">
        <v>0</v>
      </c>
      <c r="O55" s="328"/>
      <c r="P55" s="328">
        <v>0.33</v>
      </c>
      <c r="Q55" s="328"/>
      <c r="R55" s="23">
        <f t="shared" si="67"/>
        <v>0.33</v>
      </c>
      <c r="T55" s="328">
        <v>0</v>
      </c>
      <c r="U55" s="328"/>
      <c r="V55" s="328">
        <v>1</v>
      </c>
      <c r="W55" s="328"/>
      <c r="X55" s="23">
        <f t="shared" si="68"/>
        <v>1</v>
      </c>
      <c r="Z55" s="328">
        <v>0</v>
      </c>
      <c r="AA55" s="328"/>
      <c r="AB55" s="328">
        <v>0</v>
      </c>
      <c r="AC55" s="328"/>
      <c r="AD55" s="23">
        <f t="shared" si="69"/>
        <v>0</v>
      </c>
      <c r="AF55" s="328">
        <v>0</v>
      </c>
      <c r="AG55" s="328"/>
      <c r="AH55" s="328">
        <v>0</v>
      </c>
      <c r="AI55" s="328"/>
      <c r="AJ55" s="23">
        <f t="shared" si="70"/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f t="shared" si="71"/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f t="shared" si="72"/>
        <v>0</v>
      </c>
      <c r="AX55" s="23">
        <f t="shared" si="73"/>
        <v>0</v>
      </c>
      <c r="AY55" s="23">
        <f t="shared" si="64"/>
        <v>0</v>
      </c>
      <c r="AZ55" s="23">
        <f t="shared" si="64"/>
        <v>3.33</v>
      </c>
      <c r="BA55" s="23">
        <f t="shared" si="64"/>
        <v>0</v>
      </c>
      <c r="BB55" s="23">
        <f t="shared" si="74"/>
        <v>3.33</v>
      </c>
    </row>
    <row r="56" spans="1:54" x14ac:dyDescent="0.25">
      <c r="A56" s="34" t="s">
        <v>55</v>
      </c>
      <c r="B56" s="23">
        <v>0</v>
      </c>
      <c r="C56" s="23">
        <v>0</v>
      </c>
      <c r="D56" s="23">
        <v>0</v>
      </c>
      <c r="E56" s="23">
        <v>0</v>
      </c>
      <c r="F56" s="23">
        <f t="shared" si="65"/>
        <v>0</v>
      </c>
      <c r="H56" s="328">
        <v>0</v>
      </c>
      <c r="I56" s="328">
        <v>0</v>
      </c>
      <c r="J56" s="328">
        <v>1</v>
      </c>
      <c r="K56" s="328"/>
      <c r="L56" s="23">
        <f t="shared" si="66"/>
        <v>1</v>
      </c>
      <c r="N56" s="328">
        <v>0</v>
      </c>
      <c r="O56" s="328">
        <v>0</v>
      </c>
      <c r="P56" s="328"/>
      <c r="Q56" s="328"/>
      <c r="R56" s="23">
        <f t="shared" si="67"/>
        <v>0</v>
      </c>
      <c r="T56" s="328">
        <v>0</v>
      </c>
      <c r="U56" s="328">
        <v>0</v>
      </c>
      <c r="V56" s="328">
        <v>1</v>
      </c>
      <c r="W56" s="328"/>
      <c r="X56" s="23">
        <f t="shared" si="68"/>
        <v>1</v>
      </c>
      <c r="Z56" s="328">
        <v>0</v>
      </c>
      <c r="AA56" s="328">
        <v>0</v>
      </c>
      <c r="AB56" s="328">
        <v>0</v>
      </c>
      <c r="AC56" s="328"/>
      <c r="AD56" s="23">
        <f t="shared" si="69"/>
        <v>0</v>
      </c>
      <c r="AF56" s="328">
        <v>0</v>
      </c>
      <c r="AG56" s="328">
        <v>0</v>
      </c>
      <c r="AH56" s="328">
        <v>0</v>
      </c>
      <c r="AI56" s="328"/>
      <c r="AJ56" s="23">
        <f t="shared" si="70"/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f t="shared" si="71"/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f t="shared" si="72"/>
        <v>0</v>
      </c>
      <c r="AX56" s="23">
        <f t="shared" si="73"/>
        <v>0</v>
      </c>
      <c r="AY56" s="23">
        <f t="shared" si="64"/>
        <v>0</v>
      </c>
      <c r="AZ56" s="23">
        <f t="shared" si="64"/>
        <v>2</v>
      </c>
      <c r="BA56" s="23">
        <f t="shared" si="64"/>
        <v>0</v>
      </c>
      <c r="BB56" s="23">
        <f t="shared" si="74"/>
        <v>2</v>
      </c>
    </row>
    <row r="57" spans="1:54" x14ac:dyDescent="0.25">
      <c r="A57" s="34" t="s">
        <v>56</v>
      </c>
      <c r="B57" s="23">
        <v>0</v>
      </c>
      <c r="C57" s="23">
        <v>0</v>
      </c>
      <c r="D57" s="23">
        <v>0</v>
      </c>
      <c r="E57" s="23">
        <v>0</v>
      </c>
      <c r="F57" s="23">
        <f t="shared" si="65"/>
        <v>0</v>
      </c>
      <c r="H57" s="328">
        <v>0</v>
      </c>
      <c r="I57" s="328">
        <v>0</v>
      </c>
      <c r="J57" s="328">
        <v>0</v>
      </c>
      <c r="K57" s="328"/>
      <c r="L57" s="23">
        <f t="shared" si="66"/>
        <v>0</v>
      </c>
      <c r="N57" s="328">
        <v>0</v>
      </c>
      <c r="O57" s="328">
        <v>0</v>
      </c>
      <c r="P57" s="328"/>
      <c r="Q57" s="328"/>
      <c r="R57" s="23">
        <f t="shared" si="67"/>
        <v>0</v>
      </c>
      <c r="T57" s="328">
        <v>0</v>
      </c>
      <c r="U57" s="328">
        <v>0</v>
      </c>
      <c r="V57" s="328">
        <v>1</v>
      </c>
      <c r="W57" s="328"/>
      <c r="X57" s="23">
        <f t="shared" si="68"/>
        <v>1</v>
      </c>
      <c r="Z57" s="328">
        <v>0</v>
      </c>
      <c r="AA57" s="328">
        <v>0</v>
      </c>
      <c r="AB57" s="328">
        <v>0.5</v>
      </c>
      <c r="AC57" s="328"/>
      <c r="AD57" s="23">
        <f t="shared" si="69"/>
        <v>0.5</v>
      </c>
      <c r="AF57" s="328">
        <v>0</v>
      </c>
      <c r="AG57" s="328">
        <v>0</v>
      </c>
      <c r="AH57" s="328">
        <v>0</v>
      </c>
      <c r="AI57" s="328"/>
      <c r="AJ57" s="23">
        <f t="shared" si="70"/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f t="shared" si="71"/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f t="shared" si="72"/>
        <v>0</v>
      </c>
      <c r="AX57" s="23">
        <f t="shared" si="73"/>
        <v>0</v>
      </c>
      <c r="AY57" s="23">
        <f t="shared" si="64"/>
        <v>0</v>
      </c>
      <c r="AZ57" s="23">
        <f t="shared" si="64"/>
        <v>1.5</v>
      </c>
      <c r="BA57" s="23">
        <f t="shared" si="64"/>
        <v>0</v>
      </c>
      <c r="BB57" s="23">
        <f t="shared" si="74"/>
        <v>1.5</v>
      </c>
    </row>
    <row r="58" spans="1:54" x14ac:dyDescent="0.25">
      <c r="A58" s="34" t="s">
        <v>57</v>
      </c>
      <c r="B58" s="23">
        <v>0</v>
      </c>
      <c r="C58" s="23">
        <v>0</v>
      </c>
      <c r="D58" s="23">
        <v>0</v>
      </c>
      <c r="E58" s="23">
        <v>0</v>
      </c>
      <c r="F58" s="23">
        <f t="shared" si="65"/>
        <v>0</v>
      </c>
      <c r="H58" s="328">
        <v>0</v>
      </c>
      <c r="I58" s="328">
        <v>0</v>
      </c>
      <c r="J58" s="328"/>
      <c r="K58" s="328"/>
      <c r="L58" s="23">
        <f t="shared" si="66"/>
        <v>0</v>
      </c>
      <c r="N58" s="328">
        <v>0</v>
      </c>
      <c r="O58" s="328">
        <v>0</v>
      </c>
      <c r="P58" s="328"/>
      <c r="Q58" s="328"/>
      <c r="R58" s="23">
        <f t="shared" si="67"/>
        <v>0</v>
      </c>
      <c r="T58" s="328">
        <v>0</v>
      </c>
      <c r="U58" s="328">
        <v>0</v>
      </c>
      <c r="V58" s="328">
        <v>0.34</v>
      </c>
      <c r="W58" s="328"/>
      <c r="X58" s="23">
        <f t="shared" si="68"/>
        <v>0.34</v>
      </c>
      <c r="Z58" s="328">
        <v>0</v>
      </c>
      <c r="AA58" s="328">
        <v>0</v>
      </c>
      <c r="AB58" s="328">
        <v>0.33</v>
      </c>
      <c r="AC58" s="328"/>
      <c r="AD58" s="23">
        <f t="shared" si="69"/>
        <v>0.33</v>
      </c>
      <c r="AF58" s="328">
        <v>0</v>
      </c>
      <c r="AG58" s="328">
        <v>0</v>
      </c>
      <c r="AH58" s="328">
        <v>0</v>
      </c>
      <c r="AI58" s="328"/>
      <c r="AJ58" s="23">
        <f t="shared" si="70"/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f t="shared" si="71"/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f t="shared" si="72"/>
        <v>0</v>
      </c>
      <c r="AX58" s="23">
        <f t="shared" si="73"/>
        <v>0</v>
      </c>
      <c r="AY58" s="23">
        <f t="shared" si="73"/>
        <v>0</v>
      </c>
      <c r="AZ58" s="23">
        <f t="shared" si="73"/>
        <v>0.67</v>
      </c>
      <c r="BA58" s="23">
        <f t="shared" si="73"/>
        <v>0</v>
      </c>
      <c r="BB58" s="23">
        <f t="shared" si="74"/>
        <v>0.67</v>
      </c>
    </row>
    <row r="59" spans="1:54" x14ac:dyDescent="0.25">
      <c r="A59" s="34" t="s">
        <v>58</v>
      </c>
      <c r="B59" s="23">
        <v>0</v>
      </c>
      <c r="C59" s="23">
        <v>0</v>
      </c>
      <c r="D59" s="23">
        <v>0</v>
      </c>
      <c r="E59" s="23">
        <v>0</v>
      </c>
      <c r="F59" s="23">
        <f t="shared" si="65"/>
        <v>0</v>
      </c>
      <c r="H59" s="328">
        <v>0</v>
      </c>
      <c r="I59" s="328">
        <v>0</v>
      </c>
      <c r="J59" s="328">
        <v>1</v>
      </c>
      <c r="K59" s="328"/>
      <c r="L59" s="23">
        <f t="shared" si="66"/>
        <v>1</v>
      </c>
      <c r="N59" s="328">
        <v>0</v>
      </c>
      <c r="O59" s="328">
        <v>0</v>
      </c>
      <c r="P59" s="328"/>
      <c r="Q59" s="328"/>
      <c r="R59" s="23">
        <f t="shared" si="67"/>
        <v>0</v>
      </c>
      <c r="T59" s="328">
        <v>0</v>
      </c>
      <c r="U59" s="328">
        <v>0</v>
      </c>
      <c r="V59" s="328"/>
      <c r="W59" s="328"/>
      <c r="X59" s="23">
        <f t="shared" si="68"/>
        <v>0</v>
      </c>
      <c r="Z59" s="328">
        <v>0</v>
      </c>
      <c r="AA59" s="328">
        <v>0</v>
      </c>
      <c r="AB59" s="328">
        <v>1</v>
      </c>
      <c r="AC59" s="328"/>
      <c r="AD59" s="23">
        <f t="shared" si="69"/>
        <v>1</v>
      </c>
      <c r="AF59" s="328">
        <v>0</v>
      </c>
      <c r="AG59" s="328">
        <v>0</v>
      </c>
      <c r="AH59" s="328">
        <v>0</v>
      </c>
      <c r="AI59" s="328"/>
      <c r="AJ59" s="23">
        <f t="shared" si="70"/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f t="shared" si="71"/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f t="shared" si="72"/>
        <v>0</v>
      </c>
      <c r="AX59" s="23">
        <f t="shared" si="73"/>
        <v>0</v>
      </c>
      <c r="AY59" s="23">
        <f t="shared" si="73"/>
        <v>0</v>
      </c>
      <c r="AZ59" s="23">
        <f t="shared" si="73"/>
        <v>2</v>
      </c>
      <c r="BA59" s="23">
        <f t="shared" si="73"/>
        <v>0</v>
      </c>
      <c r="BB59" s="23">
        <f t="shared" si="74"/>
        <v>2</v>
      </c>
    </row>
    <row r="60" spans="1:54" x14ac:dyDescent="0.25">
      <c r="A60" s="34" t="s">
        <v>59</v>
      </c>
      <c r="B60" s="23">
        <v>0</v>
      </c>
      <c r="C60" s="23">
        <v>0.5</v>
      </c>
      <c r="D60" s="23">
        <v>0</v>
      </c>
      <c r="E60" s="23">
        <v>0</v>
      </c>
      <c r="F60" s="23">
        <f t="shared" si="65"/>
        <v>0.5</v>
      </c>
      <c r="H60" s="328">
        <v>0</v>
      </c>
      <c r="I60" s="328">
        <v>1</v>
      </c>
      <c r="J60" s="328"/>
      <c r="K60" s="328"/>
      <c r="L60" s="23">
        <f t="shared" si="66"/>
        <v>1</v>
      </c>
      <c r="N60" s="328">
        <v>0</v>
      </c>
      <c r="O60" s="328">
        <v>0.5</v>
      </c>
      <c r="P60" s="328"/>
      <c r="Q60" s="328"/>
      <c r="R60" s="23">
        <f t="shared" si="67"/>
        <v>0.5</v>
      </c>
      <c r="T60" s="328">
        <v>0</v>
      </c>
      <c r="U60" s="328">
        <v>1.5</v>
      </c>
      <c r="V60" s="328"/>
      <c r="W60" s="328"/>
      <c r="X60" s="23">
        <f t="shared" si="68"/>
        <v>1.5</v>
      </c>
      <c r="Z60" s="328">
        <v>0</v>
      </c>
      <c r="AA60" s="328">
        <v>1.5</v>
      </c>
      <c r="AB60" s="328"/>
      <c r="AC60" s="328"/>
      <c r="AD60" s="23">
        <f t="shared" si="69"/>
        <v>1.5</v>
      </c>
      <c r="AF60" s="328">
        <v>0</v>
      </c>
      <c r="AG60" s="328">
        <v>0.5</v>
      </c>
      <c r="AH60" s="328"/>
      <c r="AI60" s="328"/>
      <c r="AJ60" s="23">
        <f t="shared" si="70"/>
        <v>0.5</v>
      </c>
      <c r="AL60" s="23">
        <v>0</v>
      </c>
      <c r="AM60" s="23">
        <v>0.5</v>
      </c>
      <c r="AN60" s="23">
        <v>0</v>
      </c>
      <c r="AO60" s="23">
        <v>0</v>
      </c>
      <c r="AP60" s="23">
        <f t="shared" si="71"/>
        <v>0.5</v>
      </c>
      <c r="AR60" s="23">
        <v>0</v>
      </c>
      <c r="AS60" s="23">
        <v>0</v>
      </c>
      <c r="AT60" s="23">
        <v>0</v>
      </c>
      <c r="AU60" s="23">
        <v>0</v>
      </c>
      <c r="AV60" s="23">
        <f t="shared" si="72"/>
        <v>0</v>
      </c>
      <c r="AX60" s="23">
        <f t="shared" si="73"/>
        <v>0</v>
      </c>
      <c r="AY60" s="23">
        <f t="shared" si="73"/>
        <v>6</v>
      </c>
      <c r="AZ60" s="23">
        <f t="shared" si="73"/>
        <v>0</v>
      </c>
      <c r="BA60" s="23">
        <f t="shared" si="73"/>
        <v>0</v>
      </c>
      <c r="BB60" s="23">
        <f t="shared" si="74"/>
        <v>6</v>
      </c>
    </row>
    <row r="61" spans="1:54" x14ac:dyDescent="0.25">
      <c r="A61" s="35" t="s">
        <v>245</v>
      </c>
      <c r="B61" s="23">
        <v>0</v>
      </c>
      <c r="C61" s="23">
        <v>0</v>
      </c>
      <c r="D61" s="23">
        <v>0</v>
      </c>
      <c r="E61" s="23">
        <v>0</v>
      </c>
      <c r="F61" s="23">
        <f t="shared" si="65"/>
        <v>0</v>
      </c>
      <c r="H61" s="23">
        <v>0</v>
      </c>
      <c r="I61" s="23">
        <v>0</v>
      </c>
      <c r="J61" s="23">
        <v>0</v>
      </c>
      <c r="K61" s="23">
        <v>0</v>
      </c>
      <c r="L61" s="23">
        <f t="shared" si="66"/>
        <v>0</v>
      </c>
      <c r="N61" s="23">
        <v>0</v>
      </c>
      <c r="O61" s="23">
        <v>0</v>
      </c>
      <c r="P61" s="23">
        <v>0</v>
      </c>
      <c r="Q61" s="23">
        <v>0</v>
      </c>
      <c r="R61" s="23">
        <f t="shared" si="67"/>
        <v>0</v>
      </c>
      <c r="T61" s="328">
        <v>0</v>
      </c>
      <c r="U61" s="328">
        <v>0</v>
      </c>
      <c r="V61" s="328"/>
      <c r="W61" s="328"/>
      <c r="X61" s="23">
        <f t="shared" si="68"/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f t="shared" si="69"/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f t="shared" si="70"/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f t="shared" si="71"/>
        <v>0</v>
      </c>
      <c r="AR61" s="23">
        <v>1</v>
      </c>
      <c r="AS61" s="23">
        <v>0</v>
      </c>
      <c r="AT61" s="23">
        <v>0</v>
      </c>
      <c r="AU61" s="23">
        <v>0</v>
      </c>
      <c r="AV61" s="23">
        <f t="shared" si="72"/>
        <v>1</v>
      </c>
      <c r="AX61" s="23">
        <f t="shared" si="73"/>
        <v>1</v>
      </c>
      <c r="AY61" s="23">
        <f t="shared" si="73"/>
        <v>0</v>
      </c>
      <c r="AZ61" s="23">
        <f t="shared" si="73"/>
        <v>0</v>
      </c>
      <c r="BA61" s="23">
        <f t="shared" si="73"/>
        <v>0</v>
      </c>
      <c r="BB61" s="23">
        <f t="shared" si="74"/>
        <v>1</v>
      </c>
    </row>
    <row r="62" spans="1:54" x14ac:dyDescent="0.25">
      <c r="A62" s="29" t="s">
        <v>60</v>
      </c>
      <c r="B62" s="30">
        <f>SUM(B42:B61)</f>
        <v>9</v>
      </c>
      <c r="C62" s="30">
        <f t="shared" ref="C62:F62" si="75">SUM(C42:C61)</f>
        <v>3</v>
      </c>
      <c r="D62" s="30">
        <f t="shared" si="75"/>
        <v>5</v>
      </c>
      <c r="E62" s="30">
        <f t="shared" si="75"/>
        <v>1</v>
      </c>
      <c r="F62" s="30">
        <f t="shared" si="75"/>
        <v>18</v>
      </c>
      <c r="H62" s="30">
        <f>SUM(H42:H61)</f>
        <v>24</v>
      </c>
      <c r="I62" s="30">
        <f t="shared" ref="I62:L62" si="76">SUM(I42:I61)</f>
        <v>12</v>
      </c>
      <c r="J62" s="30">
        <f t="shared" si="76"/>
        <v>16</v>
      </c>
      <c r="K62" s="30">
        <f t="shared" si="76"/>
        <v>3</v>
      </c>
      <c r="L62" s="30">
        <f t="shared" si="76"/>
        <v>55</v>
      </c>
      <c r="N62" s="30">
        <f>SUM(N42:N61)</f>
        <v>11</v>
      </c>
      <c r="O62" s="30">
        <f t="shared" ref="O62:R62" si="77">SUM(O42:O61)</f>
        <v>5</v>
      </c>
      <c r="P62" s="30">
        <f t="shared" si="77"/>
        <v>4.33</v>
      </c>
      <c r="Q62" s="30">
        <f t="shared" si="77"/>
        <v>1</v>
      </c>
      <c r="R62" s="30">
        <f t="shared" si="77"/>
        <v>21.33</v>
      </c>
      <c r="T62" s="30">
        <f>SUM(T42:T61)</f>
        <v>13.5</v>
      </c>
      <c r="U62" s="30">
        <f t="shared" ref="U62:X62" si="78">SUM(U42:U61)</f>
        <v>3.5</v>
      </c>
      <c r="V62" s="30">
        <f t="shared" si="78"/>
        <v>8.34</v>
      </c>
      <c r="W62" s="30">
        <f t="shared" si="78"/>
        <v>1</v>
      </c>
      <c r="X62" s="30">
        <f t="shared" si="78"/>
        <v>26.34</v>
      </c>
      <c r="Z62" s="30">
        <f>SUM(Z42:Z61)</f>
        <v>19.5</v>
      </c>
      <c r="AA62" s="30">
        <f t="shared" ref="AA62:AD62" si="79">SUM(AA42:AA61)</f>
        <v>5.5</v>
      </c>
      <c r="AB62" s="30">
        <f t="shared" si="79"/>
        <v>12.83</v>
      </c>
      <c r="AC62" s="30">
        <f t="shared" si="79"/>
        <v>2</v>
      </c>
      <c r="AD62" s="30">
        <f t="shared" si="79"/>
        <v>39.83</v>
      </c>
      <c r="AF62" s="30">
        <f>SUM(AF42:AF61)</f>
        <v>10</v>
      </c>
      <c r="AG62" s="30">
        <f t="shared" ref="AG62:AJ62" si="80">SUM(AG42:AG61)</f>
        <v>4</v>
      </c>
      <c r="AH62" s="30">
        <f t="shared" si="80"/>
        <v>5</v>
      </c>
      <c r="AI62" s="30">
        <f t="shared" si="80"/>
        <v>1</v>
      </c>
      <c r="AJ62" s="30">
        <f t="shared" si="80"/>
        <v>20</v>
      </c>
      <c r="AL62" s="30">
        <f>SUM(AL42:AL61)</f>
        <v>3</v>
      </c>
      <c r="AM62" s="30">
        <f t="shared" ref="AM62:AP62" si="81">SUM(AM42:AM61)</f>
        <v>0.5</v>
      </c>
      <c r="AN62" s="30">
        <f t="shared" si="81"/>
        <v>0</v>
      </c>
      <c r="AO62" s="30">
        <f t="shared" si="81"/>
        <v>0</v>
      </c>
      <c r="AP62" s="30">
        <f t="shared" si="81"/>
        <v>3.5</v>
      </c>
      <c r="AR62" s="30">
        <f>SUM(AR42:AR61)</f>
        <v>1</v>
      </c>
      <c r="AS62" s="30">
        <f t="shared" ref="AS62:AV62" si="82">SUM(AS42:AS61)</f>
        <v>0</v>
      </c>
      <c r="AT62" s="30">
        <f t="shared" si="82"/>
        <v>1</v>
      </c>
      <c r="AU62" s="30">
        <f t="shared" si="82"/>
        <v>0</v>
      </c>
      <c r="AV62" s="30">
        <f t="shared" si="82"/>
        <v>2</v>
      </c>
      <c r="AX62" s="30">
        <f>SUM(AX42:AX61)</f>
        <v>91</v>
      </c>
      <c r="AY62" s="30">
        <f t="shared" ref="AY62:BB62" si="83">SUM(AY42:AY61)</f>
        <v>33.5</v>
      </c>
      <c r="AZ62" s="30">
        <f t="shared" si="83"/>
        <v>52.5</v>
      </c>
      <c r="BA62" s="30">
        <f t="shared" si="83"/>
        <v>9</v>
      </c>
      <c r="BB62" s="30">
        <f t="shared" si="83"/>
        <v>186</v>
      </c>
    </row>
    <row r="63" spans="1:54" ht="15.75" thickBot="1" x14ac:dyDescent="0.3">
      <c r="A63" s="36"/>
      <c r="B63" s="38"/>
      <c r="C63" s="38"/>
      <c r="D63" s="38"/>
      <c r="E63" s="38"/>
      <c r="F63" s="38"/>
      <c r="H63" s="38"/>
      <c r="I63" s="38"/>
      <c r="J63" s="38"/>
      <c r="K63" s="38"/>
      <c r="L63" s="38"/>
      <c r="N63" s="38"/>
      <c r="O63" s="38"/>
      <c r="P63" s="38"/>
      <c r="Q63" s="38"/>
      <c r="R63" s="38"/>
      <c r="T63" s="38"/>
      <c r="U63" s="38"/>
      <c r="V63" s="38"/>
      <c r="W63" s="38"/>
      <c r="X63" s="38"/>
      <c r="Z63" s="38"/>
      <c r="AA63" s="38"/>
      <c r="AB63" s="38"/>
      <c r="AC63" s="38"/>
      <c r="AD63" s="38"/>
      <c r="AF63" s="38"/>
      <c r="AG63" s="38"/>
      <c r="AH63" s="38"/>
      <c r="AI63" s="38"/>
      <c r="AJ63" s="38"/>
      <c r="AL63" s="38"/>
      <c r="AM63" s="38"/>
      <c r="AN63" s="38"/>
      <c r="AO63" s="38"/>
      <c r="AP63" s="38"/>
      <c r="AR63" s="38"/>
      <c r="AS63" s="38"/>
      <c r="AT63" s="38"/>
      <c r="AU63" s="38"/>
      <c r="AV63" s="38"/>
      <c r="AX63" s="38"/>
      <c r="AY63" s="38"/>
      <c r="AZ63" s="38"/>
      <c r="BA63" s="38"/>
      <c r="BB63" s="38"/>
    </row>
    <row r="64" spans="1:54" x14ac:dyDescent="0.25">
      <c r="A64" s="40" t="s">
        <v>61</v>
      </c>
      <c r="B64" s="39">
        <f>B39</f>
        <v>41.5</v>
      </c>
      <c r="C64" s="39">
        <f>C39</f>
        <v>0</v>
      </c>
      <c r="D64" s="39">
        <f>D39</f>
        <v>4</v>
      </c>
      <c r="E64" s="39">
        <f t="shared" ref="E64" si="84">E39</f>
        <v>0</v>
      </c>
      <c r="F64" s="39">
        <f>F39</f>
        <v>45.5</v>
      </c>
      <c r="H64" s="39">
        <f>H39</f>
        <v>100</v>
      </c>
      <c r="I64" s="39">
        <f>I39</f>
        <v>0</v>
      </c>
      <c r="J64" s="39">
        <f>J39</f>
        <v>13</v>
      </c>
      <c r="K64" s="39">
        <f t="shared" ref="K64" si="85">K39</f>
        <v>0</v>
      </c>
      <c r="L64" s="39">
        <f>L39</f>
        <v>113</v>
      </c>
      <c r="N64" s="39">
        <f>N39</f>
        <v>43</v>
      </c>
      <c r="O64" s="39">
        <f>O39</f>
        <v>0</v>
      </c>
      <c r="P64" s="39">
        <f>P39</f>
        <v>4</v>
      </c>
      <c r="Q64" s="39">
        <f t="shared" ref="Q64" si="86">Q39</f>
        <v>0</v>
      </c>
      <c r="R64" s="39">
        <f>R39</f>
        <v>47</v>
      </c>
      <c r="T64" s="39">
        <f>T39</f>
        <v>53</v>
      </c>
      <c r="U64" s="39">
        <f>U39</f>
        <v>0</v>
      </c>
      <c r="V64" s="39">
        <f>V39</f>
        <v>5</v>
      </c>
      <c r="W64" s="39">
        <f t="shared" ref="W64" si="87">W39</f>
        <v>0</v>
      </c>
      <c r="X64" s="39">
        <f>X39</f>
        <v>58</v>
      </c>
      <c r="Z64" s="39">
        <f>Z39</f>
        <v>97.5</v>
      </c>
      <c r="AA64" s="39">
        <f>AA39</f>
        <v>0</v>
      </c>
      <c r="AB64" s="39">
        <f>AB39</f>
        <v>10</v>
      </c>
      <c r="AC64" s="39">
        <f t="shared" ref="AC64" si="88">AC39</f>
        <v>0</v>
      </c>
      <c r="AD64" s="39">
        <f>AD39</f>
        <v>107.5</v>
      </c>
      <c r="AF64" s="39">
        <f>AF39</f>
        <v>45.5</v>
      </c>
      <c r="AG64" s="39">
        <f>AG39</f>
        <v>0</v>
      </c>
      <c r="AH64" s="39">
        <f>AH39</f>
        <v>5</v>
      </c>
      <c r="AI64" s="39">
        <f t="shared" ref="AI64" si="89">AI39</f>
        <v>0</v>
      </c>
      <c r="AJ64" s="39">
        <f>AJ39</f>
        <v>50.5</v>
      </c>
      <c r="AL64" s="39">
        <f>AL39</f>
        <v>0</v>
      </c>
      <c r="AM64" s="39">
        <f>AM39</f>
        <v>0</v>
      </c>
      <c r="AN64" s="39">
        <f>AN39</f>
        <v>0</v>
      </c>
      <c r="AO64" s="39">
        <f t="shared" ref="AO64" si="90">AO39</f>
        <v>0</v>
      </c>
      <c r="AP64" s="39">
        <f>AP39</f>
        <v>0</v>
      </c>
      <c r="AR64" s="39">
        <f>AR39</f>
        <v>0</v>
      </c>
      <c r="AS64" s="39">
        <f>AS39</f>
        <v>0</v>
      </c>
      <c r="AT64" s="39">
        <f>AT39</f>
        <v>1</v>
      </c>
      <c r="AU64" s="39">
        <f t="shared" ref="AU64" si="91">AU39</f>
        <v>0</v>
      </c>
      <c r="AV64" s="39">
        <f>AV39</f>
        <v>1</v>
      </c>
      <c r="AX64" s="39">
        <f>AX39</f>
        <v>380.5</v>
      </c>
      <c r="AY64" s="39">
        <f>AY39</f>
        <v>0</v>
      </c>
      <c r="AZ64" s="39">
        <f>AZ39</f>
        <v>42</v>
      </c>
      <c r="BA64" s="39">
        <f t="shared" ref="BA64" si="92">BA39</f>
        <v>0</v>
      </c>
      <c r="BB64" s="39">
        <f>BB39</f>
        <v>422.5</v>
      </c>
    </row>
    <row r="65" spans="1:54" ht="15.75" thickBot="1" x14ac:dyDescent="0.3">
      <c r="A65" s="42" t="s">
        <v>62</v>
      </c>
      <c r="B65" s="41">
        <f>B62</f>
        <v>9</v>
      </c>
      <c r="C65" s="41">
        <f>C62</f>
        <v>3</v>
      </c>
      <c r="D65" s="41">
        <f>D62</f>
        <v>5</v>
      </c>
      <c r="E65" s="41">
        <f t="shared" ref="E65:F65" si="93">E62</f>
        <v>1</v>
      </c>
      <c r="F65" s="41">
        <f t="shared" si="93"/>
        <v>18</v>
      </c>
      <c r="H65" s="41">
        <f>H62</f>
        <v>24</v>
      </c>
      <c r="I65" s="41">
        <f>I62</f>
        <v>12</v>
      </c>
      <c r="J65" s="41">
        <f>J62</f>
        <v>16</v>
      </c>
      <c r="K65" s="41">
        <f t="shared" ref="K65:L65" si="94">K62</f>
        <v>3</v>
      </c>
      <c r="L65" s="41">
        <f t="shared" si="94"/>
        <v>55</v>
      </c>
      <c r="N65" s="41">
        <f>N62</f>
        <v>11</v>
      </c>
      <c r="O65" s="41">
        <f>O62</f>
        <v>5</v>
      </c>
      <c r="P65" s="41">
        <f>P62</f>
        <v>4.33</v>
      </c>
      <c r="Q65" s="41">
        <f t="shared" ref="Q65:R65" si="95">Q62</f>
        <v>1</v>
      </c>
      <c r="R65" s="41">
        <f t="shared" si="95"/>
        <v>21.33</v>
      </c>
      <c r="T65" s="41">
        <f>T62</f>
        <v>13.5</v>
      </c>
      <c r="U65" s="41">
        <f>U62</f>
        <v>3.5</v>
      </c>
      <c r="V65" s="41">
        <f>V62</f>
        <v>8.34</v>
      </c>
      <c r="W65" s="41">
        <f t="shared" ref="W65:X65" si="96">W62</f>
        <v>1</v>
      </c>
      <c r="X65" s="41">
        <f t="shared" si="96"/>
        <v>26.34</v>
      </c>
      <c r="Z65" s="41">
        <f>Z62</f>
        <v>19.5</v>
      </c>
      <c r="AA65" s="41">
        <f>AA62</f>
        <v>5.5</v>
      </c>
      <c r="AB65" s="41">
        <f>AB62</f>
        <v>12.83</v>
      </c>
      <c r="AC65" s="41">
        <f t="shared" ref="AC65:AD65" si="97">AC62</f>
        <v>2</v>
      </c>
      <c r="AD65" s="41">
        <f t="shared" si="97"/>
        <v>39.83</v>
      </c>
      <c r="AF65" s="41">
        <f>AF62</f>
        <v>10</v>
      </c>
      <c r="AG65" s="41">
        <f>AG62</f>
        <v>4</v>
      </c>
      <c r="AH65" s="41">
        <f>AH62</f>
        <v>5</v>
      </c>
      <c r="AI65" s="41">
        <f t="shared" ref="AI65:AJ65" si="98">AI62</f>
        <v>1</v>
      </c>
      <c r="AJ65" s="41">
        <f t="shared" si="98"/>
        <v>20</v>
      </c>
      <c r="AL65" s="41">
        <f>AL62</f>
        <v>3</v>
      </c>
      <c r="AM65" s="41">
        <f>AM62</f>
        <v>0.5</v>
      </c>
      <c r="AN65" s="41">
        <f>AN62</f>
        <v>0</v>
      </c>
      <c r="AO65" s="41">
        <f t="shared" ref="AO65:AP65" si="99">AO62</f>
        <v>0</v>
      </c>
      <c r="AP65" s="41">
        <f t="shared" si="99"/>
        <v>3.5</v>
      </c>
      <c r="AR65" s="41">
        <f>AR62</f>
        <v>1</v>
      </c>
      <c r="AS65" s="41">
        <f>AS62</f>
        <v>0</v>
      </c>
      <c r="AT65" s="41">
        <f>AT62</f>
        <v>1</v>
      </c>
      <c r="AU65" s="41">
        <f t="shared" ref="AU65:AV65" si="100">AU62</f>
        <v>0</v>
      </c>
      <c r="AV65" s="41">
        <f t="shared" si="100"/>
        <v>2</v>
      </c>
      <c r="AX65" s="41">
        <f>AX62</f>
        <v>91</v>
      </c>
      <c r="AY65" s="41">
        <f>AY62</f>
        <v>33.5</v>
      </c>
      <c r="AZ65" s="41">
        <f>AZ62</f>
        <v>52.5</v>
      </c>
      <c r="BA65" s="41">
        <f t="shared" ref="BA65:BB65" si="101">BA62</f>
        <v>9</v>
      </c>
      <c r="BB65" s="41">
        <f t="shared" si="101"/>
        <v>186</v>
      </c>
    </row>
    <row r="66" spans="1:54" ht="15.75" thickBot="1" x14ac:dyDescent="0.3">
      <c r="A66" s="44" t="s">
        <v>63</v>
      </c>
      <c r="B66" s="43">
        <f>SUM(B64:B65)</f>
        <v>50.5</v>
      </c>
      <c r="C66" s="43">
        <f>SUM(C64:C65)</f>
        <v>3</v>
      </c>
      <c r="D66" s="43">
        <f>SUM(D64:D65)</f>
        <v>9</v>
      </c>
      <c r="E66" s="43">
        <f t="shared" ref="E66:F66" si="102">SUM(E64:E65)</f>
        <v>1</v>
      </c>
      <c r="F66" s="43">
        <f t="shared" si="102"/>
        <v>63.5</v>
      </c>
      <c r="H66" s="43">
        <f>SUM(H64:H65)</f>
        <v>124</v>
      </c>
      <c r="I66" s="43">
        <f>SUM(I64:I65)</f>
        <v>12</v>
      </c>
      <c r="J66" s="43">
        <f>SUM(J64:J65)</f>
        <v>29</v>
      </c>
      <c r="K66" s="43">
        <f t="shared" ref="K66:L66" si="103">SUM(K64:K65)</f>
        <v>3</v>
      </c>
      <c r="L66" s="43">
        <f t="shared" si="103"/>
        <v>168</v>
      </c>
      <c r="N66" s="43">
        <f>SUM(N64:N65)</f>
        <v>54</v>
      </c>
      <c r="O66" s="43">
        <f>SUM(O64:O65)</f>
        <v>5</v>
      </c>
      <c r="P66" s="43">
        <f>SUM(P64:P65)</f>
        <v>8.33</v>
      </c>
      <c r="Q66" s="43">
        <f t="shared" ref="Q66:R66" si="104">SUM(Q64:Q65)</f>
        <v>1</v>
      </c>
      <c r="R66" s="43">
        <f t="shared" si="104"/>
        <v>68.33</v>
      </c>
      <c r="T66" s="43">
        <f>SUM(T64:T65)</f>
        <v>66.5</v>
      </c>
      <c r="U66" s="43">
        <f>SUM(U64:U65)</f>
        <v>3.5</v>
      </c>
      <c r="V66" s="43">
        <f>SUM(V64:V65)</f>
        <v>13.34</v>
      </c>
      <c r="W66" s="43">
        <f t="shared" ref="W66:X66" si="105">SUM(W64:W65)</f>
        <v>1</v>
      </c>
      <c r="X66" s="43">
        <f t="shared" si="105"/>
        <v>84.34</v>
      </c>
      <c r="Z66" s="43">
        <f>SUM(Z64:Z65)</f>
        <v>117</v>
      </c>
      <c r="AA66" s="43">
        <f>SUM(AA64:AA65)</f>
        <v>5.5</v>
      </c>
      <c r="AB66" s="43">
        <f>SUM(AB64:AB65)</f>
        <v>22.83</v>
      </c>
      <c r="AC66" s="43">
        <f t="shared" ref="AC66:AD66" si="106">SUM(AC64:AC65)</f>
        <v>2</v>
      </c>
      <c r="AD66" s="43">
        <f t="shared" si="106"/>
        <v>147.32999999999998</v>
      </c>
      <c r="AF66" s="43">
        <f>SUM(AF64:AF65)</f>
        <v>55.5</v>
      </c>
      <c r="AG66" s="43">
        <f>SUM(AG64:AG65)</f>
        <v>4</v>
      </c>
      <c r="AH66" s="43">
        <f>SUM(AH64:AH65)</f>
        <v>10</v>
      </c>
      <c r="AI66" s="43">
        <f t="shared" ref="AI66:AJ66" si="107">SUM(AI64:AI65)</f>
        <v>1</v>
      </c>
      <c r="AJ66" s="43">
        <f t="shared" si="107"/>
        <v>70.5</v>
      </c>
      <c r="AL66" s="43">
        <f>SUM(AL64:AL65)</f>
        <v>3</v>
      </c>
      <c r="AM66" s="43">
        <f>SUM(AM64:AM65)</f>
        <v>0.5</v>
      </c>
      <c r="AN66" s="43">
        <f>SUM(AN64:AN65)</f>
        <v>0</v>
      </c>
      <c r="AO66" s="43">
        <f t="shared" ref="AO66:AP66" si="108">SUM(AO64:AO65)</f>
        <v>0</v>
      </c>
      <c r="AP66" s="43">
        <f t="shared" si="108"/>
        <v>3.5</v>
      </c>
      <c r="AR66" s="43">
        <f>SUM(AR64:AR65)</f>
        <v>1</v>
      </c>
      <c r="AS66" s="43">
        <f>SUM(AS64:AS65)</f>
        <v>0</v>
      </c>
      <c r="AT66" s="43">
        <f>SUM(AT64:AT65)</f>
        <v>2</v>
      </c>
      <c r="AU66" s="43">
        <f t="shared" ref="AU66:AV66" si="109">SUM(AU64:AU65)</f>
        <v>0</v>
      </c>
      <c r="AV66" s="43">
        <f t="shared" si="109"/>
        <v>3</v>
      </c>
      <c r="AX66" s="43">
        <f>SUM(AX64:AX65)</f>
        <v>471.5</v>
      </c>
      <c r="AY66" s="43">
        <f>SUM(AY64:AY65)</f>
        <v>33.5</v>
      </c>
      <c r="AZ66" s="43">
        <f>SUM(AZ64:AZ65)</f>
        <v>94.5</v>
      </c>
      <c r="BA66" s="43">
        <f t="shared" ref="BA66:BB66" si="110">SUM(BA64:BA65)</f>
        <v>9</v>
      </c>
      <c r="BB66" s="43">
        <f t="shared" si="110"/>
        <v>608.5</v>
      </c>
    </row>
    <row r="67" spans="1:54" ht="15.75" thickBot="1" x14ac:dyDescent="0.3">
      <c r="A67" s="34"/>
      <c r="B67" s="45"/>
      <c r="C67" s="45"/>
      <c r="D67" s="45"/>
      <c r="E67" s="45"/>
      <c r="F67" s="45"/>
      <c r="H67" s="45"/>
      <c r="I67" s="45"/>
      <c r="J67" s="45"/>
      <c r="K67" s="45"/>
      <c r="L67" s="45"/>
      <c r="N67" s="45"/>
      <c r="O67" s="45"/>
      <c r="P67" s="45"/>
      <c r="Q67" s="45"/>
      <c r="R67" s="45"/>
      <c r="T67" s="45"/>
      <c r="U67" s="45"/>
      <c r="V67" s="45"/>
      <c r="W67" s="45"/>
      <c r="X67" s="45"/>
      <c r="Z67" s="45"/>
      <c r="AA67" s="45"/>
      <c r="AB67" s="45"/>
      <c r="AC67" s="45"/>
      <c r="AD67" s="45"/>
      <c r="AF67" s="45"/>
      <c r="AG67" s="45"/>
      <c r="AH67" s="45"/>
      <c r="AI67" s="45"/>
      <c r="AJ67" s="45"/>
      <c r="AL67" s="45"/>
      <c r="AM67" s="45"/>
      <c r="AN67" s="45"/>
      <c r="AO67" s="45"/>
      <c r="AP67" s="45"/>
      <c r="AR67" s="45"/>
      <c r="AS67" s="45"/>
      <c r="AT67" s="45"/>
      <c r="AU67" s="45"/>
      <c r="AV67" s="45"/>
      <c r="AX67" s="45"/>
      <c r="AY67" s="45"/>
      <c r="AZ67" s="45"/>
      <c r="BA67" s="45"/>
      <c r="BB67" s="45"/>
    </row>
    <row r="68" spans="1:54" x14ac:dyDescent="0.25">
      <c r="A68" s="47" t="s">
        <v>64</v>
      </c>
      <c r="B68" s="46"/>
      <c r="C68" s="46"/>
      <c r="D68" s="46"/>
      <c r="E68" s="46"/>
      <c r="F68" s="46">
        <f>F139/(SUM(F207:F217))</f>
        <v>0.63977880800560061</v>
      </c>
      <c r="H68" s="46"/>
      <c r="I68" s="46"/>
      <c r="J68" s="46"/>
      <c r="K68" s="46"/>
      <c r="L68" s="46">
        <f>L139/(SUM(L207:L217))</f>
        <v>0.62636328241871142</v>
      </c>
      <c r="N68" s="46"/>
      <c r="O68" s="46"/>
      <c r="P68" s="46"/>
      <c r="Q68" s="46"/>
      <c r="R68" s="46">
        <f>R139/(SUM(R207:R217))</f>
        <v>0.65684877810565878</v>
      </c>
      <c r="T68" s="46"/>
      <c r="U68" s="46"/>
      <c r="V68" s="46"/>
      <c r="W68" s="46"/>
      <c r="X68" s="46">
        <f>X139/(SUM(X207:X217))</f>
        <v>0.67115743641808256</v>
      </c>
      <c r="Z68" s="46"/>
      <c r="AA68" s="46"/>
      <c r="AB68" s="46"/>
      <c r="AC68" s="46"/>
      <c r="AD68" s="46">
        <f>AD139/(SUM(AD207:AD217))</f>
        <v>0.58159498992108094</v>
      </c>
      <c r="AF68" s="46"/>
      <c r="AG68" s="46"/>
      <c r="AH68" s="46"/>
      <c r="AI68" s="46"/>
      <c r="AJ68" s="46">
        <f>AJ139/(SUM(AJ207:AJ217))</f>
        <v>0.57467556501231298</v>
      </c>
      <c r="AL68" s="46"/>
      <c r="AM68" s="46"/>
      <c r="AN68" s="46"/>
      <c r="AO68" s="46"/>
      <c r="AP68" s="46">
        <f>AP139/(SUM(AP207:AP217))</f>
        <v>0.9864650762805981</v>
      </c>
      <c r="AR68" s="46"/>
      <c r="AS68" s="46"/>
      <c r="AT68" s="46"/>
      <c r="AU68" s="46"/>
      <c r="AV68" s="46">
        <f>AV139/(SUM(AV207:AV217))</f>
        <v>0.26774400890506411</v>
      </c>
      <c r="AX68" s="46"/>
      <c r="AY68" s="46"/>
      <c r="AZ68" s="46"/>
      <c r="BA68" s="46"/>
      <c r="BB68" s="46">
        <f>BB139/(SUM(BB207:BB217))</f>
        <v>0.60782127387109652</v>
      </c>
    </row>
    <row r="69" spans="1:54" x14ac:dyDescent="0.25">
      <c r="A69" s="49" t="s">
        <v>65</v>
      </c>
      <c r="B69" s="48"/>
      <c r="C69" s="48"/>
      <c r="D69" s="48"/>
      <c r="E69" s="48"/>
      <c r="F69" s="48">
        <f t="shared" ref="F69" si="111">(F108+F109+F110+F113)/F129</f>
        <v>0.75258407794144866</v>
      </c>
      <c r="H69" s="48"/>
      <c r="I69" s="48"/>
      <c r="J69" s="48"/>
      <c r="K69" s="48"/>
      <c r="L69" s="48">
        <f t="shared" ref="L69" si="112">(L108+L109+L110+L113)/L129</f>
        <v>0.76886458325783902</v>
      </c>
      <c r="N69" s="48"/>
      <c r="O69" s="48"/>
      <c r="P69" s="48"/>
      <c r="Q69" s="48"/>
      <c r="R69" s="48">
        <f t="shared" ref="R69" si="113">(R108+R109+R110+R113)/R129</f>
        <v>0.76150608400794439</v>
      </c>
      <c r="T69" s="48"/>
      <c r="U69" s="48"/>
      <c r="V69" s="48"/>
      <c r="W69" s="48"/>
      <c r="X69" s="48">
        <f t="shared" ref="X69" si="114">(X108+X109+X110+X113)/X129</f>
        <v>0.76939571927242123</v>
      </c>
      <c r="Z69" s="48"/>
      <c r="AA69" s="48"/>
      <c r="AB69" s="48"/>
      <c r="AC69" s="48"/>
      <c r="AD69" s="48">
        <f t="shared" ref="AD69" si="115">(AD108+AD109+AD110+AD113)/AD129</f>
        <v>0.80330088196074445</v>
      </c>
      <c r="AF69" s="48"/>
      <c r="AG69" s="48"/>
      <c r="AH69" s="48"/>
      <c r="AI69" s="48"/>
      <c r="AJ69" s="48">
        <f t="shared" ref="AJ69" si="116">(AJ108+AJ109+AJ110+AJ113)/AJ129</f>
        <v>0.76056951244603177</v>
      </c>
      <c r="AL69" s="48"/>
      <c r="AM69" s="48"/>
      <c r="AN69" s="48"/>
      <c r="AO69" s="48"/>
      <c r="AP69" s="48">
        <f t="shared" ref="AP69" si="117">(AP108+AP109+AP110+AP113)/AP129</f>
        <v>0</v>
      </c>
      <c r="AR69" s="48"/>
      <c r="AS69" s="48"/>
      <c r="AT69" s="48"/>
      <c r="AU69" s="48"/>
      <c r="AV69" s="48">
        <f t="shared" ref="AV69" si="118">(AV108+AV109+AV110+AV113)/AV129</f>
        <v>0.74586238763336976</v>
      </c>
      <c r="AX69" s="48"/>
      <c r="AY69" s="48"/>
      <c r="AZ69" s="48"/>
      <c r="BA69" s="48"/>
      <c r="BB69" s="48">
        <f t="shared" ref="BB69" si="119">(BB108+BB109+BB110+BB113)/BB129</f>
        <v>0.76858812071732996</v>
      </c>
    </row>
    <row r="70" spans="1:54" x14ac:dyDescent="0.25">
      <c r="A70" s="51" t="s">
        <v>66</v>
      </c>
      <c r="B70" s="48"/>
      <c r="C70" s="48"/>
      <c r="D70" s="48"/>
      <c r="E70" s="48"/>
      <c r="F70" s="48">
        <f t="shared" ref="F70" si="120">(F103+F104+F106+F107+F111+F112+F114+F115+F118+F119+F120+F121+F122+F105+F123+F124+F125+F126+F127)/F129</f>
        <v>0.2474159220585514</v>
      </c>
      <c r="H70" s="48"/>
      <c r="I70" s="48"/>
      <c r="J70" s="48"/>
      <c r="K70" s="48"/>
      <c r="L70" s="48">
        <f t="shared" ref="L70" si="121">(L103+L104+L106+L107+L111+L112+L114+L115+L118+L119+L120+L121+L122+L105+L123+L124+L125+L126+L127)/L129</f>
        <v>0.23113541674216093</v>
      </c>
      <c r="N70" s="48"/>
      <c r="O70" s="48"/>
      <c r="P70" s="48"/>
      <c r="Q70" s="48"/>
      <c r="R70" s="48">
        <f t="shared" ref="R70" si="122">(R103+R104+R106+R107+R111+R112+R114+R115+R118+R119+R120+R121+R122+R105+R123+R124+R125+R126+R127)/R129</f>
        <v>0.23849391599205569</v>
      </c>
      <c r="T70" s="48"/>
      <c r="U70" s="48"/>
      <c r="V70" s="48"/>
      <c r="W70" s="48"/>
      <c r="X70" s="48">
        <f t="shared" ref="X70" si="123">(X103+X104+X106+X107+X111+X112+X114+X115+X118+X119+X120+X121+X122+X105+X123+X124+X125+X126+X127)/X129</f>
        <v>0.2306042807275788</v>
      </c>
      <c r="Z70" s="48"/>
      <c r="AA70" s="48"/>
      <c r="AB70" s="48"/>
      <c r="AC70" s="48"/>
      <c r="AD70" s="48">
        <f t="shared" ref="AD70" si="124">(AD103+AD104+AD106+AD107+AD111+AD112+AD114+AD115+AD118+AD119+AD120+AD121+AD122+AD105+AD123+AD124+AD125+AD126+AD127)/AD129</f>
        <v>0.19669911803925555</v>
      </c>
      <c r="AF70" s="48"/>
      <c r="AG70" s="48"/>
      <c r="AH70" s="48"/>
      <c r="AI70" s="48"/>
      <c r="AJ70" s="48">
        <f t="shared" ref="AJ70" si="125">(AJ103+AJ104+AJ106+AJ107+AJ111+AJ112+AJ114+AJ115+AJ118+AJ119+AJ120+AJ121+AJ122+AJ105+AJ123+AJ124+AJ125+AJ126+AJ127)/AJ129</f>
        <v>0.23943048755396823</v>
      </c>
      <c r="AL70" s="48"/>
      <c r="AM70" s="48"/>
      <c r="AN70" s="48"/>
      <c r="AO70" s="48"/>
      <c r="AP70" s="48">
        <f t="shared" ref="AP70" si="126">(AP103+AP104+AP106+AP107+AP111+AP112+AP114+AP115+AP118+AP119+AP120+AP121+AP122+AP105+AP123+AP124+AP125+AP126+AP127)/AP129</f>
        <v>1</v>
      </c>
      <c r="AR70" s="48"/>
      <c r="AS70" s="48"/>
      <c r="AT70" s="48"/>
      <c r="AU70" s="48"/>
      <c r="AV70" s="48">
        <f t="shared" ref="AV70" si="127">(AV103+AV104+AV106+AV107+AV111+AV112+AV114+AV115+AV118+AV119+AV120+AV121+AV122+AV105+AV123+AV124+AV125+AV126+AV127)/AV129</f>
        <v>0.25413761236663029</v>
      </c>
      <c r="AX70" s="48"/>
      <c r="AY70" s="48"/>
      <c r="AZ70" s="48"/>
      <c r="BA70" s="48"/>
      <c r="BB70" s="48">
        <f t="shared" ref="BB70" si="128">(BB103+BB104+BB106+BB107+BB111+BB112+BB114+BB115+BB118+BB119+BB120+BB121+BB122+BB105+BB123+BB124+BB125+BB126+BB127)/BB129</f>
        <v>0.23141187928267018</v>
      </c>
    </row>
    <row r="71" spans="1:54" ht="15.75" thickBot="1" x14ac:dyDescent="0.3">
      <c r="A71" s="53" t="s">
        <v>67</v>
      </c>
      <c r="B71" s="52"/>
      <c r="C71" s="52"/>
      <c r="D71" s="52"/>
      <c r="E71" s="52"/>
      <c r="F71" s="52">
        <f>SUM(F209:F217)/F86</f>
        <v>0.12028117862943032</v>
      </c>
      <c r="H71" s="52"/>
      <c r="I71" s="52"/>
      <c r="J71" s="52"/>
      <c r="K71" s="52"/>
      <c r="L71" s="52">
        <f>SUM(L209:L217)/L86</f>
        <v>0.1171803498940828</v>
      </c>
      <c r="N71" s="52"/>
      <c r="O71" s="52"/>
      <c r="P71" s="52"/>
      <c r="Q71" s="52"/>
      <c r="R71" s="52">
        <f>SUM(R209:R217)/R86</f>
        <v>0.11549663987678389</v>
      </c>
      <c r="T71" s="52"/>
      <c r="U71" s="52"/>
      <c r="V71" s="52"/>
      <c r="W71" s="52"/>
      <c r="X71" s="52">
        <f>SUM(X209:X217)/X86</f>
        <v>0.11683993274165189</v>
      </c>
      <c r="Z71" s="52"/>
      <c r="AA71" s="52"/>
      <c r="AB71" s="52"/>
      <c r="AC71" s="52"/>
      <c r="AD71" s="52">
        <f>SUM(AD209:AD217)/AD86</f>
        <v>0.19588969731015216</v>
      </c>
      <c r="AF71" s="52"/>
      <c r="AG71" s="52"/>
      <c r="AH71" s="52"/>
      <c r="AI71" s="52"/>
      <c r="AJ71" s="52">
        <f>SUM(AJ209:AJ217)/AJ86</f>
        <v>0.16939298354339818</v>
      </c>
      <c r="AL71" s="52"/>
      <c r="AM71" s="52"/>
      <c r="AN71" s="52"/>
      <c r="AO71" s="52"/>
      <c r="AP71" s="52">
        <f>SUM(AP209:AP217)/AP86</f>
        <v>0</v>
      </c>
      <c r="AR71" s="52"/>
      <c r="AS71" s="52"/>
      <c r="AT71" s="52"/>
      <c r="AU71" s="52"/>
      <c r="AV71" s="52">
        <f>SUM(AV209:AV217)/AV86</f>
        <v>0</v>
      </c>
      <c r="AX71" s="52"/>
      <c r="AY71" s="52"/>
      <c r="AZ71" s="52"/>
      <c r="BA71" s="52"/>
      <c r="BB71" s="52">
        <f>SUM(BB209:BB217)/BB86</f>
        <v>0.13846986254092186</v>
      </c>
    </row>
    <row r="72" spans="1:54" x14ac:dyDescent="0.25">
      <c r="A72" s="54"/>
      <c r="B72" s="55"/>
      <c r="C72" s="55"/>
      <c r="D72" s="55"/>
      <c r="E72" s="55"/>
      <c r="F72" s="55"/>
      <c r="H72" s="55"/>
      <c r="I72" s="55"/>
      <c r="J72" s="55"/>
      <c r="K72" s="55"/>
      <c r="L72" s="55"/>
      <c r="N72" s="55"/>
      <c r="O72" s="55"/>
      <c r="P72" s="55"/>
      <c r="Q72" s="55"/>
      <c r="R72" s="55"/>
      <c r="T72" s="55"/>
      <c r="U72" s="55"/>
      <c r="V72" s="55"/>
      <c r="W72" s="55"/>
      <c r="X72" s="55"/>
      <c r="Z72" s="55"/>
      <c r="AA72" s="55"/>
      <c r="AB72" s="55"/>
      <c r="AC72" s="55"/>
      <c r="AD72" s="55"/>
      <c r="AF72" s="55"/>
      <c r="AG72" s="55"/>
      <c r="AH72" s="55"/>
      <c r="AI72" s="55"/>
      <c r="AJ72" s="55"/>
      <c r="AL72" s="55"/>
      <c r="AM72" s="55"/>
      <c r="AN72" s="55"/>
      <c r="AO72" s="55"/>
      <c r="AP72" s="55"/>
      <c r="AR72" s="55"/>
      <c r="AS72" s="55"/>
      <c r="AT72" s="55"/>
      <c r="AU72" s="55"/>
      <c r="AV72" s="55"/>
      <c r="AX72" s="55"/>
      <c r="AY72" s="55"/>
      <c r="AZ72" s="55"/>
      <c r="BA72" s="55"/>
      <c r="BB72" s="55"/>
    </row>
    <row r="73" spans="1:54" x14ac:dyDescent="0.25">
      <c r="A73" s="57" t="s">
        <v>246</v>
      </c>
      <c r="B73" s="58" t="str">
        <f>B1</f>
        <v>Operating</v>
      </c>
      <c r="C73" s="58" t="str">
        <f>C1</f>
        <v>Weights</v>
      </c>
      <c r="D73" s="58" t="s">
        <v>3</v>
      </c>
      <c r="E73" s="58" t="str">
        <f t="shared" ref="E73" si="129">E1</f>
        <v>NSLP</v>
      </c>
      <c r="F73" s="58" t="str">
        <f>F1</f>
        <v>Horizon</v>
      </c>
      <c r="H73" s="58" t="str">
        <f>H1</f>
        <v>Operating</v>
      </c>
      <c r="I73" s="58" t="str">
        <f>I1</f>
        <v>Weights</v>
      </c>
      <c r="J73" s="58" t="s">
        <v>3</v>
      </c>
      <c r="K73" s="58" t="str">
        <f t="shared" ref="K73" si="130">K1</f>
        <v>NSLP</v>
      </c>
      <c r="L73" s="58" t="str">
        <f>L1</f>
        <v>Cadence</v>
      </c>
      <c r="N73" s="58" t="str">
        <f>N1</f>
        <v>Operating</v>
      </c>
      <c r="O73" s="58" t="str">
        <f>O1</f>
        <v>Weights</v>
      </c>
      <c r="P73" s="58" t="s">
        <v>3</v>
      </c>
      <c r="Q73" s="58" t="str">
        <f t="shared" ref="Q73" si="131">Q1</f>
        <v>NSLP</v>
      </c>
      <c r="R73" s="58" t="str">
        <f>R1</f>
        <v>St. Rose</v>
      </c>
      <c r="T73" s="58" t="str">
        <f>T1</f>
        <v>Operating</v>
      </c>
      <c r="U73" s="58" t="str">
        <f>U1</f>
        <v>Weights</v>
      </c>
      <c r="V73" s="58" t="s">
        <v>3</v>
      </c>
      <c r="W73" s="58" t="str">
        <f t="shared" ref="W73" si="132">W1</f>
        <v>NSLP</v>
      </c>
      <c r="X73" s="58" t="str">
        <f>X1</f>
        <v>Inspirada</v>
      </c>
      <c r="Z73" s="58" t="str">
        <f>Z1</f>
        <v>Operating</v>
      </c>
      <c r="AA73" s="58" t="str">
        <f>AA1</f>
        <v>Weights</v>
      </c>
      <c r="AB73" s="58" t="s">
        <v>3</v>
      </c>
      <c r="AC73" s="58" t="str">
        <f t="shared" ref="AC73" si="133">AC1</f>
        <v>NSLP</v>
      </c>
      <c r="AD73" s="58" t="str">
        <f>AD1</f>
        <v>Sloan Canyon</v>
      </c>
      <c r="AF73" s="58" t="str">
        <f>AF1</f>
        <v>Operating</v>
      </c>
      <c r="AG73" s="58" t="str">
        <f>AG1</f>
        <v>Weights</v>
      </c>
      <c r="AH73" s="58" t="s">
        <v>3</v>
      </c>
      <c r="AI73" s="58" t="str">
        <f t="shared" ref="AI73" si="134">AI1</f>
        <v>NSLP</v>
      </c>
      <c r="AJ73" s="58" t="str">
        <f>AJ1</f>
        <v>Springs</v>
      </c>
      <c r="AL73" s="58" t="str">
        <f>AL1</f>
        <v>Operating</v>
      </c>
      <c r="AM73" s="58" t="str">
        <f>AM1</f>
        <v>Weights</v>
      </c>
      <c r="AN73" s="58" t="s">
        <v>3</v>
      </c>
      <c r="AO73" s="58" t="str">
        <f t="shared" ref="AO73" si="135">AO1</f>
        <v>NSLP</v>
      </c>
      <c r="AP73" s="58" t="str">
        <f>AP1</f>
        <v>System Wide</v>
      </c>
      <c r="AR73" s="58" t="str">
        <f>AR1</f>
        <v>Operating</v>
      </c>
      <c r="AS73" s="58" t="str">
        <f>AS1</f>
        <v>Weights</v>
      </c>
      <c r="AT73" s="58" t="s">
        <v>3</v>
      </c>
      <c r="AU73" s="58" t="str">
        <f t="shared" ref="AU73" si="136">AU1</f>
        <v>NSLP</v>
      </c>
      <c r="AV73" s="58" t="str">
        <f>AV1</f>
        <v>Virtual</v>
      </c>
      <c r="AX73" s="58" t="str">
        <f>AX1</f>
        <v>Operating</v>
      </c>
      <c r="AY73" s="58" t="str">
        <f>AY1</f>
        <v>Weights</v>
      </c>
      <c r="AZ73" s="58" t="s">
        <v>3</v>
      </c>
      <c r="BA73" s="58" t="str">
        <f t="shared" ref="BA73" si="137">BA1</f>
        <v>NSLP</v>
      </c>
      <c r="BB73" s="58" t="str">
        <f>BB1</f>
        <v>Pinecrest System</v>
      </c>
    </row>
    <row r="74" spans="1:54" x14ac:dyDescent="0.25">
      <c r="A74" s="60" t="s">
        <v>69</v>
      </c>
      <c r="B74" s="7">
        <f>(B2*B5)</f>
        <v>7188194.8955038907</v>
      </c>
      <c r="C74" s="7">
        <v>0</v>
      </c>
      <c r="D74" s="7">
        <v>0</v>
      </c>
      <c r="E74" s="7">
        <v>0</v>
      </c>
      <c r="F74" s="7">
        <f t="shared" ref="F74" si="138">SUM(B74:E74)</f>
        <v>7188194.8955038907</v>
      </c>
      <c r="H74" s="7">
        <f>(H2*H5)</f>
        <v>18845972.514494177</v>
      </c>
      <c r="I74" s="7">
        <v>0</v>
      </c>
      <c r="J74" s="7">
        <v>0</v>
      </c>
      <c r="K74" s="7">
        <v>0</v>
      </c>
      <c r="L74" s="7">
        <f t="shared" ref="L74" si="139">SUM(H74:K74)</f>
        <v>18845972.514494177</v>
      </c>
      <c r="N74" s="7">
        <f>(N2*N5)</f>
        <v>7802570.5275982404</v>
      </c>
      <c r="O74" s="7">
        <v>0</v>
      </c>
      <c r="P74" s="7">
        <v>0</v>
      </c>
      <c r="Q74" s="7">
        <v>0</v>
      </c>
      <c r="R74" s="7">
        <f t="shared" ref="R74" si="140">SUM(N74:Q74)</f>
        <v>7802570.5275982404</v>
      </c>
      <c r="T74" s="7">
        <f>(T2*T5)</f>
        <v>9330829.9124329351</v>
      </c>
      <c r="U74" s="7">
        <v>0</v>
      </c>
      <c r="V74" s="7">
        <v>0</v>
      </c>
      <c r="W74" s="7">
        <v>0</v>
      </c>
      <c r="X74" s="7">
        <f t="shared" ref="X74" si="141">SUM(T74:W74)</f>
        <v>9330829.9124329351</v>
      </c>
      <c r="Z74" s="7">
        <f>(Z2*Z5)</f>
        <v>18653980.12946469</v>
      </c>
      <c r="AA74" s="7">
        <v>0</v>
      </c>
      <c r="AB74" s="7">
        <v>0</v>
      </c>
      <c r="AC74" s="7">
        <v>0</v>
      </c>
      <c r="AD74" s="7">
        <f t="shared" ref="AD74" si="142">SUM(Z74:AC74)</f>
        <v>18653980.12946469</v>
      </c>
      <c r="AF74" s="7">
        <f>(AF2*AF5)</f>
        <v>8294071.0332737202</v>
      </c>
      <c r="AG74" s="7">
        <v>0</v>
      </c>
      <c r="AH74" s="7">
        <v>0</v>
      </c>
      <c r="AI74" s="7">
        <v>0</v>
      </c>
      <c r="AJ74" s="7">
        <f t="shared" ref="AJ74:AJ85" si="143">SUM(AF74:AI74)</f>
        <v>8294071.0332737202</v>
      </c>
      <c r="AL74" s="7">
        <f>(AL2*AL5)*0.97</f>
        <v>0</v>
      </c>
      <c r="AM74" s="7">
        <v>0</v>
      </c>
      <c r="AN74" s="7">
        <v>0</v>
      </c>
      <c r="AO74" s="7">
        <v>0</v>
      </c>
      <c r="AP74" s="7">
        <f t="shared" ref="AP74" si="144">SUM(AL74:AO74)</f>
        <v>0</v>
      </c>
      <c r="AR74" s="7">
        <f>(AR2*AR5)</f>
        <v>2925000</v>
      </c>
      <c r="AS74" s="7">
        <v>0</v>
      </c>
      <c r="AT74" s="7">
        <v>0</v>
      </c>
      <c r="AU74" s="7">
        <v>0</v>
      </c>
      <c r="AV74" s="7">
        <f t="shared" ref="AV74" si="145">SUM(AR74:AU74)</f>
        <v>2925000</v>
      </c>
      <c r="AX74" s="7">
        <f>B74+H74+N74+T74+Z74+AF74+AL74+AR74</f>
        <v>73040619.012767658</v>
      </c>
      <c r="AY74" s="7">
        <f t="shared" ref="AY74:BA85" si="146">C74+I74+O74+U74+AA74+AG74+AM74+AS74</f>
        <v>0</v>
      </c>
      <c r="AZ74" s="7">
        <f t="shared" si="146"/>
        <v>0</v>
      </c>
      <c r="BA74" s="7">
        <f t="shared" si="146"/>
        <v>0</v>
      </c>
      <c r="BB74" s="7">
        <f t="shared" ref="BB74:BB98" si="147">SUM(AX74:BA74)</f>
        <v>73040619.012767658</v>
      </c>
    </row>
    <row r="75" spans="1:54" x14ac:dyDescent="0.25">
      <c r="A75" s="62" t="s">
        <v>70</v>
      </c>
      <c r="B75" s="7">
        <f>(B3*B5)*0.95</f>
        <v>0</v>
      </c>
      <c r="C75" s="7">
        <v>0</v>
      </c>
      <c r="D75" s="7">
        <v>0</v>
      </c>
      <c r="E75" s="7">
        <v>0</v>
      </c>
      <c r="F75" s="7">
        <f t="shared" ref="F75:F85" si="148">SUM(B75:E75)</f>
        <v>0</v>
      </c>
      <c r="H75" s="7">
        <f>(H3*H5)*0.95</f>
        <v>0</v>
      </c>
      <c r="I75" s="7">
        <v>0</v>
      </c>
      <c r="J75" s="7">
        <v>0</v>
      </c>
      <c r="K75" s="7">
        <v>0</v>
      </c>
      <c r="L75" s="7">
        <f t="shared" ref="L75:L85" si="149">SUM(H75:K75)</f>
        <v>0</v>
      </c>
      <c r="N75" s="7">
        <f>(N3*N5)*0.95</f>
        <v>0</v>
      </c>
      <c r="O75" s="7">
        <v>0</v>
      </c>
      <c r="P75" s="7">
        <v>0</v>
      </c>
      <c r="Q75" s="7">
        <v>0</v>
      </c>
      <c r="R75" s="7">
        <f t="shared" ref="R75:R85" si="150">SUM(N75:Q75)</f>
        <v>0</v>
      </c>
      <c r="T75" s="7">
        <f>(T3*T5)*0.95</f>
        <v>0</v>
      </c>
      <c r="U75" s="7">
        <v>0</v>
      </c>
      <c r="V75" s="7">
        <v>0</v>
      </c>
      <c r="W75" s="7">
        <v>0</v>
      </c>
      <c r="X75" s="7">
        <f t="shared" ref="X75:X85" si="151">SUM(T75:W75)</f>
        <v>0</v>
      </c>
      <c r="Z75" s="7">
        <f>(Z3*Z5)*0.95</f>
        <v>0</v>
      </c>
      <c r="AA75" s="7">
        <v>0</v>
      </c>
      <c r="AB75" s="7">
        <v>0</v>
      </c>
      <c r="AC75" s="7">
        <v>0</v>
      </c>
      <c r="AD75" s="7">
        <f t="shared" ref="AD75:AD85" si="152">SUM(Z75:AC75)</f>
        <v>0</v>
      </c>
      <c r="AF75" s="7">
        <f>(AF3*AF5)*0.95</f>
        <v>0</v>
      </c>
      <c r="AG75" s="7">
        <v>0</v>
      </c>
      <c r="AH75" s="7">
        <v>0</v>
      </c>
      <c r="AI75" s="7">
        <v>0</v>
      </c>
      <c r="AJ75" s="7">
        <f t="shared" si="143"/>
        <v>0</v>
      </c>
      <c r="AL75" s="7">
        <f>(AL3*AL5)*0.95</f>
        <v>0</v>
      </c>
      <c r="AM75" s="7">
        <v>0</v>
      </c>
      <c r="AN75" s="7">
        <v>0</v>
      </c>
      <c r="AO75" s="7">
        <v>0</v>
      </c>
      <c r="AP75" s="7">
        <f t="shared" ref="AP75:AP85" si="153">SUM(AL75:AO75)</f>
        <v>0</v>
      </c>
      <c r="AR75" s="7">
        <f>(AR3*AR5)*0.95</f>
        <v>0</v>
      </c>
      <c r="AS75" s="7">
        <v>0</v>
      </c>
      <c r="AT75" s="7">
        <v>0</v>
      </c>
      <c r="AU75" s="7">
        <v>15000</v>
      </c>
      <c r="AV75" s="7">
        <f t="shared" ref="AV75:AV98" si="154">SUM(AR75:AU75)</f>
        <v>15000</v>
      </c>
      <c r="AX75" s="7">
        <f t="shared" ref="AX75:AX85" si="155">B75+H75+N75+T75+Z75+AF75+AL75+AR75</f>
        <v>0</v>
      </c>
      <c r="AY75" s="7">
        <f t="shared" si="146"/>
        <v>0</v>
      </c>
      <c r="AZ75" s="7">
        <f t="shared" si="146"/>
        <v>0</v>
      </c>
      <c r="BA75" s="7">
        <f t="shared" si="146"/>
        <v>15000</v>
      </c>
      <c r="BB75" s="7">
        <f t="shared" si="147"/>
        <v>15000</v>
      </c>
    </row>
    <row r="76" spans="1:54" x14ac:dyDescent="0.25">
      <c r="A76" s="62" t="s">
        <v>71</v>
      </c>
      <c r="B76" s="7">
        <f>($C$19*B25)*3.15*180</f>
        <v>0</v>
      </c>
      <c r="C76" s="7">
        <f t="shared" ref="C76" si="156">($C$19*C25)*3.15*180</f>
        <v>0</v>
      </c>
      <c r="D76" s="7"/>
      <c r="E76" s="7">
        <f>((B19*E25)*3.5)*180</f>
        <v>224078.40000000002</v>
      </c>
      <c r="F76" s="7">
        <f t="shared" si="148"/>
        <v>224078.40000000002</v>
      </c>
      <c r="H76" s="7">
        <f>($C$19*H25)*3.15*180</f>
        <v>0</v>
      </c>
      <c r="I76" s="7">
        <f t="shared" ref="I76" si="157">($C$19*I25)*3.15*180</f>
        <v>0</v>
      </c>
      <c r="J76" s="7"/>
      <c r="K76" s="7">
        <f>((H19*K25)*3.5)*180</f>
        <v>618408</v>
      </c>
      <c r="L76" s="7">
        <f t="shared" si="149"/>
        <v>618408</v>
      </c>
      <c r="N76" s="7">
        <f>($C$19*N25)*3.15*180</f>
        <v>0</v>
      </c>
      <c r="O76" s="7">
        <f t="shared" ref="O76" si="158">($C$19*O25)*3.15*180</f>
        <v>0</v>
      </c>
      <c r="P76" s="7"/>
      <c r="Q76" s="7">
        <f>((N19*Q25)*3.5)*180</f>
        <v>192024</v>
      </c>
      <c r="R76" s="7">
        <f t="shared" si="150"/>
        <v>192024</v>
      </c>
      <c r="T76" s="7">
        <f>($C$19*T25)*3.15*180</f>
        <v>0</v>
      </c>
      <c r="U76" s="7">
        <f t="shared" ref="U76" si="159">($C$19*U25)*3.15*180</f>
        <v>0</v>
      </c>
      <c r="V76" s="7"/>
      <c r="W76" s="7">
        <f>((T19*W25)*3.5)*180</f>
        <v>114817.5</v>
      </c>
      <c r="X76" s="7">
        <f t="shared" si="151"/>
        <v>114817.5</v>
      </c>
      <c r="Z76" s="7">
        <f>($C$19*Z25)*3.15*180</f>
        <v>0</v>
      </c>
      <c r="AA76" s="7">
        <f t="shared" ref="AA76" si="160">($C$19*AA25)*3.15*180</f>
        <v>0</v>
      </c>
      <c r="AB76" s="7"/>
      <c r="AC76" s="7">
        <f>((Z19*AC25)*3.5)*180</f>
        <v>367264.79999999993</v>
      </c>
      <c r="AD76" s="7">
        <f t="shared" si="152"/>
        <v>367264.79999999993</v>
      </c>
      <c r="AF76" s="7">
        <f>($C$19*AF25)*3.15*180</f>
        <v>0</v>
      </c>
      <c r="AG76" s="7">
        <f t="shared" ref="AG76" si="161">($C$19*AG25)*3.15*180</f>
        <v>0</v>
      </c>
      <c r="AH76" s="7"/>
      <c r="AI76" s="357">
        <f>((AF19*AI25)*3.95)*180</f>
        <v>491443.20000000007</v>
      </c>
      <c r="AJ76" s="7">
        <f t="shared" si="143"/>
        <v>491443.20000000007</v>
      </c>
      <c r="AL76" s="7">
        <f>($C$19*AL25)*3.15*180</f>
        <v>0</v>
      </c>
      <c r="AM76" s="7">
        <f t="shared" ref="AM76" si="162">($C$19*AM25)*3.15*180</f>
        <v>0</v>
      </c>
      <c r="AN76" s="7"/>
      <c r="AO76" s="7">
        <f>((AL19*AO25)*3.5)*180</f>
        <v>0</v>
      </c>
      <c r="AP76" s="7">
        <f t="shared" si="153"/>
        <v>0</v>
      </c>
      <c r="AR76" s="7">
        <f>($C$19*AR25)*3.15*180</f>
        <v>0</v>
      </c>
      <c r="AS76" s="7">
        <f t="shared" ref="AS76" si="163">($C$19*AS25)*3.15*180</f>
        <v>0</v>
      </c>
      <c r="AT76" s="7"/>
      <c r="AU76" s="7">
        <f>(AR19*AU25)*3.3*180</f>
        <v>92663.999999999985</v>
      </c>
      <c r="AV76" s="7">
        <f t="shared" si="154"/>
        <v>92663.999999999985</v>
      </c>
      <c r="AX76" s="7">
        <f t="shared" si="155"/>
        <v>0</v>
      </c>
      <c r="AY76" s="7">
        <f t="shared" si="146"/>
        <v>0</v>
      </c>
      <c r="AZ76" s="7">
        <f t="shared" si="146"/>
        <v>0</v>
      </c>
      <c r="BA76" s="7">
        <f t="shared" si="146"/>
        <v>2100699.9</v>
      </c>
      <c r="BB76" s="7">
        <f t="shared" si="147"/>
        <v>2100699.9</v>
      </c>
    </row>
    <row r="77" spans="1:54" x14ac:dyDescent="0.25">
      <c r="A77" s="62" t="s">
        <v>72</v>
      </c>
      <c r="B77" s="7">
        <f>950*B22</f>
        <v>0</v>
      </c>
      <c r="C77" s="7">
        <f t="shared" ref="C77" si="164">950*C22</f>
        <v>0</v>
      </c>
      <c r="D77" s="7">
        <f>950*D22</f>
        <v>95942.602892102339</v>
      </c>
      <c r="E77" s="7">
        <v>0</v>
      </c>
      <c r="F77" s="7">
        <f t="shared" si="148"/>
        <v>95942.602892102339</v>
      </c>
      <c r="H77" s="7">
        <f>950*H22</f>
        <v>0</v>
      </c>
      <c r="I77" s="7">
        <f t="shared" ref="I77" si="165">950*I22</f>
        <v>0</v>
      </c>
      <c r="J77" s="7">
        <f>950*J22</f>
        <v>296087.56684491981</v>
      </c>
      <c r="K77" s="7">
        <v>0</v>
      </c>
      <c r="L77" s="7">
        <f t="shared" si="149"/>
        <v>296087.56684491981</v>
      </c>
      <c r="N77" s="7">
        <f>950*N22</f>
        <v>0</v>
      </c>
      <c r="O77" s="7">
        <f t="shared" ref="O77" si="166">950*O22</f>
        <v>0</v>
      </c>
      <c r="P77" s="7">
        <f>950*P22</f>
        <v>70300</v>
      </c>
      <c r="Q77" s="7">
        <v>0</v>
      </c>
      <c r="R77" s="7">
        <f t="shared" si="150"/>
        <v>70300</v>
      </c>
      <c r="T77" s="7">
        <f>950*T22</f>
        <v>0</v>
      </c>
      <c r="U77" s="7">
        <f t="shared" ref="U77" si="167">950*U22</f>
        <v>0</v>
      </c>
      <c r="V77" s="7">
        <f>950*V22</f>
        <v>103969.14095079232</v>
      </c>
      <c r="W77" s="7">
        <v>0</v>
      </c>
      <c r="X77" s="7">
        <f t="shared" si="151"/>
        <v>103969.14095079232</v>
      </c>
      <c r="Z77" s="7">
        <f>950*Z22</f>
        <v>0</v>
      </c>
      <c r="AA77" s="7">
        <f t="shared" ref="AA77" si="168">950*AA22</f>
        <v>0</v>
      </c>
      <c r="AB77" s="7">
        <f>950*AB22</f>
        <v>188799.54545454547</v>
      </c>
      <c r="AC77" s="7">
        <v>0</v>
      </c>
      <c r="AD77" s="7">
        <f t="shared" si="152"/>
        <v>188799.54545454547</v>
      </c>
      <c r="AF77" s="7">
        <f>950*AF22</f>
        <v>0</v>
      </c>
      <c r="AG77" s="7">
        <f t="shared" ref="AG77" si="169">950*AG22</f>
        <v>0</v>
      </c>
      <c r="AH77" s="7">
        <f>950*AH22</f>
        <v>109439.99999999999</v>
      </c>
      <c r="AI77" s="7">
        <v>0</v>
      </c>
      <c r="AJ77" s="7">
        <f t="shared" si="143"/>
        <v>109439.99999999999</v>
      </c>
      <c r="AL77" s="7">
        <f>950*AL22</f>
        <v>0</v>
      </c>
      <c r="AM77" s="7">
        <f t="shared" ref="AM77" si="170">950*AM22</f>
        <v>0</v>
      </c>
      <c r="AN77" s="7">
        <f>950*AN22</f>
        <v>0</v>
      </c>
      <c r="AO77" s="7">
        <v>0</v>
      </c>
      <c r="AP77" s="7">
        <f t="shared" si="153"/>
        <v>0</v>
      </c>
      <c r="AR77" s="7">
        <f>950*AR22</f>
        <v>0</v>
      </c>
      <c r="AS77" s="7">
        <f t="shared" ref="AS77" si="171">950*AS22</f>
        <v>0</v>
      </c>
      <c r="AT77" s="7">
        <f>950*AT22</f>
        <v>30400</v>
      </c>
      <c r="AU77" s="7">
        <v>0</v>
      </c>
      <c r="AV77" s="7">
        <f t="shared" si="154"/>
        <v>30400</v>
      </c>
      <c r="AX77" s="7">
        <f t="shared" si="155"/>
        <v>0</v>
      </c>
      <c r="AY77" s="7">
        <f t="shared" si="146"/>
        <v>0</v>
      </c>
      <c r="AZ77" s="7">
        <f t="shared" si="146"/>
        <v>894938.85614236002</v>
      </c>
      <c r="BA77" s="7">
        <f t="shared" si="146"/>
        <v>0</v>
      </c>
      <c r="BB77" s="7">
        <f t="shared" si="147"/>
        <v>894938.85614236002</v>
      </c>
    </row>
    <row r="78" spans="1:54" x14ac:dyDescent="0.25">
      <c r="A78" s="141" t="s">
        <v>73</v>
      </c>
      <c r="B78" s="37">
        <f>3200*B22</f>
        <v>0</v>
      </c>
      <c r="C78" s="37">
        <f t="shared" ref="C78" si="172">3200*C22</f>
        <v>0</v>
      </c>
      <c r="D78" s="37">
        <f>2600*D22</f>
        <v>262579.7552836485</v>
      </c>
      <c r="E78" s="7">
        <v>0</v>
      </c>
      <c r="F78" s="7">
        <f t="shared" si="148"/>
        <v>262579.7552836485</v>
      </c>
      <c r="H78" s="37">
        <f>3200*H22</f>
        <v>0</v>
      </c>
      <c r="I78" s="37">
        <f t="shared" ref="I78" si="173">3200*I22</f>
        <v>0</v>
      </c>
      <c r="J78" s="225">
        <f>2550*J22</f>
        <v>794761.36363636365</v>
      </c>
      <c r="K78" s="7">
        <v>0</v>
      </c>
      <c r="L78" s="7">
        <f t="shared" si="149"/>
        <v>794761.36363636365</v>
      </c>
      <c r="N78" s="37">
        <f>3200*N22</f>
        <v>0</v>
      </c>
      <c r="O78" s="37">
        <f t="shared" ref="O78" si="174">3200*O22</f>
        <v>0</v>
      </c>
      <c r="P78" s="225">
        <f>2550*P22</f>
        <v>188700</v>
      </c>
      <c r="Q78" s="7">
        <v>0</v>
      </c>
      <c r="R78" s="7">
        <f t="shared" si="150"/>
        <v>188700</v>
      </c>
      <c r="T78" s="37">
        <f>3200*T22</f>
        <v>0</v>
      </c>
      <c r="U78" s="37">
        <f t="shared" ref="U78" si="175">3200*U22</f>
        <v>0</v>
      </c>
      <c r="V78" s="225">
        <f>2550*V22</f>
        <v>279075.06255212676</v>
      </c>
      <c r="W78" s="7">
        <v>0</v>
      </c>
      <c r="X78" s="7">
        <f t="shared" si="151"/>
        <v>279075.06255212676</v>
      </c>
      <c r="Z78" s="37">
        <f>3200*Z22</f>
        <v>0</v>
      </c>
      <c r="AA78" s="37">
        <f t="shared" ref="AA78" si="176">3200*AA22</f>
        <v>0</v>
      </c>
      <c r="AB78" s="225">
        <f>2550*AB22</f>
        <v>506777.72727272729</v>
      </c>
      <c r="AC78" s="7">
        <v>0</v>
      </c>
      <c r="AD78" s="7">
        <f t="shared" si="152"/>
        <v>506777.72727272729</v>
      </c>
      <c r="AF78" s="37">
        <f>3200*AF22</f>
        <v>0</v>
      </c>
      <c r="AG78" s="37">
        <f t="shared" ref="AG78" si="177">3200*AG22</f>
        <v>0</v>
      </c>
      <c r="AH78" s="225">
        <f>2550*AH22</f>
        <v>293760</v>
      </c>
      <c r="AI78" s="7">
        <v>0</v>
      </c>
      <c r="AJ78" s="7">
        <f t="shared" si="143"/>
        <v>293760</v>
      </c>
      <c r="AL78" s="37">
        <f>3200*AL22</f>
        <v>0</v>
      </c>
      <c r="AM78" s="37">
        <f t="shared" ref="AM78" si="178">3200*AM22</f>
        <v>0</v>
      </c>
      <c r="AN78" s="37">
        <f>2600*AN22</f>
        <v>0</v>
      </c>
      <c r="AO78" s="7">
        <v>0</v>
      </c>
      <c r="AP78" s="7">
        <f t="shared" si="153"/>
        <v>0</v>
      </c>
      <c r="AR78" s="37">
        <f>3200*AR22</f>
        <v>0</v>
      </c>
      <c r="AS78" s="37">
        <f t="shared" ref="AS78" si="179">3200*AS22</f>
        <v>0</v>
      </c>
      <c r="AT78" s="37">
        <f>2350*AT22</f>
        <v>75200</v>
      </c>
      <c r="AU78" s="7">
        <v>0</v>
      </c>
      <c r="AV78" s="7">
        <f t="shared" si="154"/>
        <v>75200</v>
      </c>
      <c r="AX78" s="7">
        <f t="shared" si="155"/>
        <v>0</v>
      </c>
      <c r="AY78" s="7">
        <f t="shared" si="146"/>
        <v>0</v>
      </c>
      <c r="AZ78" s="7">
        <f t="shared" si="146"/>
        <v>2400853.908744866</v>
      </c>
      <c r="BA78" s="7">
        <f t="shared" si="146"/>
        <v>0</v>
      </c>
      <c r="BB78" s="7">
        <f t="shared" si="147"/>
        <v>2400853.908744866</v>
      </c>
    </row>
    <row r="79" spans="1:54" x14ac:dyDescent="0.25">
      <c r="A79" s="62" t="s">
        <v>74</v>
      </c>
      <c r="B79" s="37">
        <f>1400*B23</f>
        <v>0</v>
      </c>
      <c r="C79" s="37">
        <f>1635*C23</f>
        <v>25534.371523915463</v>
      </c>
      <c r="D79" s="37">
        <v>0</v>
      </c>
      <c r="E79" s="7">
        <v>0</v>
      </c>
      <c r="F79" s="7">
        <f t="shared" ref="F79:F81" si="180">SUM(B79:E79)</f>
        <v>25534.371523915463</v>
      </c>
      <c r="H79" s="37">
        <f>1400*H23</f>
        <v>0</v>
      </c>
      <c r="I79" s="37">
        <f>1635*I23</f>
        <v>59004.26470588235</v>
      </c>
      <c r="J79" s="37">
        <v>0</v>
      </c>
      <c r="K79" s="7">
        <v>0</v>
      </c>
      <c r="L79" s="7">
        <f t="shared" ref="L79:L81" si="181">SUM(H79:K79)</f>
        <v>59004.26470588235</v>
      </c>
      <c r="N79" s="37">
        <f>1400*N23</f>
        <v>0</v>
      </c>
      <c r="O79" s="37">
        <f>1635*O23</f>
        <v>29430</v>
      </c>
      <c r="P79" s="37">
        <v>0</v>
      </c>
      <c r="Q79" s="7">
        <v>0</v>
      </c>
      <c r="R79" s="7">
        <f t="shared" ref="R79:R81" si="182">SUM(N79:Q79)</f>
        <v>29430</v>
      </c>
      <c r="T79" s="37">
        <f>1400*T23</f>
        <v>0</v>
      </c>
      <c r="U79" s="37">
        <f>1635*U23</f>
        <v>13254.545454545456</v>
      </c>
      <c r="V79" s="37">
        <v>0</v>
      </c>
      <c r="W79" s="7">
        <v>0</v>
      </c>
      <c r="X79" s="7">
        <f t="shared" ref="X79:X81" si="183">SUM(T79:W79)</f>
        <v>13254.545454545456</v>
      </c>
      <c r="Z79" s="37">
        <f>1400*Z23</f>
        <v>0</v>
      </c>
      <c r="AA79" s="37">
        <f>1635*AA23</f>
        <v>43704.566985645928</v>
      </c>
      <c r="AB79" s="37">
        <v>0</v>
      </c>
      <c r="AC79" s="7">
        <v>0</v>
      </c>
      <c r="AD79" s="7">
        <f t="shared" ref="AD79:AD81" si="184">SUM(Z79:AC79)</f>
        <v>43704.566985645928</v>
      </c>
      <c r="AF79" s="37">
        <f>1400*AF23</f>
        <v>0</v>
      </c>
      <c r="AG79" s="37">
        <f>1635*AG23</f>
        <v>455183.99999999994</v>
      </c>
      <c r="AH79" s="37">
        <v>0</v>
      </c>
      <c r="AI79" s="7">
        <v>0</v>
      </c>
      <c r="AJ79" s="7">
        <f t="shared" si="143"/>
        <v>455183.99999999994</v>
      </c>
      <c r="AL79" s="37">
        <f>1400*AL23</f>
        <v>0</v>
      </c>
      <c r="AM79" s="37">
        <f>1669*AM23</f>
        <v>0</v>
      </c>
      <c r="AN79" s="37">
        <v>0</v>
      </c>
      <c r="AO79" s="7">
        <v>0</v>
      </c>
      <c r="AP79" s="7">
        <f t="shared" ref="AP79:AP81" si="185">SUM(AL79:AO79)</f>
        <v>0</v>
      </c>
      <c r="AR79" s="37">
        <f>1400*AR23</f>
        <v>0</v>
      </c>
      <c r="AS79" s="37">
        <f>1635*AS23</f>
        <v>0</v>
      </c>
      <c r="AT79" s="37">
        <v>0</v>
      </c>
      <c r="AU79" s="7">
        <v>0</v>
      </c>
      <c r="AV79" s="7">
        <f t="shared" ref="AV79:AV81" si="186">SUM(AR79:AU79)</f>
        <v>0</v>
      </c>
      <c r="AX79" s="7">
        <f t="shared" si="155"/>
        <v>0</v>
      </c>
      <c r="AY79" s="7">
        <f t="shared" si="146"/>
        <v>626111.74866998917</v>
      </c>
      <c r="AZ79" s="7">
        <f t="shared" si="146"/>
        <v>0</v>
      </c>
      <c r="BA79" s="7">
        <f t="shared" si="146"/>
        <v>0</v>
      </c>
      <c r="BB79" s="7">
        <f t="shared" si="147"/>
        <v>626111.74866998917</v>
      </c>
    </row>
    <row r="80" spans="1:54" x14ac:dyDescent="0.25">
      <c r="A80" s="62" t="s">
        <v>75</v>
      </c>
      <c r="B80" s="7">
        <f>830*B24</f>
        <v>0</v>
      </c>
      <c r="C80" s="7">
        <f>848*C24</f>
        <v>38847.644048943272</v>
      </c>
      <c r="D80" s="37">
        <v>0</v>
      </c>
      <c r="E80" s="7">
        <v>0</v>
      </c>
      <c r="F80" s="7">
        <f t="shared" si="180"/>
        <v>38847.644048943272</v>
      </c>
      <c r="H80" s="7">
        <f>830*H24</f>
        <v>0</v>
      </c>
      <c r="I80" s="7">
        <f>848*I24</f>
        <v>48222.631016042782</v>
      </c>
      <c r="J80" s="37">
        <v>0</v>
      </c>
      <c r="K80" s="7">
        <v>0</v>
      </c>
      <c r="L80" s="7">
        <f t="shared" si="181"/>
        <v>48222.631016042782</v>
      </c>
      <c r="N80" s="7">
        <f>830*N24</f>
        <v>0</v>
      </c>
      <c r="O80" s="7">
        <f>848*O24</f>
        <v>39008</v>
      </c>
      <c r="P80" s="37">
        <v>0</v>
      </c>
      <c r="Q80" s="7">
        <v>0</v>
      </c>
      <c r="R80" s="7">
        <f t="shared" si="182"/>
        <v>39008</v>
      </c>
      <c r="T80" s="7">
        <f>830*T24</f>
        <v>0</v>
      </c>
      <c r="U80" s="7">
        <f>848*U24</f>
        <v>66167.339449541279</v>
      </c>
      <c r="V80" s="37">
        <v>0</v>
      </c>
      <c r="W80" s="7">
        <v>0</v>
      </c>
      <c r="X80" s="7">
        <f t="shared" si="183"/>
        <v>66167.339449541279</v>
      </c>
      <c r="Z80" s="7">
        <f>830*Z24</f>
        <v>0</v>
      </c>
      <c r="AA80" s="7">
        <f>848*AA24</f>
        <v>63074.970334928221</v>
      </c>
      <c r="AB80" s="37">
        <v>0</v>
      </c>
      <c r="AC80" s="7">
        <v>0</v>
      </c>
      <c r="AD80" s="7">
        <f t="shared" si="184"/>
        <v>63074.970334928221</v>
      </c>
      <c r="AF80" s="7">
        <f>830*AF24</f>
        <v>0</v>
      </c>
      <c r="AG80" s="7">
        <f>848*AG24</f>
        <v>20352</v>
      </c>
      <c r="AH80" s="37">
        <v>0</v>
      </c>
      <c r="AI80" s="7">
        <v>0</v>
      </c>
      <c r="AJ80" s="7">
        <f t="shared" si="143"/>
        <v>20352</v>
      </c>
      <c r="AL80" s="7">
        <f>830*AL24</f>
        <v>0</v>
      </c>
      <c r="AM80" s="7">
        <f>862*AM24</f>
        <v>0</v>
      </c>
      <c r="AN80" s="37">
        <v>0</v>
      </c>
      <c r="AO80" s="7">
        <v>0</v>
      </c>
      <c r="AP80" s="7">
        <f t="shared" si="185"/>
        <v>0</v>
      </c>
      <c r="AR80" s="7">
        <f>830*AR24</f>
        <v>0</v>
      </c>
      <c r="AS80" s="7">
        <f>848*AS24</f>
        <v>0</v>
      </c>
      <c r="AT80" s="37">
        <v>0</v>
      </c>
      <c r="AU80" s="7">
        <v>0</v>
      </c>
      <c r="AV80" s="7">
        <f t="shared" si="186"/>
        <v>0</v>
      </c>
      <c r="AX80" s="7">
        <f t="shared" si="155"/>
        <v>0</v>
      </c>
      <c r="AY80" s="7">
        <f t="shared" si="146"/>
        <v>275672.58484945551</v>
      </c>
      <c r="AZ80" s="7">
        <f t="shared" si="146"/>
        <v>0</v>
      </c>
      <c r="BA80" s="7">
        <f t="shared" si="146"/>
        <v>0</v>
      </c>
      <c r="BB80" s="7">
        <f t="shared" si="147"/>
        <v>275672.58484945551</v>
      </c>
    </row>
    <row r="81" spans="1:54" x14ac:dyDescent="0.25">
      <c r="A81" s="62" t="s">
        <v>76</v>
      </c>
      <c r="B81" s="7">
        <f>240*B26</f>
        <v>0</v>
      </c>
      <c r="C81" s="7">
        <f>C26*241</f>
        <v>58213.161290322576</v>
      </c>
      <c r="D81" s="37">
        <v>0</v>
      </c>
      <c r="E81" s="7">
        <v>0</v>
      </c>
      <c r="F81" s="7">
        <f t="shared" si="180"/>
        <v>58213.161290322576</v>
      </c>
      <c r="H81" s="7">
        <f>240*H26</f>
        <v>0</v>
      </c>
      <c r="I81" s="7">
        <f>I26*241</f>
        <v>136257.14705882352</v>
      </c>
      <c r="J81" s="37">
        <v>0</v>
      </c>
      <c r="K81" s="7">
        <v>0</v>
      </c>
      <c r="L81" s="7">
        <f t="shared" si="181"/>
        <v>136257.14705882352</v>
      </c>
      <c r="N81" s="7">
        <f>240*N26</f>
        <v>0</v>
      </c>
      <c r="O81" s="7">
        <f>O26*241</f>
        <v>58081</v>
      </c>
      <c r="P81" s="37">
        <v>0</v>
      </c>
      <c r="Q81" s="7">
        <v>0</v>
      </c>
      <c r="R81" s="7">
        <f t="shared" si="182"/>
        <v>58081</v>
      </c>
      <c r="T81" s="7">
        <f>240*T26</f>
        <v>0</v>
      </c>
      <c r="U81" s="7">
        <f>U26*241</f>
        <v>31992.297748123437</v>
      </c>
      <c r="V81" s="37">
        <v>0</v>
      </c>
      <c r="W81" s="7">
        <v>0</v>
      </c>
      <c r="X81" s="7">
        <f t="shared" si="183"/>
        <v>31992.297748123437</v>
      </c>
      <c r="Z81" s="7">
        <f>240*Z26</f>
        <v>0</v>
      </c>
      <c r="AA81" s="7">
        <f>AA26*241</f>
        <v>68622.155502392328</v>
      </c>
      <c r="AB81" s="37">
        <v>0</v>
      </c>
      <c r="AC81" s="7">
        <v>0</v>
      </c>
      <c r="AD81" s="7">
        <f t="shared" si="184"/>
        <v>68622.155502392328</v>
      </c>
      <c r="AF81" s="7">
        <f>240*AF26</f>
        <v>0</v>
      </c>
      <c r="AG81" s="7">
        <f>AG26*241</f>
        <v>57492.959999999999</v>
      </c>
      <c r="AH81" s="37">
        <v>0</v>
      </c>
      <c r="AI81" s="7">
        <v>0</v>
      </c>
      <c r="AJ81" s="7">
        <f t="shared" si="143"/>
        <v>57492.959999999999</v>
      </c>
      <c r="AL81" s="7">
        <f>240*AL26</f>
        <v>0</v>
      </c>
      <c r="AM81" s="7">
        <f>AM26*247</f>
        <v>0</v>
      </c>
      <c r="AN81" s="37">
        <v>0</v>
      </c>
      <c r="AO81" s="7">
        <v>0</v>
      </c>
      <c r="AP81" s="7">
        <f t="shared" si="185"/>
        <v>0</v>
      </c>
      <c r="AR81" s="7">
        <f>240*AR26</f>
        <v>0</v>
      </c>
      <c r="AS81" s="7">
        <f>AS26*241</f>
        <v>30848</v>
      </c>
      <c r="AT81" s="37">
        <v>0</v>
      </c>
      <c r="AU81" s="7">
        <v>0</v>
      </c>
      <c r="AV81" s="7">
        <f t="shared" si="186"/>
        <v>30848</v>
      </c>
      <c r="AX81" s="7">
        <f t="shared" si="155"/>
        <v>0</v>
      </c>
      <c r="AY81" s="7">
        <f t="shared" si="146"/>
        <v>441506.72159966186</v>
      </c>
      <c r="AZ81" s="7">
        <f t="shared" si="146"/>
        <v>0</v>
      </c>
      <c r="BA81" s="7">
        <f t="shared" si="146"/>
        <v>0</v>
      </c>
      <c r="BB81" s="7">
        <f t="shared" si="147"/>
        <v>441506.72159966186</v>
      </c>
    </row>
    <row r="82" spans="1:54" x14ac:dyDescent="0.25">
      <c r="A82" s="62" t="s">
        <v>247</v>
      </c>
      <c r="B82" s="7"/>
      <c r="C82" s="7">
        <v>0</v>
      </c>
      <c r="D82" s="37">
        <v>0</v>
      </c>
      <c r="E82" s="7">
        <v>0</v>
      </c>
      <c r="F82" s="7">
        <f t="shared" si="148"/>
        <v>0</v>
      </c>
      <c r="H82" s="7">
        <f>AV155</f>
        <v>468000</v>
      </c>
      <c r="I82" s="7">
        <v>0</v>
      </c>
      <c r="J82" s="37">
        <v>0</v>
      </c>
      <c r="K82" s="7">
        <v>0</v>
      </c>
      <c r="L82" s="7">
        <f t="shared" si="149"/>
        <v>468000</v>
      </c>
      <c r="N82" s="7">
        <v>0</v>
      </c>
      <c r="O82" s="7">
        <v>0</v>
      </c>
      <c r="P82" s="37">
        <v>0</v>
      </c>
      <c r="Q82" s="7">
        <v>0</v>
      </c>
      <c r="R82" s="7">
        <f t="shared" si="150"/>
        <v>0</v>
      </c>
      <c r="T82" s="7">
        <v>0</v>
      </c>
      <c r="U82" s="7">
        <v>0</v>
      </c>
      <c r="V82" s="37">
        <v>0</v>
      </c>
      <c r="W82" s="7">
        <v>0</v>
      </c>
      <c r="X82" s="7">
        <f t="shared" si="151"/>
        <v>0</v>
      </c>
      <c r="Z82" s="7">
        <v>0</v>
      </c>
      <c r="AA82" s="7">
        <v>0</v>
      </c>
      <c r="AB82" s="37">
        <v>0</v>
      </c>
      <c r="AC82" s="7">
        <v>0</v>
      </c>
      <c r="AD82" s="7">
        <f t="shared" si="152"/>
        <v>0</v>
      </c>
      <c r="AF82" s="7">
        <v>0</v>
      </c>
      <c r="AG82" s="7">
        <v>0</v>
      </c>
      <c r="AH82" s="37">
        <v>0</v>
      </c>
      <c r="AI82" s="7">
        <v>0</v>
      </c>
      <c r="AJ82" s="7">
        <f t="shared" si="143"/>
        <v>0</v>
      </c>
      <c r="AL82" s="7">
        <v>0</v>
      </c>
      <c r="AM82" s="7">
        <v>0</v>
      </c>
      <c r="AN82" s="37">
        <v>0</v>
      </c>
      <c r="AO82" s="7">
        <v>0</v>
      </c>
      <c r="AP82" s="7">
        <f t="shared" si="153"/>
        <v>0</v>
      </c>
      <c r="AR82" s="7"/>
      <c r="AS82" s="7">
        <v>0</v>
      </c>
      <c r="AT82" s="37">
        <v>0</v>
      </c>
      <c r="AU82" s="7">
        <v>0</v>
      </c>
      <c r="AV82" s="7">
        <f t="shared" si="154"/>
        <v>0</v>
      </c>
      <c r="AX82" s="7">
        <f t="shared" si="155"/>
        <v>468000</v>
      </c>
      <c r="AY82" s="7">
        <f t="shared" si="146"/>
        <v>0</v>
      </c>
      <c r="AZ82" s="7">
        <f t="shared" si="146"/>
        <v>0</v>
      </c>
      <c r="BA82" s="7">
        <f t="shared" si="146"/>
        <v>0</v>
      </c>
      <c r="BB82" s="7">
        <f t="shared" si="147"/>
        <v>468000</v>
      </c>
    </row>
    <row r="83" spans="1:54" x14ac:dyDescent="0.25">
      <c r="A83" s="154" t="s">
        <v>78</v>
      </c>
      <c r="B83" s="7">
        <v>0</v>
      </c>
      <c r="C83" s="7">
        <v>0</v>
      </c>
      <c r="D83" s="37">
        <v>0</v>
      </c>
      <c r="E83" s="7">
        <v>0</v>
      </c>
      <c r="F83" s="7">
        <f t="shared" si="148"/>
        <v>0</v>
      </c>
      <c r="H83" s="7">
        <v>0</v>
      </c>
      <c r="I83" s="7">
        <v>0</v>
      </c>
      <c r="J83" s="37">
        <v>0</v>
      </c>
      <c r="K83" s="7">
        <v>0</v>
      </c>
      <c r="L83" s="7">
        <f t="shared" si="149"/>
        <v>0</v>
      </c>
      <c r="N83" s="7">
        <v>0</v>
      </c>
      <c r="O83" s="7">
        <v>0</v>
      </c>
      <c r="P83" s="37">
        <v>0</v>
      </c>
      <c r="Q83" s="7">
        <v>0</v>
      </c>
      <c r="R83" s="7">
        <f t="shared" si="150"/>
        <v>0</v>
      </c>
      <c r="T83" s="7">
        <v>0</v>
      </c>
      <c r="U83" s="7">
        <v>0</v>
      </c>
      <c r="V83" s="37">
        <v>0</v>
      </c>
      <c r="W83" s="7">
        <v>0</v>
      </c>
      <c r="X83" s="7">
        <f t="shared" si="151"/>
        <v>0</v>
      </c>
      <c r="Z83" s="7">
        <v>0</v>
      </c>
      <c r="AA83" s="7">
        <v>0</v>
      </c>
      <c r="AB83" s="37">
        <v>0</v>
      </c>
      <c r="AC83" s="7">
        <v>0</v>
      </c>
      <c r="AD83" s="7">
        <f t="shared" si="152"/>
        <v>0</v>
      </c>
      <c r="AF83" s="7">
        <v>0</v>
      </c>
      <c r="AG83" s="7">
        <v>0</v>
      </c>
      <c r="AH83" s="37">
        <v>0</v>
      </c>
      <c r="AI83" s="7">
        <v>0</v>
      </c>
      <c r="AJ83" s="7">
        <f t="shared" si="143"/>
        <v>0</v>
      </c>
      <c r="AL83" s="7">
        <v>0</v>
      </c>
      <c r="AM83" s="7">
        <v>0</v>
      </c>
      <c r="AN83" s="37">
        <v>0</v>
      </c>
      <c r="AO83" s="7">
        <v>0</v>
      </c>
      <c r="AP83" s="7">
        <f t="shared" si="153"/>
        <v>0</v>
      </c>
      <c r="AR83" s="7">
        <v>0</v>
      </c>
      <c r="AS83" s="7">
        <v>0</v>
      </c>
      <c r="AT83" s="37">
        <v>0</v>
      </c>
      <c r="AU83" s="7">
        <v>0</v>
      </c>
      <c r="AV83" s="7">
        <f t="shared" si="154"/>
        <v>0</v>
      </c>
      <c r="AX83" s="7">
        <f t="shared" si="155"/>
        <v>0</v>
      </c>
      <c r="AY83" s="7">
        <f t="shared" si="146"/>
        <v>0</v>
      </c>
      <c r="AZ83" s="7">
        <f t="shared" si="146"/>
        <v>0</v>
      </c>
      <c r="BA83" s="7">
        <f t="shared" si="146"/>
        <v>0</v>
      </c>
      <c r="BB83" s="7">
        <f t="shared" si="147"/>
        <v>0</v>
      </c>
    </row>
    <row r="84" spans="1:54" x14ac:dyDescent="0.25">
      <c r="A84" s="62" t="s">
        <v>77</v>
      </c>
      <c r="B84" s="7"/>
      <c r="C84" s="7">
        <v>0</v>
      </c>
      <c r="D84" s="37">
        <v>0</v>
      </c>
      <c r="E84" s="7">
        <v>0</v>
      </c>
      <c r="F84" s="7">
        <f t="shared" si="148"/>
        <v>0</v>
      </c>
      <c r="H84" s="7"/>
      <c r="I84" s="7">
        <v>0</v>
      </c>
      <c r="J84" s="37">
        <v>0</v>
      </c>
      <c r="K84" s="7">
        <v>0</v>
      </c>
      <c r="L84" s="7">
        <f t="shared" si="149"/>
        <v>0</v>
      </c>
      <c r="N84" s="7"/>
      <c r="O84" s="7">
        <v>0</v>
      </c>
      <c r="P84" s="37">
        <v>0</v>
      </c>
      <c r="Q84" s="7">
        <v>0</v>
      </c>
      <c r="R84" s="7">
        <f t="shared" si="150"/>
        <v>0</v>
      </c>
      <c r="T84" s="7"/>
      <c r="U84" s="7">
        <v>0</v>
      </c>
      <c r="V84" s="37">
        <v>0</v>
      </c>
      <c r="W84" s="7">
        <v>0</v>
      </c>
      <c r="X84" s="7">
        <f t="shared" si="151"/>
        <v>0</v>
      </c>
      <c r="Z84" s="7"/>
      <c r="AA84" s="7">
        <v>0</v>
      </c>
      <c r="AB84" s="37">
        <v>0</v>
      </c>
      <c r="AC84" s="7">
        <v>0</v>
      </c>
      <c r="AD84" s="7">
        <f t="shared" si="152"/>
        <v>0</v>
      </c>
      <c r="AF84" s="7"/>
      <c r="AG84" s="7">
        <v>0</v>
      </c>
      <c r="AH84" s="37">
        <v>0</v>
      </c>
      <c r="AI84" s="7">
        <v>0</v>
      </c>
      <c r="AJ84" s="7">
        <f t="shared" si="143"/>
        <v>0</v>
      </c>
      <c r="AL84" s="7"/>
      <c r="AM84" s="7">
        <v>0</v>
      </c>
      <c r="AN84" s="37">
        <v>0</v>
      </c>
      <c r="AO84" s="7">
        <v>0</v>
      </c>
      <c r="AP84" s="7">
        <f t="shared" si="153"/>
        <v>0</v>
      </c>
      <c r="AR84" s="7"/>
      <c r="AS84" s="7">
        <v>0</v>
      </c>
      <c r="AT84" s="37">
        <v>0</v>
      </c>
      <c r="AU84" s="7">
        <v>0</v>
      </c>
      <c r="AV84" s="7">
        <f t="shared" si="154"/>
        <v>0</v>
      </c>
      <c r="AX84" s="7">
        <f t="shared" si="155"/>
        <v>0</v>
      </c>
      <c r="AY84" s="7">
        <f t="shared" si="146"/>
        <v>0</v>
      </c>
      <c r="AZ84" s="7">
        <f t="shared" si="146"/>
        <v>0</v>
      </c>
      <c r="BA84" s="7">
        <f t="shared" si="146"/>
        <v>0</v>
      </c>
      <c r="BB84" s="7">
        <f t="shared" si="147"/>
        <v>0</v>
      </c>
    </row>
    <row r="85" spans="1:54" ht="15.75" thickBot="1" x14ac:dyDescent="0.3">
      <c r="A85" s="65" t="s">
        <v>79</v>
      </c>
      <c r="B85" s="37">
        <f>B158</f>
        <v>14120</v>
      </c>
      <c r="C85" s="37">
        <f>C158</f>
        <v>720</v>
      </c>
      <c r="D85" s="37">
        <f>D158</f>
        <v>2160</v>
      </c>
      <c r="E85" s="37">
        <f>E158</f>
        <v>240</v>
      </c>
      <c r="F85" s="7">
        <f t="shared" si="148"/>
        <v>17240</v>
      </c>
      <c r="H85" s="37">
        <f>H158</f>
        <v>31760</v>
      </c>
      <c r="I85" s="37">
        <f>I158</f>
        <v>2880</v>
      </c>
      <c r="J85" s="37">
        <f>J158</f>
        <v>6960</v>
      </c>
      <c r="K85" s="37">
        <f>K158</f>
        <v>720</v>
      </c>
      <c r="L85" s="7">
        <f t="shared" si="149"/>
        <v>42320</v>
      </c>
      <c r="N85" s="37">
        <f>N158</f>
        <v>14960</v>
      </c>
      <c r="O85" s="37">
        <f>O158</f>
        <v>1200</v>
      </c>
      <c r="P85" s="37">
        <f>P158</f>
        <v>1999.2</v>
      </c>
      <c r="Q85" s="37">
        <f>Q158</f>
        <v>240</v>
      </c>
      <c r="R85" s="7">
        <f t="shared" si="150"/>
        <v>18399.2</v>
      </c>
      <c r="T85" s="37">
        <f>T158</f>
        <v>17960</v>
      </c>
      <c r="U85" s="37">
        <f>U158</f>
        <v>840</v>
      </c>
      <c r="V85" s="37">
        <f>V158</f>
        <v>3201.6</v>
      </c>
      <c r="W85" s="37">
        <f>W158</f>
        <v>240</v>
      </c>
      <c r="X85" s="7">
        <f t="shared" si="151"/>
        <v>22241.599999999999</v>
      </c>
      <c r="Z85" s="37">
        <f>Z158</f>
        <v>30080</v>
      </c>
      <c r="AA85" s="37">
        <f>AA158</f>
        <v>1320</v>
      </c>
      <c r="AB85" s="37">
        <f>AB158</f>
        <v>5479.2</v>
      </c>
      <c r="AC85" s="37">
        <f>AC158</f>
        <v>480</v>
      </c>
      <c r="AD85" s="7">
        <f t="shared" si="152"/>
        <v>37359.199999999997</v>
      </c>
      <c r="AF85" s="37">
        <f>AF158</f>
        <v>15320</v>
      </c>
      <c r="AG85" s="37">
        <f>AG158</f>
        <v>960</v>
      </c>
      <c r="AH85" s="37">
        <f>AH158</f>
        <v>2400</v>
      </c>
      <c r="AI85" s="37">
        <f>AI158</f>
        <v>240</v>
      </c>
      <c r="AJ85" s="7">
        <f t="shared" si="143"/>
        <v>18920</v>
      </c>
      <c r="AL85" s="37">
        <f>AL158</f>
        <v>2720</v>
      </c>
      <c r="AM85" s="37">
        <f>AM158</f>
        <v>120</v>
      </c>
      <c r="AN85" s="37">
        <f>AN158</f>
        <v>0</v>
      </c>
      <c r="AO85" s="7">
        <v>0</v>
      </c>
      <c r="AP85" s="7">
        <f t="shared" si="153"/>
        <v>2840</v>
      </c>
      <c r="AR85" s="37">
        <f>AR158</f>
        <v>2240</v>
      </c>
      <c r="AS85" s="37">
        <f>AS158</f>
        <v>0</v>
      </c>
      <c r="AT85" s="37">
        <f>AT158</f>
        <v>480</v>
      </c>
      <c r="AU85" s="7">
        <v>0</v>
      </c>
      <c r="AV85" s="7">
        <f t="shared" si="154"/>
        <v>2720</v>
      </c>
      <c r="AX85" s="7">
        <f t="shared" si="155"/>
        <v>129160</v>
      </c>
      <c r="AY85" s="7">
        <f t="shared" si="146"/>
        <v>8040</v>
      </c>
      <c r="AZ85" s="7">
        <f t="shared" si="146"/>
        <v>22680</v>
      </c>
      <c r="BA85" s="7">
        <f t="shared" si="146"/>
        <v>2160</v>
      </c>
      <c r="BB85" s="7">
        <f t="shared" si="147"/>
        <v>162040</v>
      </c>
    </row>
    <row r="86" spans="1:54" ht="15.75" thickBot="1" x14ac:dyDescent="0.3">
      <c r="A86" s="67" t="s">
        <v>80</v>
      </c>
      <c r="B86" s="68">
        <f>SUM(B74:B85)</f>
        <v>7202314.8955038907</v>
      </c>
      <c r="C86" s="68">
        <f>SUM(C74:C85)</f>
        <v>123315.17686318132</v>
      </c>
      <c r="D86" s="68">
        <f>SUM(D74:D85)</f>
        <v>360682.35817575082</v>
      </c>
      <c r="E86" s="68">
        <f t="shared" ref="E86:F86" si="187">SUM(E74:E85)</f>
        <v>224318.40000000002</v>
      </c>
      <c r="F86" s="68">
        <f t="shared" si="187"/>
        <v>7910630.8305428233</v>
      </c>
      <c r="H86" s="68">
        <f>SUM(H74:H85)</f>
        <v>19345732.514494177</v>
      </c>
      <c r="I86" s="68">
        <f>SUM(I74:I85)</f>
        <v>246364.04278074866</v>
      </c>
      <c r="J86" s="68">
        <f>SUM(J74:J85)</f>
        <v>1097808.9304812835</v>
      </c>
      <c r="K86" s="68">
        <f t="shared" ref="K86:L86" si="188">SUM(K74:K85)</f>
        <v>619128</v>
      </c>
      <c r="L86" s="68">
        <f t="shared" si="188"/>
        <v>21309033.487756208</v>
      </c>
      <c r="N86" s="68">
        <f>SUM(N74:N85)</f>
        <v>7817530.5275982404</v>
      </c>
      <c r="O86" s="68">
        <f>SUM(O74:O85)</f>
        <v>127719</v>
      </c>
      <c r="P86" s="68">
        <f>SUM(P74:P85)</f>
        <v>260999.2</v>
      </c>
      <c r="Q86" s="68">
        <f t="shared" ref="Q86:R86" si="189">SUM(Q74:Q85)</f>
        <v>192264</v>
      </c>
      <c r="R86" s="68">
        <f t="shared" si="189"/>
        <v>8398512.7275982406</v>
      </c>
      <c r="T86" s="68">
        <f>SUM(T74:T85)</f>
        <v>9348789.9124329351</v>
      </c>
      <c r="U86" s="68">
        <f>SUM(U74:U85)</f>
        <v>112254.18265221018</v>
      </c>
      <c r="V86" s="68">
        <f>SUM(V74:V85)</f>
        <v>386245.80350291904</v>
      </c>
      <c r="W86" s="68">
        <f t="shared" ref="W86:X86" si="190">SUM(W74:W85)</f>
        <v>115057.5</v>
      </c>
      <c r="X86" s="68">
        <f t="shared" si="190"/>
        <v>9962347.3985880632</v>
      </c>
      <c r="Z86" s="68">
        <f>SUM(Z74:Z85)</f>
        <v>18684060.12946469</v>
      </c>
      <c r="AA86" s="68">
        <f>SUM(AA74:AA85)</f>
        <v>176721.69282296649</v>
      </c>
      <c r="AB86" s="68">
        <f>SUM(AB74:AB85)</f>
        <v>701056.47272727266</v>
      </c>
      <c r="AC86" s="68">
        <f t="shared" ref="AC86:AD86" si="191">SUM(AC74:AC85)</f>
        <v>367744.79999999993</v>
      </c>
      <c r="AD86" s="68">
        <f t="shared" si="191"/>
        <v>19929583.09501493</v>
      </c>
      <c r="AF86" s="68">
        <f>SUM(AF74:AF85)</f>
        <v>8309391.0332737202</v>
      </c>
      <c r="AG86" s="68">
        <f>SUM(AG74:AG85)</f>
        <v>533988.96</v>
      </c>
      <c r="AH86" s="68">
        <f>SUM(AH74:AH85)</f>
        <v>405600</v>
      </c>
      <c r="AI86" s="68">
        <f t="shared" ref="AI86:AJ86" si="192">SUM(AI74:AI85)</f>
        <v>491683.20000000007</v>
      </c>
      <c r="AJ86" s="68">
        <f t="shared" si="192"/>
        <v>9740663.1932737213</v>
      </c>
      <c r="AL86" s="68">
        <f>SUM(AL74:AL85)</f>
        <v>2720</v>
      </c>
      <c r="AM86" s="68">
        <f>SUM(AM74:AM85)</f>
        <v>120</v>
      </c>
      <c r="AN86" s="68">
        <f>SUM(AN74:AN85)</f>
        <v>0</v>
      </c>
      <c r="AO86" s="68">
        <f t="shared" ref="AO86:AP86" si="193">SUM(AO74:AO85)</f>
        <v>0</v>
      </c>
      <c r="AP86" s="68">
        <f t="shared" si="193"/>
        <v>2840</v>
      </c>
      <c r="AR86" s="68">
        <f>SUM(AR74:AR85)</f>
        <v>2927240</v>
      </c>
      <c r="AS86" s="68">
        <f>SUM(AS74:AS85)</f>
        <v>30848</v>
      </c>
      <c r="AT86" s="68">
        <f>SUM(AT74:AT85)</f>
        <v>106080</v>
      </c>
      <c r="AU86" s="68">
        <f t="shared" ref="AU86:AV86" si="194">SUM(AU74:AU85)</f>
        <v>107663.99999999999</v>
      </c>
      <c r="AV86" s="68">
        <f t="shared" si="194"/>
        <v>3171832</v>
      </c>
      <c r="AX86" s="68">
        <f>SUM(AX74:AX85)</f>
        <v>73637779.012767658</v>
      </c>
      <c r="AY86" s="68">
        <f>SUM(AY74:AY85)</f>
        <v>1351331.0551191065</v>
      </c>
      <c r="AZ86" s="68">
        <f>SUM(AZ74:AZ85)</f>
        <v>3318472.7648872258</v>
      </c>
      <c r="BA86" s="68">
        <f t="shared" ref="BA86:BB86" si="195">SUM(BA74:BA85)</f>
        <v>2117859.9</v>
      </c>
      <c r="BB86" s="68">
        <f t="shared" si="195"/>
        <v>80425442.732774004</v>
      </c>
    </row>
    <row r="87" spans="1:54" hidden="1" x14ac:dyDescent="0.25">
      <c r="A87" s="60" t="s">
        <v>69</v>
      </c>
      <c r="B87" s="61">
        <f>B2*B5</f>
        <v>7188194.8955038907</v>
      </c>
      <c r="C87" s="61">
        <f>C2*C5</f>
        <v>0</v>
      </c>
      <c r="D87" s="61">
        <f>D2*D5</f>
        <v>0</v>
      </c>
      <c r="E87" s="61">
        <f t="shared" ref="E87:F87" si="196">E2*E5</f>
        <v>0</v>
      </c>
      <c r="F87" s="61">
        <f t="shared" si="196"/>
        <v>7188194.8955038907</v>
      </c>
      <c r="H87" s="61">
        <f>H2*H5</f>
        <v>18845972.514494177</v>
      </c>
      <c r="I87" s="61">
        <f>I2*I5</f>
        <v>0</v>
      </c>
      <c r="J87" s="61">
        <f>J2*J5</f>
        <v>0</v>
      </c>
      <c r="K87" s="61">
        <f t="shared" ref="K87:L87" si="197">K2*K5</f>
        <v>0</v>
      </c>
      <c r="L87" s="61">
        <f t="shared" si="197"/>
        <v>18845972.514494177</v>
      </c>
      <c r="N87" s="61">
        <f>N2*N5</f>
        <v>7802570.5275982404</v>
      </c>
      <c r="O87" s="61">
        <f>O2*O5</f>
        <v>0</v>
      </c>
      <c r="P87" s="61">
        <f>P2*P5</f>
        <v>0</v>
      </c>
      <c r="Q87" s="61">
        <f t="shared" ref="Q87:R87" si="198">Q2*Q5</f>
        <v>0</v>
      </c>
      <c r="R87" s="61">
        <f t="shared" si="198"/>
        <v>7802570.5275982404</v>
      </c>
      <c r="T87" s="61">
        <f>T2*T5</f>
        <v>9330829.9124329351</v>
      </c>
      <c r="U87" s="61">
        <f>U2*U5</f>
        <v>0</v>
      </c>
      <c r="V87" s="61">
        <f>V2*V5</f>
        <v>0</v>
      </c>
      <c r="W87" s="61">
        <f t="shared" ref="W87:X87" si="199">W2*W5</f>
        <v>0</v>
      </c>
      <c r="X87" s="61">
        <f t="shared" si="199"/>
        <v>9330829.9124329351</v>
      </c>
      <c r="Z87" s="61">
        <f>Z2*Z5</f>
        <v>18653980.12946469</v>
      </c>
      <c r="AA87" s="61">
        <f>AA2*AA5</f>
        <v>0</v>
      </c>
      <c r="AB87" s="61">
        <f>AB2*AB5</f>
        <v>0</v>
      </c>
      <c r="AC87" s="61">
        <f t="shared" ref="AC87:AD87" si="200">AC2*AC5</f>
        <v>0</v>
      </c>
      <c r="AD87" s="61">
        <f t="shared" si="200"/>
        <v>18653980.12946469</v>
      </c>
      <c r="AF87" s="61">
        <f>AF2*AF5</f>
        <v>8294071.0332737202</v>
      </c>
      <c r="AG87" s="61">
        <f>AG2*AG5</f>
        <v>0</v>
      </c>
      <c r="AH87" s="61">
        <f>AH2*AH5</f>
        <v>0</v>
      </c>
      <c r="AI87" s="61">
        <f t="shared" ref="AI87:AJ87" si="201">AI2*AI5</f>
        <v>0</v>
      </c>
      <c r="AJ87" s="61">
        <f t="shared" si="201"/>
        <v>8294071.0332737202</v>
      </c>
      <c r="AL87" s="61">
        <f>AL2*AL5</f>
        <v>0</v>
      </c>
      <c r="AM87" s="61">
        <f>AM2*AM5</f>
        <v>0</v>
      </c>
      <c r="AN87" s="61">
        <f>AN2*AN5</f>
        <v>0</v>
      </c>
      <c r="AO87" s="61">
        <f t="shared" ref="AO87:AP87" si="202">AO2*AO5</f>
        <v>0</v>
      </c>
      <c r="AP87" s="61">
        <f t="shared" si="202"/>
        <v>0</v>
      </c>
      <c r="AR87" s="61">
        <f>AR2*AR5</f>
        <v>2925000</v>
      </c>
      <c r="AS87" s="61">
        <f>AS2*AS5</f>
        <v>0</v>
      </c>
      <c r="AT87" s="61">
        <f>AT2*AT5</f>
        <v>0</v>
      </c>
      <c r="AU87" s="61">
        <f t="shared" ref="AU87" si="203">AU2*AU5</f>
        <v>0</v>
      </c>
      <c r="AV87" s="7">
        <f t="shared" si="154"/>
        <v>2925000</v>
      </c>
      <c r="AX87" s="7">
        <f>B87+H87+N87+T87+Z87+AF87+AL87+AR87</f>
        <v>73040619.012767658</v>
      </c>
      <c r="AY87" s="7">
        <f t="shared" ref="AY87:BA98" si="204">C87+I87+O87+U87+AA87+AG87+AM87+AS87</f>
        <v>0</v>
      </c>
      <c r="AZ87" s="7">
        <f t="shared" si="204"/>
        <v>0</v>
      </c>
      <c r="BA87" s="7">
        <f t="shared" si="204"/>
        <v>0</v>
      </c>
      <c r="BB87" s="7">
        <f t="shared" si="147"/>
        <v>73040619.012767658</v>
      </c>
    </row>
    <row r="88" spans="1:54" hidden="1" x14ac:dyDescent="0.25">
      <c r="A88" s="62" t="s">
        <v>201</v>
      </c>
      <c r="B88" s="61">
        <f>B3*B5</f>
        <v>0</v>
      </c>
      <c r="C88" s="61">
        <f>C3*C5</f>
        <v>0</v>
      </c>
      <c r="D88" s="61">
        <f>D3*D5</f>
        <v>0</v>
      </c>
      <c r="E88" s="61">
        <f t="shared" ref="E88:F88" si="205">E3*E5</f>
        <v>0</v>
      </c>
      <c r="F88" s="61">
        <f t="shared" si="205"/>
        <v>0</v>
      </c>
      <c r="H88" s="61">
        <f>H3*H5</f>
        <v>0</v>
      </c>
      <c r="I88" s="61">
        <f>I3*I5</f>
        <v>0</v>
      </c>
      <c r="J88" s="61">
        <f>J3*J5</f>
        <v>0</v>
      </c>
      <c r="K88" s="61">
        <f t="shared" ref="K88:L88" si="206">K3*K5</f>
        <v>0</v>
      </c>
      <c r="L88" s="61">
        <f t="shared" si="206"/>
        <v>0</v>
      </c>
      <c r="N88" s="61">
        <f>N3*N5</f>
        <v>0</v>
      </c>
      <c r="O88" s="61">
        <f>O3*O5</f>
        <v>0</v>
      </c>
      <c r="P88" s="61">
        <f>P3*P5</f>
        <v>0</v>
      </c>
      <c r="Q88" s="61">
        <f t="shared" ref="Q88:R88" si="207">Q3*Q5</f>
        <v>0</v>
      </c>
      <c r="R88" s="61">
        <f t="shared" si="207"/>
        <v>0</v>
      </c>
      <c r="T88" s="61">
        <f>T3*T5</f>
        <v>0</v>
      </c>
      <c r="U88" s="61">
        <f>U3*U5</f>
        <v>0</v>
      </c>
      <c r="V88" s="61">
        <f>V3*V5</f>
        <v>0</v>
      </c>
      <c r="W88" s="61">
        <f t="shared" ref="W88:X88" si="208">W3*W5</f>
        <v>0</v>
      </c>
      <c r="X88" s="61">
        <f t="shared" si="208"/>
        <v>0</v>
      </c>
      <c r="Z88" s="61">
        <f>Z3*Z5</f>
        <v>0</v>
      </c>
      <c r="AA88" s="61">
        <f>AA3*AA5</f>
        <v>0</v>
      </c>
      <c r="AB88" s="61">
        <f>AB3*AB5</f>
        <v>0</v>
      </c>
      <c r="AC88" s="61">
        <f t="shared" ref="AC88:AD88" si="209">AC3*AC5</f>
        <v>0</v>
      </c>
      <c r="AD88" s="61">
        <f t="shared" si="209"/>
        <v>0</v>
      </c>
      <c r="AF88" s="61">
        <f>AF3*AF5</f>
        <v>0</v>
      </c>
      <c r="AG88" s="61">
        <f>AG3*AG5</f>
        <v>0</v>
      </c>
      <c r="AH88" s="61">
        <f>AH3*AH5</f>
        <v>0</v>
      </c>
      <c r="AI88" s="61">
        <f t="shared" ref="AI88:AJ88" si="210">AI3*AI5</f>
        <v>0</v>
      </c>
      <c r="AJ88" s="61">
        <f t="shared" si="210"/>
        <v>0</v>
      </c>
      <c r="AL88" s="61">
        <f>AL3*AL5</f>
        <v>0</v>
      </c>
      <c r="AM88" s="61">
        <f>AM3*AM5</f>
        <v>0</v>
      </c>
      <c r="AN88" s="61">
        <f>AN3*AN5</f>
        <v>0</v>
      </c>
      <c r="AO88" s="61">
        <f t="shared" ref="AO88:AP88" si="211">AO3*AO5</f>
        <v>0</v>
      </c>
      <c r="AP88" s="61">
        <f t="shared" si="211"/>
        <v>0</v>
      </c>
      <c r="AR88" s="61">
        <f>AR3*AR5</f>
        <v>0</v>
      </c>
      <c r="AS88" s="61">
        <f>AS3*AS5</f>
        <v>0</v>
      </c>
      <c r="AT88" s="61">
        <f>AT3*AT5</f>
        <v>0</v>
      </c>
      <c r="AU88" s="61">
        <f t="shared" ref="AR88:AU98" si="212">AU75</f>
        <v>15000</v>
      </c>
      <c r="AV88" s="7">
        <f t="shared" si="154"/>
        <v>15000</v>
      </c>
      <c r="AX88" s="7">
        <f t="shared" ref="AX88:AX98" si="213">B88+H88+N88+T88+Z88+AF88+AL88+AR88</f>
        <v>0</v>
      </c>
      <c r="AY88" s="7">
        <f t="shared" si="204"/>
        <v>0</v>
      </c>
      <c r="AZ88" s="7">
        <f t="shared" si="204"/>
        <v>0</v>
      </c>
      <c r="BA88" s="7">
        <f t="shared" si="204"/>
        <v>15000</v>
      </c>
      <c r="BB88" s="7">
        <f t="shared" si="147"/>
        <v>15000</v>
      </c>
    </row>
    <row r="89" spans="1:54" hidden="1" x14ac:dyDescent="0.25">
      <c r="A89" s="62" t="s">
        <v>71</v>
      </c>
      <c r="B89" s="61">
        <f t="shared" ref="B89:F98" si="214">B76</f>
        <v>0</v>
      </c>
      <c r="C89" s="61">
        <f t="shared" si="214"/>
        <v>0</v>
      </c>
      <c r="D89" s="61">
        <f t="shared" si="214"/>
        <v>0</v>
      </c>
      <c r="E89" s="61">
        <f t="shared" si="214"/>
        <v>224078.40000000002</v>
      </c>
      <c r="F89" s="61">
        <f t="shared" si="214"/>
        <v>224078.40000000002</v>
      </c>
      <c r="H89" s="61">
        <f t="shared" ref="H89:L98" si="215">H76</f>
        <v>0</v>
      </c>
      <c r="I89" s="61">
        <f t="shared" si="215"/>
        <v>0</v>
      </c>
      <c r="J89" s="61">
        <f t="shared" si="215"/>
        <v>0</v>
      </c>
      <c r="K89" s="61">
        <f t="shared" si="215"/>
        <v>618408</v>
      </c>
      <c r="L89" s="61">
        <f t="shared" si="215"/>
        <v>618408</v>
      </c>
      <c r="N89" s="61">
        <f t="shared" ref="N89:R98" si="216">N76</f>
        <v>0</v>
      </c>
      <c r="O89" s="61">
        <f t="shared" si="216"/>
        <v>0</v>
      </c>
      <c r="P89" s="61">
        <f t="shared" si="216"/>
        <v>0</v>
      </c>
      <c r="Q89" s="61">
        <f t="shared" si="216"/>
        <v>192024</v>
      </c>
      <c r="R89" s="61">
        <f t="shared" si="216"/>
        <v>192024</v>
      </c>
      <c r="T89" s="61">
        <f t="shared" ref="T89:X98" si="217">T76</f>
        <v>0</v>
      </c>
      <c r="U89" s="61">
        <f t="shared" si="217"/>
        <v>0</v>
      </c>
      <c r="V89" s="61">
        <f t="shared" si="217"/>
        <v>0</v>
      </c>
      <c r="W89" s="61">
        <f t="shared" si="217"/>
        <v>114817.5</v>
      </c>
      <c r="X89" s="61">
        <f t="shared" si="217"/>
        <v>114817.5</v>
      </c>
      <c r="Z89" s="61">
        <f t="shared" ref="Z89:AD98" si="218">Z76</f>
        <v>0</v>
      </c>
      <c r="AA89" s="61">
        <f t="shared" si="218"/>
        <v>0</v>
      </c>
      <c r="AB89" s="61">
        <f t="shared" si="218"/>
        <v>0</v>
      </c>
      <c r="AC89" s="61">
        <f t="shared" si="218"/>
        <v>367264.79999999993</v>
      </c>
      <c r="AD89" s="61">
        <f t="shared" si="218"/>
        <v>367264.79999999993</v>
      </c>
      <c r="AF89" s="61">
        <f t="shared" ref="AF89:AJ98" si="219">AF76</f>
        <v>0</v>
      </c>
      <c r="AG89" s="61">
        <f t="shared" si="219"/>
        <v>0</v>
      </c>
      <c r="AH89" s="61">
        <f t="shared" si="219"/>
        <v>0</v>
      </c>
      <c r="AI89" s="61">
        <f t="shared" si="219"/>
        <v>491443.20000000007</v>
      </c>
      <c r="AJ89" s="61">
        <f t="shared" si="219"/>
        <v>491443.20000000007</v>
      </c>
      <c r="AL89" s="61">
        <f t="shared" ref="AL89:AP98" si="220">AL76</f>
        <v>0</v>
      </c>
      <c r="AM89" s="61">
        <f t="shared" si="220"/>
        <v>0</v>
      </c>
      <c r="AN89" s="61">
        <f t="shared" si="220"/>
        <v>0</v>
      </c>
      <c r="AO89" s="61">
        <f t="shared" si="220"/>
        <v>0</v>
      </c>
      <c r="AP89" s="61">
        <f t="shared" si="220"/>
        <v>0</v>
      </c>
      <c r="AR89" s="61">
        <f t="shared" si="212"/>
        <v>0</v>
      </c>
      <c r="AS89" s="61">
        <f t="shared" si="212"/>
        <v>0</v>
      </c>
      <c r="AT89" s="61">
        <f t="shared" si="212"/>
        <v>0</v>
      </c>
      <c r="AU89" s="61">
        <f t="shared" si="212"/>
        <v>92663.999999999985</v>
      </c>
      <c r="AV89" s="7">
        <f t="shared" si="154"/>
        <v>92663.999999999985</v>
      </c>
      <c r="AX89" s="7">
        <f t="shared" si="213"/>
        <v>0</v>
      </c>
      <c r="AY89" s="7">
        <f t="shared" si="204"/>
        <v>0</v>
      </c>
      <c r="AZ89" s="7">
        <f t="shared" si="204"/>
        <v>0</v>
      </c>
      <c r="BA89" s="7">
        <f t="shared" si="204"/>
        <v>2100699.9</v>
      </c>
      <c r="BB89" s="7">
        <f t="shared" si="147"/>
        <v>2100699.9</v>
      </c>
    </row>
    <row r="90" spans="1:54" hidden="1" x14ac:dyDescent="0.25">
      <c r="A90" s="62" t="s">
        <v>72</v>
      </c>
      <c r="B90" s="61">
        <f t="shared" si="214"/>
        <v>0</v>
      </c>
      <c r="C90" s="61">
        <f t="shared" si="214"/>
        <v>0</v>
      </c>
      <c r="D90" s="61">
        <f t="shared" si="214"/>
        <v>95942.602892102339</v>
      </c>
      <c r="E90" s="61">
        <f t="shared" si="214"/>
        <v>0</v>
      </c>
      <c r="F90" s="61">
        <f t="shared" si="214"/>
        <v>95942.602892102339</v>
      </c>
      <c r="H90" s="61">
        <f t="shared" si="215"/>
        <v>0</v>
      </c>
      <c r="I90" s="61">
        <f t="shared" si="215"/>
        <v>0</v>
      </c>
      <c r="J90" s="61">
        <f t="shared" si="215"/>
        <v>296087.56684491981</v>
      </c>
      <c r="K90" s="61">
        <f t="shared" si="215"/>
        <v>0</v>
      </c>
      <c r="L90" s="61">
        <f t="shared" si="215"/>
        <v>296087.56684491981</v>
      </c>
      <c r="N90" s="61">
        <f t="shared" si="216"/>
        <v>0</v>
      </c>
      <c r="O90" s="61">
        <f t="shared" si="216"/>
        <v>0</v>
      </c>
      <c r="P90" s="61">
        <f t="shared" si="216"/>
        <v>70300</v>
      </c>
      <c r="Q90" s="61">
        <f t="shared" si="216"/>
        <v>0</v>
      </c>
      <c r="R90" s="61">
        <f t="shared" si="216"/>
        <v>70300</v>
      </c>
      <c r="T90" s="61">
        <f t="shared" si="217"/>
        <v>0</v>
      </c>
      <c r="U90" s="61">
        <f t="shared" si="217"/>
        <v>0</v>
      </c>
      <c r="V90" s="61">
        <f t="shared" si="217"/>
        <v>103969.14095079232</v>
      </c>
      <c r="W90" s="61">
        <f t="shared" si="217"/>
        <v>0</v>
      </c>
      <c r="X90" s="61">
        <f t="shared" si="217"/>
        <v>103969.14095079232</v>
      </c>
      <c r="Z90" s="61">
        <f t="shared" si="218"/>
        <v>0</v>
      </c>
      <c r="AA90" s="61">
        <f t="shared" si="218"/>
        <v>0</v>
      </c>
      <c r="AB90" s="61">
        <f t="shared" si="218"/>
        <v>188799.54545454547</v>
      </c>
      <c r="AC90" s="61">
        <f t="shared" si="218"/>
        <v>0</v>
      </c>
      <c r="AD90" s="61">
        <f t="shared" si="218"/>
        <v>188799.54545454547</v>
      </c>
      <c r="AF90" s="61">
        <f t="shared" si="219"/>
        <v>0</v>
      </c>
      <c r="AG90" s="61">
        <f t="shared" si="219"/>
        <v>0</v>
      </c>
      <c r="AH90" s="61">
        <f t="shared" si="219"/>
        <v>109439.99999999999</v>
      </c>
      <c r="AI90" s="61">
        <f t="shared" si="219"/>
        <v>0</v>
      </c>
      <c r="AJ90" s="61">
        <f t="shared" si="219"/>
        <v>109439.99999999999</v>
      </c>
      <c r="AL90" s="61">
        <f t="shared" si="220"/>
        <v>0</v>
      </c>
      <c r="AM90" s="61">
        <f t="shared" si="220"/>
        <v>0</v>
      </c>
      <c r="AN90" s="61">
        <f t="shared" si="220"/>
        <v>0</v>
      </c>
      <c r="AO90" s="61">
        <f t="shared" si="220"/>
        <v>0</v>
      </c>
      <c r="AP90" s="61">
        <f t="shared" si="220"/>
        <v>0</v>
      </c>
      <c r="AR90" s="61">
        <f t="shared" si="212"/>
        <v>0</v>
      </c>
      <c r="AS90" s="61">
        <f t="shared" si="212"/>
        <v>0</v>
      </c>
      <c r="AT90" s="61">
        <f t="shared" si="212"/>
        <v>30400</v>
      </c>
      <c r="AU90" s="61">
        <f t="shared" si="212"/>
        <v>0</v>
      </c>
      <c r="AV90" s="7">
        <f t="shared" si="154"/>
        <v>30400</v>
      </c>
      <c r="AX90" s="7">
        <f t="shared" si="213"/>
        <v>0</v>
      </c>
      <c r="AY90" s="7">
        <f t="shared" si="204"/>
        <v>0</v>
      </c>
      <c r="AZ90" s="7">
        <f t="shared" si="204"/>
        <v>894938.85614236002</v>
      </c>
      <c r="BA90" s="7">
        <f t="shared" si="204"/>
        <v>0</v>
      </c>
      <c r="BB90" s="7">
        <f t="shared" si="147"/>
        <v>894938.85614236002</v>
      </c>
    </row>
    <row r="91" spans="1:54" hidden="1" x14ac:dyDescent="0.25">
      <c r="A91" s="141" t="s">
        <v>73</v>
      </c>
      <c r="B91" s="61">
        <f t="shared" si="214"/>
        <v>0</v>
      </c>
      <c r="C91" s="61">
        <f t="shared" si="214"/>
        <v>0</v>
      </c>
      <c r="D91" s="61">
        <f t="shared" si="214"/>
        <v>262579.7552836485</v>
      </c>
      <c r="E91" s="61">
        <f t="shared" si="214"/>
        <v>0</v>
      </c>
      <c r="F91" s="61">
        <f t="shared" si="214"/>
        <v>262579.7552836485</v>
      </c>
      <c r="H91" s="61">
        <f t="shared" si="215"/>
        <v>0</v>
      </c>
      <c r="I91" s="61">
        <f t="shared" si="215"/>
        <v>0</v>
      </c>
      <c r="J91" s="61">
        <f t="shared" si="215"/>
        <v>794761.36363636365</v>
      </c>
      <c r="K91" s="61">
        <f t="shared" si="215"/>
        <v>0</v>
      </c>
      <c r="L91" s="61">
        <f t="shared" si="215"/>
        <v>794761.36363636365</v>
      </c>
      <c r="N91" s="61">
        <f t="shared" si="216"/>
        <v>0</v>
      </c>
      <c r="O91" s="61">
        <f t="shared" si="216"/>
        <v>0</v>
      </c>
      <c r="P91" s="61">
        <f t="shared" si="216"/>
        <v>188700</v>
      </c>
      <c r="Q91" s="61">
        <f t="shared" si="216"/>
        <v>0</v>
      </c>
      <c r="R91" s="61">
        <f t="shared" si="216"/>
        <v>188700</v>
      </c>
      <c r="T91" s="61">
        <f t="shared" si="217"/>
        <v>0</v>
      </c>
      <c r="U91" s="61">
        <f t="shared" si="217"/>
        <v>0</v>
      </c>
      <c r="V91" s="61">
        <f t="shared" si="217"/>
        <v>279075.06255212676</v>
      </c>
      <c r="W91" s="61">
        <f t="shared" si="217"/>
        <v>0</v>
      </c>
      <c r="X91" s="61">
        <f t="shared" si="217"/>
        <v>279075.06255212676</v>
      </c>
      <c r="Z91" s="61">
        <f t="shared" si="218"/>
        <v>0</v>
      </c>
      <c r="AA91" s="61">
        <f t="shared" si="218"/>
        <v>0</v>
      </c>
      <c r="AB91" s="61">
        <f t="shared" si="218"/>
        <v>506777.72727272729</v>
      </c>
      <c r="AC91" s="61">
        <f t="shared" si="218"/>
        <v>0</v>
      </c>
      <c r="AD91" s="61">
        <f t="shared" si="218"/>
        <v>506777.72727272729</v>
      </c>
      <c r="AF91" s="61">
        <f t="shared" si="219"/>
        <v>0</v>
      </c>
      <c r="AG91" s="61">
        <f t="shared" si="219"/>
        <v>0</v>
      </c>
      <c r="AH91" s="61">
        <f t="shared" si="219"/>
        <v>293760</v>
      </c>
      <c r="AI91" s="61">
        <f t="shared" si="219"/>
        <v>0</v>
      </c>
      <c r="AJ91" s="61">
        <f t="shared" si="219"/>
        <v>293760</v>
      </c>
      <c r="AL91" s="61">
        <f t="shared" si="220"/>
        <v>0</v>
      </c>
      <c r="AM91" s="61">
        <f t="shared" si="220"/>
        <v>0</v>
      </c>
      <c r="AN91" s="61">
        <f t="shared" si="220"/>
        <v>0</v>
      </c>
      <c r="AO91" s="61">
        <f t="shared" si="220"/>
        <v>0</v>
      </c>
      <c r="AP91" s="61">
        <f t="shared" si="220"/>
        <v>0</v>
      </c>
      <c r="AR91" s="61">
        <f t="shared" si="212"/>
        <v>0</v>
      </c>
      <c r="AS91" s="61">
        <f t="shared" si="212"/>
        <v>0</v>
      </c>
      <c r="AT91" s="61">
        <f t="shared" si="212"/>
        <v>75200</v>
      </c>
      <c r="AU91" s="61">
        <f t="shared" si="212"/>
        <v>0</v>
      </c>
      <c r="AV91" s="7">
        <f t="shared" si="154"/>
        <v>75200</v>
      </c>
      <c r="AX91" s="7">
        <f t="shared" si="213"/>
        <v>0</v>
      </c>
      <c r="AY91" s="7">
        <f t="shared" si="204"/>
        <v>0</v>
      </c>
      <c r="AZ91" s="7">
        <f t="shared" si="204"/>
        <v>2400853.908744866</v>
      </c>
      <c r="BA91" s="7">
        <f t="shared" si="204"/>
        <v>0</v>
      </c>
      <c r="BB91" s="7">
        <f t="shared" si="147"/>
        <v>2400853.908744866</v>
      </c>
    </row>
    <row r="92" spans="1:54" hidden="1" x14ac:dyDescent="0.25">
      <c r="A92" s="62" t="s">
        <v>74</v>
      </c>
      <c r="B92" s="61">
        <f t="shared" si="214"/>
        <v>0</v>
      </c>
      <c r="C92" s="61">
        <f t="shared" si="214"/>
        <v>25534.371523915463</v>
      </c>
      <c r="D92" s="61">
        <f t="shared" si="214"/>
        <v>0</v>
      </c>
      <c r="E92" s="61">
        <f t="shared" si="214"/>
        <v>0</v>
      </c>
      <c r="F92" s="61">
        <f t="shared" si="214"/>
        <v>25534.371523915463</v>
      </c>
      <c r="H92" s="61">
        <f t="shared" si="215"/>
        <v>0</v>
      </c>
      <c r="I92" s="61">
        <f t="shared" si="215"/>
        <v>59004.26470588235</v>
      </c>
      <c r="J92" s="61">
        <f t="shared" si="215"/>
        <v>0</v>
      </c>
      <c r="K92" s="61">
        <f t="shared" si="215"/>
        <v>0</v>
      </c>
      <c r="L92" s="61">
        <f t="shared" si="215"/>
        <v>59004.26470588235</v>
      </c>
      <c r="N92" s="61">
        <f t="shared" si="216"/>
        <v>0</v>
      </c>
      <c r="O92" s="61">
        <f t="shared" si="216"/>
        <v>29430</v>
      </c>
      <c r="P92" s="61">
        <f t="shared" si="216"/>
        <v>0</v>
      </c>
      <c r="Q92" s="61">
        <f t="shared" si="216"/>
        <v>0</v>
      </c>
      <c r="R92" s="61">
        <f t="shared" si="216"/>
        <v>29430</v>
      </c>
      <c r="T92" s="61">
        <f t="shared" si="217"/>
        <v>0</v>
      </c>
      <c r="U92" s="61">
        <f t="shared" si="217"/>
        <v>13254.545454545456</v>
      </c>
      <c r="V92" s="61">
        <f t="shared" si="217"/>
        <v>0</v>
      </c>
      <c r="W92" s="61">
        <f t="shared" si="217"/>
        <v>0</v>
      </c>
      <c r="X92" s="61">
        <f t="shared" si="217"/>
        <v>13254.545454545456</v>
      </c>
      <c r="Z92" s="61">
        <f t="shared" si="218"/>
        <v>0</v>
      </c>
      <c r="AA92" s="61">
        <f t="shared" si="218"/>
        <v>43704.566985645928</v>
      </c>
      <c r="AB92" s="61">
        <f t="shared" si="218"/>
        <v>0</v>
      </c>
      <c r="AC92" s="61">
        <f t="shared" si="218"/>
        <v>0</v>
      </c>
      <c r="AD92" s="61">
        <f t="shared" si="218"/>
        <v>43704.566985645928</v>
      </c>
      <c r="AF92" s="61">
        <f t="shared" si="219"/>
        <v>0</v>
      </c>
      <c r="AG92" s="61">
        <f t="shared" si="219"/>
        <v>455183.99999999994</v>
      </c>
      <c r="AH92" s="61">
        <f t="shared" si="219"/>
        <v>0</v>
      </c>
      <c r="AI92" s="61">
        <f t="shared" si="219"/>
        <v>0</v>
      </c>
      <c r="AJ92" s="61">
        <f t="shared" si="219"/>
        <v>455183.99999999994</v>
      </c>
      <c r="AL92" s="61">
        <f t="shared" si="220"/>
        <v>0</v>
      </c>
      <c r="AM92" s="61">
        <f t="shared" si="220"/>
        <v>0</v>
      </c>
      <c r="AN92" s="61">
        <f t="shared" si="220"/>
        <v>0</v>
      </c>
      <c r="AO92" s="61">
        <f t="shared" si="220"/>
        <v>0</v>
      </c>
      <c r="AP92" s="61">
        <f t="shared" si="220"/>
        <v>0</v>
      </c>
      <c r="AR92" s="61">
        <f t="shared" si="212"/>
        <v>0</v>
      </c>
      <c r="AS92" s="61">
        <f t="shared" si="212"/>
        <v>0</v>
      </c>
      <c r="AT92" s="61">
        <f t="shared" si="212"/>
        <v>0</v>
      </c>
      <c r="AU92" s="61">
        <f t="shared" si="212"/>
        <v>0</v>
      </c>
      <c r="AV92" s="7">
        <f t="shared" si="154"/>
        <v>0</v>
      </c>
      <c r="AX92" s="7">
        <f t="shared" si="213"/>
        <v>0</v>
      </c>
      <c r="AY92" s="7">
        <f t="shared" si="204"/>
        <v>626111.74866998917</v>
      </c>
      <c r="AZ92" s="7">
        <f t="shared" si="204"/>
        <v>0</v>
      </c>
      <c r="BA92" s="7">
        <f t="shared" si="204"/>
        <v>0</v>
      </c>
      <c r="BB92" s="7">
        <f t="shared" si="147"/>
        <v>626111.74866998917</v>
      </c>
    </row>
    <row r="93" spans="1:54" hidden="1" x14ac:dyDescent="0.25">
      <c r="A93" s="62" t="s">
        <v>75</v>
      </c>
      <c r="B93" s="61">
        <f t="shared" si="214"/>
        <v>0</v>
      </c>
      <c r="C93" s="61">
        <f t="shared" si="214"/>
        <v>38847.644048943272</v>
      </c>
      <c r="D93" s="61">
        <f t="shared" si="214"/>
        <v>0</v>
      </c>
      <c r="E93" s="61">
        <f t="shared" si="214"/>
        <v>0</v>
      </c>
      <c r="F93" s="61">
        <f t="shared" si="214"/>
        <v>38847.644048943272</v>
      </c>
      <c r="H93" s="61">
        <f t="shared" si="215"/>
        <v>0</v>
      </c>
      <c r="I93" s="61">
        <f t="shared" si="215"/>
        <v>48222.631016042782</v>
      </c>
      <c r="J93" s="61">
        <f t="shared" si="215"/>
        <v>0</v>
      </c>
      <c r="K93" s="61">
        <f t="shared" si="215"/>
        <v>0</v>
      </c>
      <c r="L93" s="61">
        <f t="shared" si="215"/>
        <v>48222.631016042782</v>
      </c>
      <c r="N93" s="61">
        <f t="shared" si="216"/>
        <v>0</v>
      </c>
      <c r="O93" s="61">
        <f t="shared" si="216"/>
        <v>39008</v>
      </c>
      <c r="P93" s="61">
        <f t="shared" si="216"/>
        <v>0</v>
      </c>
      <c r="Q93" s="61">
        <f t="shared" si="216"/>
        <v>0</v>
      </c>
      <c r="R93" s="61">
        <f t="shared" si="216"/>
        <v>39008</v>
      </c>
      <c r="T93" s="61">
        <f t="shared" si="217"/>
        <v>0</v>
      </c>
      <c r="U93" s="61">
        <f t="shared" si="217"/>
        <v>66167.339449541279</v>
      </c>
      <c r="V93" s="61">
        <f t="shared" si="217"/>
        <v>0</v>
      </c>
      <c r="W93" s="61">
        <f t="shared" si="217"/>
        <v>0</v>
      </c>
      <c r="X93" s="61">
        <f t="shared" si="217"/>
        <v>66167.339449541279</v>
      </c>
      <c r="Z93" s="61">
        <f t="shared" si="218"/>
        <v>0</v>
      </c>
      <c r="AA93" s="61">
        <f t="shared" si="218"/>
        <v>63074.970334928221</v>
      </c>
      <c r="AB93" s="61">
        <f t="shared" si="218"/>
        <v>0</v>
      </c>
      <c r="AC93" s="61">
        <f t="shared" si="218"/>
        <v>0</v>
      </c>
      <c r="AD93" s="61">
        <f t="shared" si="218"/>
        <v>63074.970334928221</v>
      </c>
      <c r="AF93" s="61">
        <f t="shared" si="219"/>
        <v>0</v>
      </c>
      <c r="AG93" s="61">
        <f t="shared" si="219"/>
        <v>20352</v>
      </c>
      <c r="AH93" s="61">
        <f t="shared" si="219"/>
        <v>0</v>
      </c>
      <c r="AI93" s="61">
        <f t="shared" si="219"/>
        <v>0</v>
      </c>
      <c r="AJ93" s="61">
        <f t="shared" si="219"/>
        <v>20352</v>
      </c>
      <c r="AL93" s="61">
        <f t="shared" si="220"/>
        <v>0</v>
      </c>
      <c r="AM93" s="61">
        <f t="shared" si="220"/>
        <v>0</v>
      </c>
      <c r="AN93" s="61">
        <f t="shared" si="220"/>
        <v>0</v>
      </c>
      <c r="AO93" s="61">
        <f t="shared" si="220"/>
        <v>0</v>
      </c>
      <c r="AP93" s="61">
        <f t="shared" si="220"/>
        <v>0</v>
      </c>
      <c r="AR93" s="61">
        <f t="shared" si="212"/>
        <v>0</v>
      </c>
      <c r="AS93" s="61">
        <f t="shared" si="212"/>
        <v>0</v>
      </c>
      <c r="AT93" s="61">
        <f t="shared" si="212"/>
        <v>0</v>
      </c>
      <c r="AU93" s="61">
        <f t="shared" si="212"/>
        <v>0</v>
      </c>
      <c r="AV93" s="7">
        <f t="shared" si="154"/>
        <v>0</v>
      </c>
      <c r="AX93" s="7">
        <f t="shared" si="213"/>
        <v>0</v>
      </c>
      <c r="AY93" s="7">
        <f t="shared" si="204"/>
        <v>275672.58484945551</v>
      </c>
      <c r="AZ93" s="7">
        <f t="shared" si="204"/>
        <v>0</v>
      </c>
      <c r="BA93" s="7">
        <f t="shared" si="204"/>
        <v>0</v>
      </c>
      <c r="BB93" s="7">
        <f t="shared" si="147"/>
        <v>275672.58484945551</v>
      </c>
    </row>
    <row r="94" spans="1:54" hidden="1" x14ac:dyDescent="0.25">
      <c r="A94" s="62" t="s">
        <v>76</v>
      </c>
      <c r="B94" s="61">
        <f t="shared" si="214"/>
        <v>0</v>
      </c>
      <c r="C94" s="61">
        <f t="shared" si="214"/>
        <v>58213.161290322576</v>
      </c>
      <c r="D94" s="61">
        <f t="shared" si="214"/>
        <v>0</v>
      </c>
      <c r="E94" s="61">
        <f t="shared" si="214"/>
        <v>0</v>
      </c>
      <c r="F94" s="61">
        <f t="shared" si="214"/>
        <v>58213.161290322576</v>
      </c>
      <c r="H94" s="61">
        <f t="shared" si="215"/>
        <v>0</v>
      </c>
      <c r="I94" s="61">
        <f t="shared" si="215"/>
        <v>136257.14705882352</v>
      </c>
      <c r="J94" s="61">
        <f t="shared" si="215"/>
        <v>0</v>
      </c>
      <c r="K94" s="61">
        <f t="shared" si="215"/>
        <v>0</v>
      </c>
      <c r="L94" s="61">
        <f t="shared" si="215"/>
        <v>136257.14705882352</v>
      </c>
      <c r="N94" s="61">
        <f t="shared" si="216"/>
        <v>0</v>
      </c>
      <c r="O94" s="61">
        <f t="shared" si="216"/>
        <v>58081</v>
      </c>
      <c r="P94" s="61">
        <f t="shared" si="216"/>
        <v>0</v>
      </c>
      <c r="Q94" s="61">
        <f t="shared" si="216"/>
        <v>0</v>
      </c>
      <c r="R94" s="61">
        <f t="shared" si="216"/>
        <v>58081</v>
      </c>
      <c r="T94" s="61">
        <f t="shared" si="217"/>
        <v>0</v>
      </c>
      <c r="U94" s="61">
        <f t="shared" si="217"/>
        <v>31992.297748123437</v>
      </c>
      <c r="V94" s="61">
        <f t="shared" si="217"/>
        <v>0</v>
      </c>
      <c r="W94" s="61">
        <f t="shared" si="217"/>
        <v>0</v>
      </c>
      <c r="X94" s="61">
        <f t="shared" si="217"/>
        <v>31992.297748123437</v>
      </c>
      <c r="Z94" s="61">
        <f t="shared" si="218"/>
        <v>0</v>
      </c>
      <c r="AA94" s="61">
        <f t="shared" si="218"/>
        <v>68622.155502392328</v>
      </c>
      <c r="AB94" s="61">
        <f t="shared" si="218"/>
        <v>0</v>
      </c>
      <c r="AC94" s="61">
        <f t="shared" si="218"/>
        <v>0</v>
      </c>
      <c r="AD94" s="61">
        <f t="shared" si="218"/>
        <v>68622.155502392328</v>
      </c>
      <c r="AF94" s="61">
        <f t="shared" si="219"/>
        <v>0</v>
      </c>
      <c r="AG94" s="61">
        <f t="shared" si="219"/>
        <v>57492.959999999999</v>
      </c>
      <c r="AH94" s="61">
        <f t="shared" si="219"/>
        <v>0</v>
      </c>
      <c r="AI94" s="61">
        <f t="shared" si="219"/>
        <v>0</v>
      </c>
      <c r="AJ94" s="61">
        <f t="shared" si="219"/>
        <v>57492.959999999999</v>
      </c>
      <c r="AL94" s="61">
        <f t="shared" si="220"/>
        <v>0</v>
      </c>
      <c r="AM94" s="61">
        <f t="shared" si="220"/>
        <v>0</v>
      </c>
      <c r="AN94" s="61">
        <f t="shared" si="220"/>
        <v>0</v>
      </c>
      <c r="AO94" s="61">
        <f t="shared" si="220"/>
        <v>0</v>
      </c>
      <c r="AP94" s="61">
        <f t="shared" si="220"/>
        <v>0</v>
      </c>
      <c r="AR94" s="61">
        <f t="shared" si="212"/>
        <v>0</v>
      </c>
      <c r="AS94" s="61">
        <f t="shared" si="212"/>
        <v>30848</v>
      </c>
      <c r="AT94" s="61">
        <f t="shared" si="212"/>
        <v>0</v>
      </c>
      <c r="AU94" s="61">
        <f t="shared" si="212"/>
        <v>0</v>
      </c>
      <c r="AV94" s="7">
        <f t="shared" si="154"/>
        <v>30848</v>
      </c>
      <c r="AX94" s="7">
        <f t="shared" si="213"/>
        <v>0</v>
      </c>
      <c r="AY94" s="7">
        <f t="shared" si="204"/>
        <v>441506.72159966186</v>
      </c>
      <c r="AZ94" s="7">
        <f t="shared" si="204"/>
        <v>0</v>
      </c>
      <c r="BA94" s="7">
        <f t="shared" si="204"/>
        <v>0</v>
      </c>
      <c r="BB94" s="7">
        <f t="shared" si="147"/>
        <v>441506.72159966186</v>
      </c>
    </row>
    <row r="95" spans="1:54" hidden="1" x14ac:dyDescent="0.25">
      <c r="A95" s="62" t="s">
        <v>202</v>
      </c>
      <c r="B95" s="61">
        <f t="shared" si="214"/>
        <v>0</v>
      </c>
      <c r="C95" s="61">
        <f t="shared" si="214"/>
        <v>0</v>
      </c>
      <c r="D95" s="61">
        <f t="shared" si="214"/>
        <v>0</v>
      </c>
      <c r="E95" s="61">
        <f t="shared" si="214"/>
        <v>0</v>
      </c>
      <c r="F95" s="61">
        <f t="shared" si="214"/>
        <v>0</v>
      </c>
      <c r="H95" s="61">
        <f t="shared" si="215"/>
        <v>468000</v>
      </c>
      <c r="I95" s="61">
        <f t="shared" si="215"/>
        <v>0</v>
      </c>
      <c r="J95" s="61">
        <f t="shared" si="215"/>
        <v>0</v>
      </c>
      <c r="K95" s="61">
        <f t="shared" si="215"/>
        <v>0</v>
      </c>
      <c r="L95" s="61">
        <f t="shared" si="215"/>
        <v>468000</v>
      </c>
      <c r="N95" s="61">
        <f t="shared" si="216"/>
        <v>0</v>
      </c>
      <c r="O95" s="61">
        <f t="shared" si="216"/>
        <v>0</v>
      </c>
      <c r="P95" s="61">
        <f t="shared" si="216"/>
        <v>0</v>
      </c>
      <c r="Q95" s="61">
        <f t="shared" si="216"/>
        <v>0</v>
      </c>
      <c r="R95" s="61">
        <f t="shared" si="216"/>
        <v>0</v>
      </c>
      <c r="T95" s="61">
        <f t="shared" si="217"/>
        <v>0</v>
      </c>
      <c r="U95" s="61">
        <f t="shared" si="217"/>
        <v>0</v>
      </c>
      <c r="V95" s="61">
        <f t="shared" si="217"/>
        <v>0</v>
      </c>
      <c r="W95" s="61">
        <f t="shared" si="217"/>
        <v>0</v>
      </c>
      <c r="X95" s="61">
        <f t="shared" si="217"/>
        <v>0</v>
      </c>
      <c r="Z95" s="61">
        <f t="shared" si="218"/>
        <v>0</v>
      </c>
      <c r="AA95" s="61">
        <f t="shared" si="218"/>
        <v>0</v>
      </c>
      <c r="AB95" s="61">
        <f t="shared" si="218"/>
        <v>0</v>
      </c>
      <c r="AC95" s="61">
        <f t="shared" si="218"/>
        <v>0</v>
      </c>
      <c r="AD95" s="61">
        <f t="shared" si="218"/>
        <v>0</v>
      </c>
      <c r="AF95" s="61">
        <f t="shared" si="219"/>
        <v>0</v>
      </c>
      <c r="AG95" s="61">
        <f t="shared" si="219"/>
        <v>0</v>
      </c>
      <c r="AH95" s="61">
        <f t="shared" si="219"/>
        <v>0</v>
      </c>
      <c r="AI95" s="61">
        <f t="shared" si="219"/>
        <v>0</v>
      </c>
      <c r="AJ95" s="61">
        <f t="shared" si="219"/>
        <v>0</v>
      </c>
      <c r="AL95" s="61">
        <f t="shared" si="220"/>
        <v>0</v>
      </c>
      <c r="AM95" s="61">
        <f t="shared" si="220"/>
        <v>0</v>
      </c>
      <c r="AN95" s="61">
        <f t="shared" si="220"/>
        <v>0</v>
      </c>
      <c r="AO95" s="61">
        <f t="shared" si="220"/>
        <v>0</v>
      </c>
      <c r="AP95" s="61">
        <f t="shared" si="220"/>
        <v>0</v>
      </c>
      <c r="AR95" s="61">
        <f t="shared" si="212"/>
        <v>0</v>
      </c>
      <c r="AS95" s="61">
        <f t="shared" si="212"/>
        <v>0</v>
      </c>
      <c r="AT95" s="61">
        <f t="shared" si="212"/>
        <v>0</v>
      </c>
      <c r="AU95" s="61">
        <f t="shared" si="212"/>
        <v>0</v>
      </c>
      <c r="AV95" s="7">
        <f t="shared" si="154"/>
        <v>0</v>
      </c>
      <c r="AX95" s="7">
        <f t="shared" si="213"/>
        <v>468000</v>
      </c>
      <c r="AY95" s="7">
        <f t="shared" si="204"/>
        <v>0</v>
      </c>
      <c r="AZ95" s="7">
        <f t="shared" si="204"/>
        <v>0</v>
      </c>
      <c r="BA95" s="7">
        <f t="shared" si="204"/>
        <v>0</v>
      </c>
      <c r="BB95" s="7">
        <f t="shared" si="147"/>
        <v>468000</v>
      </c>
    </row>
    <row r="96" spans="1:54" hidden="1" x14ac:dyDescent="0.25">
      <c r="A96" s="62" t="s">
        <v>203</v>
      </c>
      <c r="B96" s="61">
        <f t="shared" si="214"/>
        <v>0</v>
      </c>
      <c r="C96" s="61">
        <f t="shared" si="214"/>
        <v>0</v>
      </c>
      <c r="D96" s="61">
        <f t="shared" si="214"/>
        <v>0</v>
      </c>
      <c r="E96" s="61">
        <f t="shared" si="214"/>
        <v>0</v>
      </c>
      <c r="F96" s="61">
        <f t="shared" si="214"/>
        <v>0</v>
      </c>
      <c r="H96" s="61">
        <f t="shared" si="215"/>
        <v>0</v>
      </c>
      <c r="I96" s="61">
        <f t="shared" si="215"/>
        <v>0</v>
      </c>
      <c r="J96" s="61">
        <f t="shared" si="215"/>
        <v>0</v>
      </c>
      <c r="K96" s="61">
        <f t="shared" si="215"/>
        <v>0</v>
      </c>
      <c r="L96" s="61">
        <f t="shared" si="215"/>
        <v>0</v>
      </c>
      <c r="N96" s="61">
        <f t="shared" si="216"/>
        <v>0</v>
      </c>
      <c r="O96" s="61">
        <f t="shared" si="216"/>
        <v>0</v>
      </c>
      <c r="P96" s="61">
        <f t="shared" si="216"/>
        <v>0</v>
      </c>
      <c r="Q96" s="61">
        <f t="shared" si="216"/>
        <v>0</v>
      </c>
      <c r="R96" s="61">
        <f t="shared" si="216"/>
        <v>0</v>
      </c>
      <c r="T96" s="61">
        <f t="shared" si="217"/>
        <v>0</v>
      </c>
      <c r="U96" s="61">
        <f t="shared" si="217"/>
        <v>0</v>
      </c>
      <c r="V96" s="61">
        <f t="shared" si="217"/>
        <v>0</v>
      </c>
      <c r="W96" s="61">
        <f t="shared" si="217"/>
        <v>0</v>
      </c>
      <c r="X96" s="61">
        <f t="shared" si="217"/>
        <v>0</v>
      </c>
      <c r="Z96" s="61">
        <f t="shared" si="218"/>
        <v>0</v>
      </c>
      <c r="AA96" s="61">
        <f t="shared" si="218"/>
        <v>0</v>
      </c>
      <c r="AB96" s="61">
        <f t="shared" si="218"/>
        <v>0</v>
      </c>
      <c r="AC96" s="61">
        <f t="shared" si="218"/>
        <v>0</v>
      </c>
      <c r="AD96" s="61">
        <f t="shared" si="218"/>
        <v>0</v>
      </c>
      <c r="AF96" s="61">
        <f t="shared" si="219"/>
        <v>0</v>
      </c>
      <c r="AG96" s="61">
        <f t="shared" si="219"/>
        <v>0</v>
      </c>
      <c r="AH96" s="61">
        <f t="shared" si="219"/>
        <v>0</v>
      </c>
      <c r="AI96" s="61">
        <f t="shared" si="219"/>
        <v>0</v>
      </c>
      <c r="AJ96" s="61">
        <f t="shared" si="219"/>
        <v>0</v>
      </c>
      <c r="AL96" s="61">
        <f t="shared" si="220"/>
        <v>0</v>
      </c>
      <c r="AM96" s="61">
        <f t="shared" si="220"/>
        <v>0</v>
      </c>
      <c r="AN96" s="61">
        <f t="shared" si="220"/>
        <v>0</v>
      </c>
      <c r="AO96" s="61">
        <f t="shared" si="220"/>
        <v>0</v>
      </c>
      <c r="AP96" s="61">
        <f t="shared" si="220"/>
        <v>0</v>
      </c>
      <c r="AR96" s="61">
        <f t="shared" si="212"/>
        <v>0</v>
      </c>
      <c r="AS96" s="61">
        <f t="shared" si="212"/>
        <v>0</v>
      </c>
      <c r="AT96" s="61">
        <f t="shared" si="212"/>
        <v>0</v>
      </c>
      <c r="AU96" s="61">
        <f t="shared" si="212"/>
        <v>0</v>
      </c>
      <c r="AV96" s="7">
        <f t="shared" si="154"/>
        <v>0</v>
      </c>
      <c r="AX96" s="7">
        <f t="shared" si="213"/>
        <v>0</v>
      </c>
      <c r="AY96" s="7">
        <f t="shared" si="204"/>
        <v>0</v>
      </c>
      <c r="AZ96" s="7">
        <f t="shared" si="204"/>
        <v>0</v>
      </c>
      <c r="BA96" s="7">
        <f t="shared" si="204"/>
        <v>0</v>
      </c>
      <c r="BB96" s="7">
        <f t="shared" si="147"/>
        <v>0</v>
      </c>
    </row>
    <row r="97" spans="1:54" hidden="1" x14ac:dyDescent="0.25">
      <c r="A97" s="62" t="s">
        <v>77</v>
      </c>
      <c r="B97" s="61">
        <f t="shared" si="214"/>
        <v>0</v>
      </c>
      <c r="C97" s="61">
        <f t="shared" si="214"/>
        <v>0</v>
      </c>
      <c r="D97" s="61">
        <f t="shared" si="214"/>
        <v>0</v>
      </c>
      <c r="E97" s="61">
        <f t="shared" si="214"/>
        <v>0</v>
      </c>
      <c r="F97" s="61">
        <f t="shared" si="214"/>
        <v>0</v>
      </c>
      <c r="H97" s="61">
        <f t="shared" si="215"/>
        <v>0</v>
      </c>
      <c r="I97" s="61">
        <f t="shared" si="215"/>
        <v>0</v>
      </c>
      <c r="J97" s="61">
        <f t="shared" si="215"/>
        <v>0</v>
      </c>
      <c r="K97" s="61">
        <f t="shared" si="215"/>
        <v>0</v>
      </c>
      <c r="L97" s="61">
        <f t="shared" si="215"/>
        <v>0</v>
      </c>
      <c r="N97" s="61">
        <f t="shared" si="216"/>
        <v>0</v>
      </c>
      <c r="O97" s="61">
        <f t="shared" si="216"/>
        <v>0</v>
      </c>
      <c r="P97" s="61">
        <f t="shared" si="216"/>
        <v>0</v>
      </c>
      <c r="Q97" s="61">
        <f t="shared" si="216"/>
        <v>0</v>
      </c>
      <c r="R97" s="61">
        <f t="shared" si="216"/>
        <v>0</v>
      </c>
      <c r="T97" s="61">
        <f t="shared" si="217"/>
        <v>0</v>
      </c>
      <c r="U97" s="61">
        <f t="shared" si="217"/>
        <v>0</v>
      </c>
      <c r="V97" s="61">
        <f t="shared" si="217"/>
        <v>0</v>
      </c>
      <c r="W97" s="61">
        <f t="shared" si="217"/>
        <v>0</v>
      </c>
      <c r="X97" s="61">
        <f t="shared" si="217"/>
        <v>0</v>
      </c>
      <c r="Z97" s="61">
        <f t="shared" si="218"/>
        <v>0</v>
      </c>
      <c r="AA97" s="61">
        <f t="shared" si="218"/>
        <v>0</v>
      </c>
      <c r="AB97" s="61">
        <f t="shared" si="218"/>
        <v>0</v>
      </c>
      <c r="AC97" s="61">
        <f t="shared" si="218"/>
        <v>0</v>
      </c>
      <c r="AD97" s="61">
        <f t="shared" si="218"/>
        <v>0</v>
      </c>
      <c r="AF97" s="61">
        <f t="shared" si="219"/>
        <v>0</v>
      </c>
      <c r="AG97" s="61">
        <f t="shared" si="219"/>
        <v>0</v>
      </c>
      <c r="AH97" s="61">
        <f t="shared" si="219"/>
        <v>0</v>
      </c>
      <c r="AI97" s="61">
        <f t="shared" si="219"/>
        <v>0</v>
      </c>
      <c r="AJ97" s="61">
        <f t="shared" si="219"/>
        <v>0</v>
      </c>
      <c r="AL97" s="61">
        <f t="shared" si="220"/>
        <v>0</v>
      </c>
      <c r="AM97" s="61">
        <f t="shared" si="220"/>
        <v>0</v>
      </c>
      <c r="AN97" s="61">
        <f t="shared" si="220"/>
        <v>0</v>
      </c>
      <c r="AO97" s="61">
        <f t="shared" si="220"/>
        <v>0</v>
      </c>
      <c r="AP97" s="61">
        <f t="shared" si="220"/>
        <v>0</v>
      </c>
      <c r="AR97" s="61">
        <f t="shared" si="212"/>
        <v>0</v>
      </c>
      <c r="AS97" s="61">
        <f t="shared" si="212"/>
        <v>0</v>
      </c>
      <c r="AT97" s="61">
        <f t="shared" si="212"/>
        <v>0</v>
      </c>
      <c r="AU97" s="61">
        <f t="shared" si="212"/>
        <v>0</v>
      </c>
      <c r="AV97" s="7">
        <f t="shared" si="154"/>
        <v>0</v>
      </c>
      <c r="AX97" s="7">
        <f t="shared" si="213"/>
        <v>0</v>
      </c>
      <c r="AY97" s="7">
        <f t="shared" si="204"/>
        <v>0</v>
      </c>
      <c r="AZ97" s="7">
        <f t="shared" si="204"/>
        <v>0</v>
      </c>
      <c r="BA97" s="7">
        <f t="shared" si="204"/>
        <v>0</v>
      </c>
      <c r="BB97" s="7">
        <f t="shared" si="147"/>
        <v>0</v>
      </c>
    </row>
    <row r="98" spans="1:54" ht="15.75" hidden="1" thickBot="1" x14ac:dyDescent="0.3">
      <c r="A98" s="65" t="s">
        <v>204</v>
      </c>
      <c r="B98" s="61">
        <f t="shared" si="214"/>
        <v>14120</v>
      </c>
      <c r="C98" s="61">
        <f t="shared" si="214"/>
        <v>720</v>
      </c>
      <c r="D98" s="61">
        <f t="shared" si="214"/>
        <v>2160</v>
      </c>
      <c r="E98" s="61">
        <f t="shared" si="214"/>
        <v>240</v>
      </c>
      <c r="F98" s="61">
        <f t="shared" si="214"/>
        <v>17240</v>
      </c>
      <c r="H98" s="61">
        <f t="shared" si="215"/>
        <v>31760</v>
      </c>
      <c r="I98" s="61">
        <f t="shared" si="215"/>
        <v>2880</v>
      </c>
      <c r="J98" s="61">
        <f t="shared" si="215"/>
        <v>6960</v>
      </c>
      <c r="K98" s="61">
        <f t="shared" si="215"/>
        <v>720</v>
      </c>
      <c r="L98" s="61">
        <f t="shared" si="215"/>
        <v>42320</v>
      </c>
      <c r="N98" s="61">
        <f t="shared" si="216"/>
        <v>14960</v>
      </c>
      <c r="O98" s="61">
        <f t="shared" si="216"/>
        <v>1200</v>
      </c>
      <c r="P98" s="61">
        <f t="shared" si="216"/>
        <v>1999.2</v>
      </c>
      <c r="Q98" s="61">
        <f t="shared" si="216"/>
        <v>240</v>
      </c>
      <c r="R98" s="61">
        <f t="shared" si="216"/>
        <v>18399.2</v>
      </c>
      <c r="T98" s="61">
        <f t="shared" si="217"/>
        <v>17960</v>
      </c>
      <c r="U98" s="61">
        <f t="shared" si="217"/>
        <v>840</v>
      </c>
      <c r="V98" s="61">
        <f t="shared" si="217"/>
        <v>3201.6</v>
      </c>
      <c r="W98" s="61">
        <f t="shared" si="217"/>
        <v>240</v>
      </c>
      <c r="X98" s="61">
        <f t="shared" si="217"/>
        <v>22241.599999999999</v>
      </c>
      <c r="Z98" s="61">
        <f t="shared" si="218"/>
        <v>30080</v>
      </c>
      <c r="AA98" s="61">
        <f t="shared" si="218"/>
        <v>1320</v>
      </c>
      <c r="AB98" s="61">
        <f t="shared" si="218"/>
        <v>5479.2</v>
      </c>
      <c r="AC98" s="61">
        <f t="shared" si="218"/>
        <v>480</v>
      </c>
      <c r="AD98" s="61">
        <f t="shared" si="218"/>
        <v>37359.199999999997</v>
      </c>
      <c r="AF98" s="61">
        <f t="shared" si="219"/>
        <v>15320</v>
      </c>
      <c r="AG98" s="61">
        <f t="shared" si="219"/>
        <v>960</v>
      </c>
      <c r="AH98" s="61">
        <f t="shared" si="219"/>
        <v>2400</v>
      </c>
      <c r="AI98" s="61">
        <f t="shared" si="219"/>
        <v>240</v>
      </c>
      <c r="AJ98" s="61">
        <f t="shared" si="219"/>
        <v>18920</v>
      </c>
      <c r="AL98" s="61">
        <f t="shared" si="220"/>
        <v>2720</v>
      </c>
      <c r="AM98" s="61">
        <f t="shared" si="220"/>
        <v>120</v>
      </c>
      <c r="AN98" s="61">
        <f t="shared" si="220"/>
        <v>0</v>
      </c>
      <c r="AO98" s="61">
        <f t="shared" si="220"/>
        <v>0</v>
      </c>
      <c r="AP98" s="61">
        <f t="shared" si="220"/>
        <v>2840</v>
      </c>
      <c r="AR98" s="61">
        <f t="shared" si="212"/>
        <v>2240</v>
      </c>
      <c r="AS98" s="61">
        <f t="shared" si="212"/>
        <v>0</v>
      </c>
      <c r="AT98" s="61">
        <f t="shared" si="212"/>
        <v>480</v>
      </c>
      <c r="AU98" s="61">
        <f t="shared" si="212"/>
        <v>0</v>
      </c>
      <c r="AV98" s="7">
        <f t="shared" si="154"/>
        <v>2720</v>
      </c>
      <c r="AX98" s="7">
        <f t="shared" si="213"/>
        <v>129160</v>
      </c>
      <c r="AY98" s="7">
        <f t="shared" si="204"/>
        <v>8040</v>
      </c>
      <c r="AZ98" s="7">
        <f t="shared" si="204"/>
        <v>22680</v>
      </c>
      <c r="BA98" s="7">
        <f t="shared" si="204"/>
        <v>2160</v>
      </c>
      <c r="BB98" s="7">
        <f t="shared" si="147"/>
        <v>162040</v>
      </c>
    </row>
    <row r="99" spans="1:54" ht="15.75" hidden="1" thickBot="1" x14ac:dyDescent="0.3">
      <c r="A99" s="67" t="s">
        <v>81</v>
      </c>
      <c r="B99" s="68">
        <f>SUM(B87:B98)</f>
        <v>7202314.8955038907</v>
      </c>
      <c r="C99" s="68">
        <f>SUM(C87:C98)</f>
        <v>123315.17686318132</v>
      </c>
      <c r="D99" s="68"/>
      <c r="E99" s="68">
        <f t="shared" ref="E99:F99" si="221">SUM(E87:E98)</f>
        <v>224318.40000000002</v>
      </c>
      <c r="F99" s="68">
        <f t="shared" si="221"/>
        <v>7910630.8305428233</v>
      </c>
      <c r="H99" s="68">
        <f>SUM(H87:H98)</f>
        <v>19345732.514494177</v>
      </c>
      <c r="I99" s="68">
        <f>SUM(I87:I98)</f>
        <v>246364.04278074866</v>
      </c>
      <c r="J99" s="68"/>
      <c r="K99" s="68">
        <f t="shared" ref="K99:L99" si="222">SUM(K87:K98)</f>
        <v>619128</v>
      </c>
      <c r="L99" s="68">
        <f t="shared" si="222"/>
        <v>21309033.487756208</v>
      </c>
      <c r="N99" s="68">
        <f>SUM(N87:N98)</f>
        <v>7817530.5275982404</v>
      </c>
      <c r="O99" s="68">
        <f>SUM(O87:O98)</f>
        <v>127719</v>
      </c>
      <c r="P99" s="68"/>
      <c r="Q99" s="68">
        <f t="shared" ref="Q99:R99" si="223">SUM(Q87:Q98)</f>
        <v>192264</v>
      </c>
      <c r="R99" s="68">
        <f t="shared" si="223"/>
        <v>8398512.7275982406</v>
      </c>
      <c r="T99" s="68">
        <f>SUM(T87:T98)</f>
        <v>9348789.9124329351</v>
      </c>
      <c r="U99" s="68">
        <f>SUM(U87:U98)</f>
        <v>112254.18265221018</v>
      </c>
      <c r="V99" s="68"/>
      <c r="W99" s="68">
        <f t="shared" ref="W99:X99" si="224">SUM(W87:W98)</f>
        <v>115057.5</v>
      </c>
      <c r="X99" s="68">
        <f t="shared" si="224"/>
        <v>9962347.3985880632</v>
      </c>
      <c r="Z99" s="68">
        <f>SUM(Z87:Z98)</f>
        <v>18684060.12946469</v>
      </c>
      <c r="AA99" s="68">
        <f>SUM(AA87:AA98)</f>
        <v>176721.69282296649</v>
      </c>
      <c r="AB99" s="68"/>
      <c r="AC99" s="68">
        <f t="shared" ref="AC99:AD99" si="225">SUM(AC87:AC98)</f>
        <v>367744.79999999993</v>
      </c>
      <c r="AD99" s="68">
        <f t="shared" si="225"/>
        <v>19929583.09501493</v>
      </c>
      <c r="AF99" s="68">
        <f>SUM(AF87:AF98)</f>
        <v>8309391.0332737202</v>
      </c>
      <c r="AG99" s="68">
        <f>SUM(AG87:AG98)</f>
        <v>533988.96</v>
      </c>
      <c r="AH99" s="68"/>
      <c r="AI99" s="68">
        <f t="shared" ref="AI99:AJ99" si="226">SUM(AI87:AI98)</f>
        <v>491683.20000000007</v>
      </c>
      <c r="AJ99" s="68">
        <f t="shared" si="226"/>
        <v>9740663.1932737213</v>
      </c>
      <c r="AL99" s="68">
        <f>SUM(AL87:AL98)</f>
        <v>2720</v>
      </c>
      <c r="AM99" s="68">
        <f>SUM(AM87:AM98)</f>
        <v>120</v>
      </c>
      <c r="AN99" s="68"/>
      <c r="AO99" s="68">
        <f t="shared" ref="AO99:AP99" si="227">SUM(AO87:AO98)</f>
        <v>0</v>
      </c>
      <c r="AP99" s="68">
        <f t="shared" si="227"/>
        <v>2840</v>
      </c>
      <c r="AR99" s="68">
        <f>SUM(AR87:AR98)</f>
        <v>2927240</v>
      </c>
      <c r="AS99" s="68">
        <f>SUM(AS87:AS98)</f>
        <v>30848</v>
      </c>
      <c r="AT99" s="68"/>
      <c r="AU99" s="68">
        <f t="shared" ref="AU99:AV99" si="228">SUM(AU87:AU98)</f>
        <v>107663.99999999999</v>
      </c>
      <c r="AV99" s="68">
        <f t="shared" si="228"/>
        <v>3171832</v>
      </c>
      <c r="AX99" s="68">
        <f>SUM(AX87:AX98)</f>
        <v>73637779.012767658</v>
      </c>
      <c r="AY99" s="68">
        <f>SUM(AY87:AY98)</f>
        <v>1351331.0551191065</v>
      </c>
      <c r="AZ99" s="68"/>
      <c r="BA99" s="68">
        <f t="shared" ref="BA99:BB99" si="229">SUM(BA87:BA98)</f>
        <v>2117859.9</v>
      </c>
      <c r="BB99" s="68">
        <f t="shared" si="229"/>
        <v>80425442.732774004</v>
      </c>
    </row>
    <row r="100" spans="1:54" x14ac:dyDescent="0.25">
      <c r="A100" s="70"/>
      <c r="B100" s="55"/>
      <c r="C100" s="55"/>
      <c r="D100" s="55"/>
      <c r="E100" s="55"/>
      <c r="F100" s="55"/>
      <c r="H100" s="55"/>
      <c r="I100" s="55"/>
      <c r="J100" s="55"/>
      <c r="K100" s="55"/>
      <c r="L100" s="55"/>
      <c r="N100" s="55"/>
      <c r="O100" s="55"/>
      <c r="P100" s="55"/>
      <c r="Q100" s="55"/>
      <c r="R100" s="55"/>
      <c r="T100" s="55"/>
      <c r="U100" s="55"/>
      <c r="V100" s="55"/>
      <c r="W100" s="55"/>
      <c r="X100" s="55"/>
      <c r="Z100" s="55"/>
      <c r="AA100" s="55"/>
      <c r="AB100" s="55"/>
      <c r="AC100" s="55"/>
      <c r="AD100" s="55"/>
      <c r="AF100" s="55"/>
      <c r="AG100" s="55"/>
      <c r="AH100" s="55"/>
      <c r="AI100" s="55"/>
      <c r="AJ100" s="55"/>
      <c r="AL100" s="55"/>
      <c r="AM100" s="55"/>
      <c r="AN100" s="55"/>
      <c r="AO100" s="55"/>
      <c r="AP100" s="55"/>
      <c r="AR100" s="55"/>
      <c r="AS100" s="55"/>
      <c r="AT100" s="55"/>
      <c r="AU100" s="55"/>
      <c r="AV100" s="55"/>
      <c r="AX100" s="55"/>
      <c r="AY100" s="55"/>
      <c r="AZ100" s="55"/>
      <c r="BA100" s="55"/>
      <c r="BB100" s="55"/>
    </row>
    <row r="101" spans="1:54" ht="15.75" thickBot="1" x14ac:dyDescent="0.3">
      <c r="A101" s="73" t="s">
        <v>82</v>
      </c>
      <c r="B101" s="74" t="str">
        <f>B1</f>
        <v>Operating</v>
      </c>
      <c r="C101" s="74" t="str">
        <f>C1</f>
        <v>Weights</v>
      </c>
      <c r="D101" s="74" t="str">
        <f>D1</f>
        <v>SPED</v>
      </c>
      <c r="E101" s="74" t="str">
        <f t="shared" ref="E101:F101" si="230">E1</f>
        <v>NSLP</v>
      </c>
      <c r="F101" s="74" t="str">
        <f t="shared" si="230"/>
        <v>Horizon</v>
      </c>
      <c r="H101" s="74" t="str">
        <f>H1</f>
        <v>Operating</v>
      </c>
      <c r="I101" s="74" t="str">
        <f>I1</f>
        <v>Weights</v>
      </c>
      <c r="J101" s="74" t="str">
        <f>J1</f>
        <v>SPED</v>
      </c>
      <c r="K101" s="74" t="str">
        <f t="shared" ref="K101:L101" si="231">K1</f>
        <v>NSLP</v>
      </c>
      <c r="L101" s="74" t="str">
        <f t="shared" si="231"/>
        <v>Cadence</v>
      </c>
      <c r="N101" s="74" t="str">
        <f>N1</f>
        <v>Operating</v>
      </c>
      <c r="O101" s="74" t="str">
        <f>O1</f>
        <v>Weights</v>
      </c>
      <c r="P101" s="74" t="str">
        <f>P1</f>
        <v>SPED</v>
      </c>
      <c r="Q101" s="74" t="str">
        <f t="shared" ref="Q101:R101" si="232">Q1</f>
        <v>NSLP</v>
      </c>
      <c r="R101" s="74" t="str">
        <f t="shared" si="232"/>
        <v>St. Rose</v>
      </c>
      <c r="T101" s="74" t="str">
        <f>T1</f>
        <v>Operating</v>
      </c>
      <c r="U101" s="74" t="str">
        <f>U1</f>
        <v>Weights</v>
      </c>
      <c r="V101" s="74" t="str">
        <f>V1</f>
        <v>SPED</v>
      </c>
      <c r="W101" s="74" t="str">
        <f t="shared" ref="W101:X101" si="233">W1</f>
        <v>NSLP</v>
      </c>
      <c r="X101" s="74" t="str">
        <f t="shared" si="233"/>
        <v>Inspirada</v>
      </c>
      <c r="Z101" s="74" t="str">
        <f>Z1</f>
        <v>Operating</v>
      </c>
      <c r="AA101" s="74" t="str">
        <f>AA1</f>
        <v>Weights</v>
      </c>
      <c r="AB101" s="74" t="str">
        <f>AB1</f>
        <v>SPED</v>
      </c>
      <c r="AC101" s="74" t="str">
        <f t="shared" ref="AC101:AD101" si="234">AC1</f>
        <v>NSLP</v>
      </c>
      <c r="AD101" s="74" t="str">
        <f t="shared" si="234"/>
        <v>Sloan Canyon</v>
      </c>
      <c r="AF101" s="74" t="str">
        <f>AF1</f>
        <v>Operating</v>
      </c>
      <c r="AG101" s="74" t="str">
        <f>AG1</f>
        <v>Weights</v>
      </c>
      <c r="AH101" s="74" t="str">
        <f>AH1</f>
        <v>SPED</v>
      </c>
      <c r="AI101" s="74" t="str">
        <f t="shared" ref="AI101:AJ101" si="235">AI1</f>
        <v>NSLP</v>
      </c>
      <c r="AJ101" s="74" t="str">
        <f t="shared" si="235"/>
        <v>Springs</v>
      </c>
      <c r="AL101" s="74" t="str">
        <f>AL1</f>
        <v>Operating</v>
      </c>
      <c r="AM101" s="74" t="str">
        <f>AM1</f>
        <v>Weights</v>
      </c>
      <c r="AN101" s="74" t="str">
        <f>AN1</f>
        <v>SPED</v>
      </c>
      <c r="AO101" s="74" t="str">
        <f t="shared" ref="AO101:AP101" si="236">AO1</f>
        <v>NSLP</v>
      </c>
      <c r="AP101" s="74" t="str">
        <f t="shared" si="236"/>
        <v>System Wide</v>
      </c>
      <c r="AR101" s="74" t="str">
        <f>AR1</f>
        <v>Operating</v>
      </c>
      <c r="AS101" s="74" t="str">
        <f>AS1</f>
        <v>Weights</v>
      </c>
      <c r="AT101" s="74" t="str">
        <f>AT1</f>
        <v>SPED</v>
      </c>
      <c r="AU101" s="74" t="str">
        <f t="shared" ref="AU101:AV101" si="237">AU1</f>
        <v>NSLP</v>
      </c>
      <c r="AV101" s="74" t="str">
        <f t="shared" si="237"/>
        <v>Virtual</v>
      </c>
      <c r="AX101" s="74" t="str">
        <f>AX1</f>
        <v>Operating</v>
      </c>
      <c r="AY101" s="74" t="str">
        <f>AY1</f>
        <v>Weights</v>
      </c>
      <c r="AZ101" s="74" t="str">
        <f>AZ1</f>
        <v>SPED</v>
      </c>
      <c r="BA101" s="74" t="str">
        <f t="shared" ref="BA101:BB101" si="238">BA1</f>
        <v>NSLP</v>
      </c>
      <c r="BB101" s="74" t="str">
        <f t="shared" si="238"/>
        <v>Pinecrest System</v>
      </c>
    </row>
    <row r="102" spans="1:54" x14ac:dyDescent="0.25">
      <c r="A102" s="76" t="s">
        <v>83</v>
      </c>
      <c r="B102" s="77"/>
      <c r="C102" s="77"/>
      <c r="D102" s="77"/>
      <c r="E102" s="77"/>
      <c r="F102" s="77"/>
      <c r="H102" s="77"/>
      <c r="I102" s="77"/>
      <c r="J102" s="77"/>
      <c r="K102" s="77"/>
      <c r="L102" s="77"/>
      <c r="N102" s="77"/>
      <c r="O102" s="77"/>
      <c r="P102" s="77"/>
      <c r="Q102" s="77"/>
      <c r="R102" s="77"/>
      <c r="T102" s="77"/>
      <c r="U102" s="77"/>
      <c r="V102" s="77"/>
      <c r="W102" s="77"/>
      <c r="X102" s="77"/>
      <c r="Z102" s="77"/>
      <c r="AA102" s="77"/>
      <c r="AB102" s="77"/>
      <c r="AC102" s="77"/>
      <c r="AD102" s="77"/>
      <c r="AF102" s="77"/>
      <c r="AG102" s="77"/>
      <c r="AH102" s="77"/>
      <c r="AI102" s="77"/>
      <c r="AJ102" s="77"/>
      <c r="AL102" s="77"/>
      <c r="AM102" s="77"/>
      <c r="AN102" s="77"/>
      <c r="AO102" s="77"/>
      <c r="AP102" s="77"/>
      <c r="AR102" s="77"/>
      <c r="AS102" s="77"/>
      <c r="AT102" s="77"/>
      <c r="AU102" s="77"/>
      <c r="AV102" s="77"/>
      <c r="AX102" s="77"/>
      <c r="AY102" s="77"/>
      <c r="AZ102" s="77"/>
      <c r="BA102" s="77"/>
      <c r="BB102" s="77"/>
    </row>
    <row r="103" spans="1:54" x14ac:dyDescent="0.25">
      <c r="A103" s="62" t="s">
        <v>41</v>
      </c>
      <c r="B103" s="15">
        <f>'FY26'!B103*1.02</f>
        <v>126969.29236799999</v>
      </c>
      <c r="C103" s="15">
        <f>'FY26'!C103*1.02</f>
        <v>0</v>
      </c>
      <c r="D103" s="7"/>
      <c r="E103" s="7"/>
      <c r="F103" s="7">
        <f t="shared" ref="F103:F115" si="239">SUM(B103:E103)</f>
        <v>126969.29236799999</v>
      </c>
      <c r="H103" s="15">
        <f>'FY26'!H103*1.02</f>
        <v>149603.50087400162</v>
      </c>
      <c r="I103" s="15">
        <f>'FY26'!I103*1.02</f>
        <v>0</v>
      </c>
      <c r="J103" s="7"/>
      <c r="K103" s="7"/>
      <c r="L103" s="7">
        <f t="shared" ref="L103:L115" si="240">SUM(H103:K103)</f>
        <v>149603.50087400162</v>
      </c>
      <c r="N103" s="15">
        <f>'FY26'!N103*1.02</f>
        <v>123657.04995840001</v>
      </c>
      <c r="O103" s="15">
        <f>'FY26'!O103*1.02</f>
        <v>0</v>
      </c>
      <c r="P103" s="7"/>
      <c r="Q103" s="7"/>
      <c r="R103" s="7">
        <f t="shared" ref="R103:R115" si="241">SUM(N103:Q103)</f>
        <v>123657.04995840001</v>
      </c>
      <c r="T103" s="15">
        <f>'FY26'!T103*1.02</f>
        <v>158446.41958080002</v>
      </c>
      <c r="U103" s="15">
        <f>'FY26'!U103*1.02</f>
        <v>0</v>
      </c>
      <c r="V103" s="7"/>
      <c r="W103" s="7"/>
      <c r="X103" s="7">
        <f t="shared" ref="X103:X115" si="242">SUM(T103:W103)</f>
        <v>158446.41958080002</v>
      </c>
      <c r="Z103" s="15">
        <f>'FY26'!Z103*1.02</f>
        <v>149106.66451256166</v>
      </c>
      <c r="AA103" s="15">
        <f>'FY26'!AA103*1.02</f>
        <v>0</v>
      </c>
      <c r="AB103" s="15">
        <f>'FY26'!AB103*1.02</f>
        <v>0</v>
      </c>
      <c r="AC103" s="15">
        <f>'FY26'!AC103*1.02</f>
        <v>0</v>
      </c>
      <c r="AD103" s="7">
        <f t="shared" ref="AD103:AD115" si="243">SUM(Z103:AC103)</f>
        <v>149106.66451256166</v>
      </c>
      <c r="AF103" s="15">
        <f>'FY26'!AF103*1.02</f>
        <v>116732.88</v>
      </c>
      <c r="AG103" s="15">
        <f>'FY26'!AG103*1.02</f>
        <v>0</v>
      </c>
      <c r="AH103" s="15">
        <f>'FY26'!AH103*1.02</f>
        <v>0</v>
      </c>
      <c r="AI103" s="7"/>
      <c r="AJ103" s="7">
        <f t="shared" ref="AJ103:AJ115" si="244">SUM(AF103:AI103)</f>
        <v>116732.88</v>
      </c>
      <c r="AL103" s="15">
        <f>'FY26'!AL103*1.02</f>
        <v>0</v>
      </c>
      <c r="AM103" s="15">
        <f>'FY26'!AM103*1.02</f>
        <v>0</v>
      </c>
      <c r="AN103" s="15">
        <v>0</v>
      </c>
      <c r="AO103" s="15">
        <v>0</v>
      </c>
      <c r="AP103" s="7">
        <f t="shared" ref="AP103:AP115" si="245">SUM(AL103:AO103)</f>
        <v>0</v>
      </c>
      <c r="AR103" s="15">
        <v>0</v>
      </c>
      <c r="AS103" s="7"/>
      <c r="AT103" s="7"/>
      <c r="AU103" s="7"/>
      <c r="AV103" s="7">
        <f t="shared" ref="AV103:AV115" si="246">SUM(AR103:AU103)</f>
        <v>0</v>
      </c>
      <c r="AX103" s="7">
        <f>B103+H103+N103+T103+Z103+AF103+AL103+AR103</f>
        <v>824515.80729376327</v>
      </c>
      <c r="AY103" s="7">
        <f t="shared" ref="AY103:BA115" si="247">C103+I103+O103+U103+AA103+AG103+AM103+AS103</f>
        <v>0</v>
      </c>
      <c r="AZ103" s="7">
        <f t="shared" si="247"/>
        <v>0</v>
      </c>
      <c r="BA103" s="7">
        <f t="shared" si="247"/>
        <v>0</v>
      </c>
      <c r="BB103" s="7">
        <f t="shared" ref="BB103:BB115" si="248">SUM(AX103:BA103)</f>
        <v>824515.80729376327</v>
      </c>
    </row>
    <row r="104" spans="1:54" x14ac:dyDescent="0.25">
      <c r="A104" s="62" t="s">
        <v>84</v>
      </c>
      <c r="B104" s="15">
        <f>'FY26'!B104*1.02</f>
        <v>170543.78444850162</v>
      </c>
      <c r="C104" s="15">
        <f>'FY26'!C104*1.02</f>
        <v>77285.656224000006</v>
      </c>
      <c r="D104" s="7"/>
      <c r="E104" s="7"/>
      <c r="F104" s="7">
        <f t="shared" si="239"/>
        <v>247829.44067250163</v>
      </c>
      <c r="H104" s="15">
        <f>'FY26'!H104*1.02</f>
        <v>352060.89551031176</v>
      </c>
      <c r="I104" s="15">
        <f>'FY26'!I104*1.02</f>
        <v>0</v>
      </c>
      <c r="J104" s="7"/>
      <c r="K104" s="7"/>
      <c r="L104" s="7">
        <f t="shared" si="240"/>
        <v>352060.89551031176</v>
      </c>
      <c r="N104" s="15">
        <f>'FY26'!N104*1.02</f>
        <v>175681.33740518402</v>
      </c>
      <c r="O104" s="15">
        <f>'FY26'!O104*1.02</f>
        <v>0</v>
      </c>
      <c r="P104" s="7"/>
      <c r="Q104" s="7"/>
      <c r="R104" s="7">
        <f t="shared" si="241"/>
        <v>175681.33740518402</v>
      </c>
      <c r="T104" s="15">
        <f>'FY26'!T104*1.02</f>
        <v>191678.47457082916</v>
      </c>
      <c r="U104" s="15">
        <f>'FY26'!U104*1.02</f>
        <v>0</v>
      </c>
      <c r="V104" s="7"/>
      <c r="W104" s="7"/>
      <c r="X104" s="7">
        <f t="shared" si="242"/>
        <v>191678.47457082916</v>
      </c>
      <c r="Z104" s="15">
        <f>'FY26'!Z104*1.02</f>
        <v>250329.01336609822</v>
      </c>
      <c r="AA104" s="15">
        <f>'FY26'!AA104*1.02</f>
        <v>0</v>
      </c>
      <c r="AB104" s="15">
        <f>'FY26'!AB104*1.02</f>
        <v>97418.894400000005</v>
      </c>
      <c r="AC104" s="15">
        <f>'FY26'!AC104*1.02</f>
        <v>0</v>
      </c>
      <c r="AD104" s="7">
        <f t="shared" si="243"/>
        <v>347747.90776609821</v>
      </c>
      <c r="AF104" s="15">
        <f>'FY26'!AF104*1.02+75000</f>
        <v>232620.6</v>
      </c>
      <c r="AG104" s="15">
        <f>'FY26'!AG104*1.02</f>
        <v>0</v>
      </c>
      <c r="AH104" s="15">
        <f>'FY26'!AH104*1.02</f>
        <v>0</v>
      </c>
      <c r="AI104" s="7"/>
      <c r="AJ104" s="7">
        <f t="shared" si="244"/>
        <v>232620.6</v>
      </c>
      <c r="AL104" s="15">
        <f>'FY26'!AL104*1.02</f>
        <v>0</v>
      </c>
      <c r="AM104" s="15">
        <f>'FY26'!AM104*1.02</f>
        <v>0</v>
      </c>
      <c r="AN104" s="15">
        <v>0</v>
      </c>
      <c r="AO104" s="15">
        <v>0</v>
      </c>
      <c r="AP104" s="7">
        <f t="shared" si="245"/>
        <v>0</v>
      </c>
      <c r="AR104" s="15">
        <v>0</v>
      </c>
      <c r="AS104" s="7"/>
      <c r="AT104" s="7"/>
      <c r="AU104" s="7"/>
      <c r="AV104" s="7">
        <f t="shared" si="246"/>
        <v>0</v>
      </c>
      <c r="AX104" s="7">
        <f t="shared" ref="AX104:AX115" si="249">B104+H104+N104+T104+Z104+AF104+AL104+AR104</f>
        <v>1372914.105300925</v>
      </c>
      <c r="AY104" s="7">
        <f t="shared" si="247"/>
        <v>77285.656224000006</v>
      </c>
      <c r="AZ104" s="7">
        <f t="shared" si="247"/>
        <v>97418.894400000005</v>
      </c>
      <c r="BA104" s="7">
        <f t="shared" si="247"/>
        <v>0</v>
      </c>
      <c r="BB104" s="7">
        <f t="shared" si="248"/>
        <v>1547618.6559249251</v>
      </c>
    </row>
    <row r="105" spans="1:54" x14ac:dyDescent="0.25">
      <c r="A105" s="62" t="s">
        <v>45</v>
      </c>
      <c r="B105" s="15">
        <f>'FY26'!B105*1.02</f>
        <v>0</v>
      </c>
      <c r="C105" s="15">
        <f>'FY26'!C105*1.02</f>
        <v>0</v>
      </c>
      <c r="D105" s="7"/>
      <c r="E105" s="7"/>
      <c r="F105" s="7">
        <f t="shared" si="239"/>
        <v>0</v>
      </c>
      <c r="H105" s="15">
        <f>'FY26'!H105*1.02</f>
        <v>68583.291333177593</v>
      </c>
      <c r="I105" s="15">
        <f>'FY26'!I105*1.02</f>
        <v>0</v>
      </c>
      <c r="J105" s="7"/>
      <c r="K105" s="7"/>
      <c r="L105" s="7">
        <f t="shared" si="240"/>
        <v>68583.291333177593</v>
      </c>
      <c r="N105" s="15">
        <f>'FY26'!N105*1.02</f>
        <v>0</v>
      </c>
      <c r="O105" s="15">
        <f>'FY26'!O105*1.02</f>
        <v>0</v>
      </c>
      <c r="P105" s="7"/>
      <c r="Q105" s="7"/>
      <c r="R105" s="7">
        <f t="shared" si="241"/>
        <v>0</v>
      </c>
      <c r="T105" s="15">
        <f>'FY26'!T105*1.02</f>
        <v>81083.694187008005</v>
      </c>
      <c r="U105" s="15">
        <f>'FY26'!U105*1.02</f>
        <v>0</v>
      </c>
      <c r="V105" s="7"/>
      <c r="W105" s="7"/>
      <c r="X105" s="7">
        <f t="shared" si="242"/>
        <v>81083.694187008005</v>
      </c>
      <c r="Z105" s="15">
        <f>'FY26'!Z105*1.02</f>
        <v>66184.565380145286</v>
      </c>
      <c r="AA105" s="15">
        <f>'FY26'!AA105*1.02</f>
        <v>0</v>
      </c>
      <c r="AB105" s="15">
        <f>'FY26'!AB105*1.02</f>
        <v>0</v>
      </c>
      <c r="AC105" s="15">
        <f>'FY26'!AC105*1.02</f>
        <v>0</v>
      </c>
      <c r="AD105" s="7">
        <f t="shared" si="243"/>
        <v>66184.565380145286</v>
      </c>
      <c r="AF105" s="15">
        <f>'FY26'!AF105*1.02</f>
        <v>0</v>
      </c>
      <c r="AG105" s="15">
        <v>65000</v>
      </c>
      <c r="AH105" s="15">
        <f>'FY26'!AH105*1.02</f>
        <v>0</v>
      </c>
      <c r="AI105" s="7"/>
      <c r="AJ105" s="7">
        <f t="shared" si="244"/>
        <v>65000</v>
      </c>
      <c r="AL105" s="15">
        <f>'FY26'!AL105*1.02</f>
        <v>78831.369348480002</v>
      </c>
      <c r="AM105" s="15">
        <f>'FY26'!AM105*1.02</f>
        <v>0</v>
      </c>
      <c r="AN105" s="15">
        <v>0</v>
      </c>
      <c r="AO105" s="15">
        <v>0</v>
      </c>
      <c r="AP105" s="7">
        <f t="shared" si="245"/>
        <v>78831.369348480002</v>
      </c>
      <c r="AR105" s="7">
        <f>(60000*1.015*1.02)*AR46</f>
        <v>0</v>
      </c>
      <c r="AS105" s="15"/>
      <c r="AT105" s="7"/>
      <c r="AU105" s="7"/>
      <c r="AV105" s="7">
        <f t="shared" si="246"/>
        <v>0</v>
      </c>
      <c r="AX105" s="7">
        <f t="shared" si="249"/>
        <v>294682.9202488109</v>
      </c>
      <c r="AY105" s="7">
        <f t="shared" si="247"/>
        <v>65000</v>
      </c>
      <c r="AZ105" s="7">
        <f t="shared" si="247"/>
        <v>0</v>
      </c>
      <c r="BA105" s="7">
        <f t="shared" si="247"/>
        <v>0</v>
      </c>
      <c r="BB105" s="7">
        <f t="shared" si="248"/>
        <v>359682.9202488109</v>
      </c>
    </row>
    <row r="106" spans="1:54" x14ac:dyDescent="0.25">
      <c r="A106" s="62" t="s">
        <v>210</v>
      </c>
      <c r="B106" s="15">
        <f>'FY26'!B106*1.02</f>
        <v>0</v>
      </c>
      <c r="C106" s="15">
        <f>'FY26'!C106*1.02</f>
        <v>0</v>
      </c>
      <c r="D106" s="7"/>
      <c r="E106" s="7"/>
      <c r="F106" s="7">
        <f t="shared" si="239"/>
        <v>0</v>
      </c>
      <c r="H106" s="15">
        <f>'FY26'!H106*1.02</f>
        <v>0</v>
      </c>
      <c r="I106" s="15">
        <f>'FY26'!I106*1.02</f>
        <v>0</v>
      </c>
      <c r="J106" s="7"/>
      <c r="K106" s="7"/>
      <c r="L106" s="7">
        <f t="shared" si="240"/>
        <v>0</v>
      </c>
      <c r="N106" s="15">
        <f>'FY26'!N106*1.02</f>
        <v>0</v>
      </c>
      <c r="O106" s="15">
        <f>'FY26'!O106*1.02</f>
        <v>61938.933059520008</v>
      </c>
      <c r="P106" s="7"/>
      <c r="Q106" s="7"/>
      <c r="R106" s="7">
        <f t="shared" si="241"/>
        <v>61938.933059520008</v>
      </c>
      <c r="T106" s="15">
        <f>'FY26'!T106*1.02</f>
        <v>0</v>
      </c>
      <c r="U106" s="15">
        <f>'FY26'!U106*1.02</f>
        <v>0</v>
      </c>
      <c r="V106" s="7"/>
      <c r="W106" s="7"/>
      <c r="X106" s="7">
        <f t="shared" si="242"/>
        <v>0</v>
      </c>
      <c r="Z106" s="15">
        <f>'FY26'!Z106*1.02</f>
        <v>0</v>
      </c>
      <c r="AA106" s="15">
        <f>'FY26'!AA106*1.02</f>
        <v>0</v>
      </c>
      <c r="AB106" s="15">
        <f>'FY26'!AB106*1.02</f>
        <v>0</v>
      </c>
      <c r="AC106" s="15">
        <f>'FY26'!AC106*1.02</f>
        <v>0</v>
      </c>
      <c r="AD106" s="7">
        <f t="shared" si="243"/>
        <v>0</v>
      </c>
      <c r="AF106" s="15">
        <f>'FY26'!AF106*1.02</f>
        <v>0</v>
      </c>
      <c r="AG106" s="15">
        <f>'FY26'!AG106*1.02</f>
        <v>102128.52</v>
      </c>
      <c r="AH106" s="15">
        <f>'FY26'!AH106*1.02</f>
        <v>0</v>
      </c>
      <c r="AI106" s="7"/>
      <c r="AJ106" s="7">
        <f>SUM(AF106:AI106)</f>
        <v>102128.52</v>
      </c>
      <c r="AL106" s="15">
        <f>'FY26'!AL106*1.02</f>
        <v>0</v>
      </c>
      <c r="AM106" s="15">
        <f>'FY26'!AM106*1.02</f>
        <v>0</v>
      </c>
      <c r="AN106" s="15">
        <v>0</v>
      </c>
      <c r="AO106" s="15">
        <v>0</v>
      </c>
      <c r="AP106" s="7">
        <f t="shared" si="245"/>
        <v>0</v>
      </c>
      <c r="AR106" s="15">
        <v>0</v>
      </c>
      <c r="AS106" s="15"/>
      <c r="AT106" s="7"/>
      <c r="AU106" s="7"/>
      <c r="AV106" s="7">
        <f t="shared" si="246"/>
        <v>0</v>
      </c>
      <c r="AX106" s="7">
        <f t="shared" si="249"/>
        <v>0</v>
      </c>
      <c r="AY106" s="7">
        <f t="shared" si="247"/>
        <v>164067.45305952002</v>
      </c>
      <c r="AZ106" s="7">
        <f t="shared" si="247"/>
        <v>0</v>
      </c>
      <c r="BA106" s="7">
        <f t="shared" si="247"/>
        <v>0</v>
      </c>
      <c r="BB106" s="7">
        <f t="shared" si="248"/>
        <v>164067.45305952002</v>
      </c>
    </row>
    <row r="107" spans="1:54" x14ac:dyDescent="0.25">
      <c r="A107" s="62" t="s">
        <v>87</v>
      </c>
      <c r="B107" s="15">
        <f>'FY26'!B107*1.02</f>
        <v>61938.933059520008</v>
      </c>
      <c r="C107" s="15">
        <f>'FY26'!C107*1.02</f>
        <v>0</v>
      </c>
      <c r="D107" s="7"/>
      <c r="E107" s="7"/>
      <c r="F107" s="7">
        <f t="shared" si="239"/>
        <v>61938.933059520008</v>
      </c>
      <c r="H107" s="15">
        <f>'FY26'!H107*1.02</f>
        <v>334343.54524924088</v>
      </c>
      <c r="I107" s="15">
        <f>'FY26'!I107*1.02</f>
        <v>0</v>
      </c>
      <c r="J107" s="7"/>
      <c r="K107" s="7"/>
      <c r="L107" s="7">
        <f t="shared" si="240"/>
        <v>334343.54524924088</v>
      </c>
      <c r="N107" s="15">
        <f>'FY26'!N107*1.02</f>
        <v>61938.933059520008</v>
      </c>
      <c r="O107" s="15">
        <f>'FY26'!O107*1.02</f>
        <v>0</v>
      </c>
      <c r="P107" s="7"/>
      <c r="Q107" s="7"/>
      <c r="R107" s="7">
        <f t="shared" si="241"/>
        <v>61938.933059520008</v>
      </c>
      <c r="T107" s="15">
        <f>'FY26'!T107*1.02</f>
        <v>69822.069994368023</v>
      </c>
      <c r="U107" s="15">
        <f>'FY26'!U107*1.02</f>
        <v>0</v>
      </c>
      <c r="V107" s="7"/>
      <c r="W107" s="7"/>
      <c r="X107" s="7">
        <f t="shared" si="242"/>
        <v>69822.069994368023</v>
      </c>
      <c r="Z107" s="15">
        <f>'FY26'!Z107*1.02</f>
        <v>132369.13076029057</v>
      </c>
      <c r="AA107" s="15">
        <f>'FY26'!AA107*1.02</f>
        <v>0</v>
      </c>
      <c r="AB107" s="15">
        <f>'FY26'!AB107*1.02</f>
        <v>0</v>
      </c>
      <c r="AC107" s="15">
        <f>'FY26'!AC107*1.02</f>
        <v>0</v>
      </c>
      <c r="AD107" s="7">
        <f t="shared" si="243"/>
        <v>132369.13076029057</v>
      </c>
      <c r="AF107" s="15">
        <f>'FY26'!AF107*1.02</f>
        <v>0</v>
      </c>
      <c r="AG107" s="15">
        <f>'FY26'!AG107*1.02</f>
        <v>62730</v>
      </c>
      <c r="AH107" s="15">
        <f>'FY26'!AH107*1.02</f>
        <v>0</v>
      </c>
      <c r="AI107" s="7"/>
      <c r="AJ107" s="7">
        <f t="shared" si="244"/>
        <v>62730</v>
      </c>
      <c r="AL107" s="15">
        <f>'FY26'!AL107*1.02</f>
        <v>0</v>
      </c>
      <c r="AM107" s="15">
        <f>'FY26'!AM107*1.02</f>
        <v>0</v>
      </c>
      <c r="AN107" s="15">
        <v>0</v>
      </c>
      <c r="AO107" s="15">
        <v>0</v>
      </c>
      <c r="AP107" s="7">
        <f t="shared" si="245"/>
        <v>0</v>
      </c>
      <c r="AR107" s="7">
        <f>(58500*1.015*1.02)*AR45</f>
        <v>0</v>
      </c>
      <c r="AS107" s="7"/>
      <c r="AT107" s="7"/>
      <c r="AU107" s="7"/>
      <c r="AV107" s="7">
        <f t="shared" si="246"/>
        <v>0</v>
      </c>
      <c r="AX107" s="7">
        <f t="shared" si="249"/>
        <v>660412.61212293955</v>
      </c>
      <c r="AY107" s="7">
        <f t="shared" si="247"/>
        <v>62730</v>
      </c>
      <c r="AZ107" s="7">
        <f t="shared" si="247"/>
        <v>0</v>
      </c>
      <c r="BA107" s="7">
        <f t="shared" si="247"/>
        <v>0</v>
      </c>
      <c r="BB107" s="7">
        <f t="shared" si="248"/>
        <v>723142.61212293955</v>
      </c>
    </row>
    <row r="108" spans="1:54" x14ac:dyDescent="0.25">
      <c r="A108" s="62" t="s">
        <v>89</v>
      </c>
      <c r="B108" s="7">
        <f>51750*B39</f>
        <v>2147625</v>
      </c>
      <c r="C108" s="7">
        <f t="shared" ref="C108:E108" si="250">47350*C39</f>
        <v>0</v>
      </c>
      <c r="D108" s="7">
        <v>0</v>
      </c>
      <c r="E108" s="7">
        <f t="shared" si="250"/>
        <v>0</v>
      </c>
      <c r="F108" s="7">
        <f t="shared" si="239"/>
        <v>2147625</v>
      </c>
      <c r="G108" s="214">
        <f>F108/B39</f>
        <v>51750</v>
      </c>
      <c r="H108" s="7">
        <f>51750*H39</f>
        <v>5175000</v>
      </c>
      <c r="I108" s="7">
        <f t="shared" ref="I108" si="251">47350*I39</f>
        <v>0</v>
      </c>
      <c r="J108" s="7">
        <v>0</v>
      </c>
      <c r="K108" s="7">
        <f t="shared" ref="K108" si="252">47350*K39</f>
        <v>0</v>
      </c>
      <c r="L108" s="7">
        <f t="shared" si="240"/>
        <v>5175000</v>
      </c>
      <c r="M108" s="214">
        <f>L108/H39</f>
        <v>51750</v>
      </c>
      <c r="N108" s="7">
        <f>51750*N39</f>
        <v>2225250</v>
      </c>
      <c r="O108" s="7">
        <f t="shared" ref="O108" si="253">47350*O39</f>
        <v>0</v>
      </c>
      <c r="P108" s="7">
        <v>0</v>
      </c>
      <c r="Q108" s="7">
        <f t="shared" ref="Q108" si="254">47350*Q39</f>
        <v>0</v>
      </c>
      <c r="R108" s="7">
        <f t="shared" si="241"/>
        <v>2225250</v>
      </c>
      <c r="S108" s="214">
        <f>R108/N39</f>
        <v>51750</v>
      </c>
      <c r="T108" s="7">
        <f>51750*T39</f>
        <v>2742750</v>
      </c>
      <c r="U108" s="7">
        <f t="shared" ref="U108" si="255">47350*U39</f>
        <v>0</v>
      </c>
      <c r="V108" s="7">
        <v>0</v>
      </c>
      <c r="W108" s="7">
        <f t="shared" ref="W108" si="256">47350*W39</f>
        <v>0</v>
      </c>
      <c r="X108" s="7">
        <f t="shared" si="242"/>
        <v>2742750</v>
      </c>
      <c r="Y108" s="214">
        <f>X108/T39</f>
        <v>51750</v>
      </c>
      <c r="Z108" s="7">
        <f>51750*Z39</f>
        <v>5045625</v>
      </c>
      <c r="AA108" s="7">
        <f t="shared" ref="AA108" si="257">47350*AA39</f>
        <v>0</v>
      </c>
      <c r="AB108" s="7">
        <v>0</v>
      </c>
      <c r="AC108" s="7">
        <f t="shared" ref="AC108" si="258">47350*AC39</f>
        <v>0</v>
      </c>
      <c r="AD108" s="7">
        <f t="shared" si="243"/>
        <v>5045625</v>
      </c>
      <c r="AE108" s="214">
        <f>AD108/Z39</f>
        <v>51750</v>
      </c>
      <c r="AF108" s="7">
        <f>51750*AF39</f>
        <v>2354625</v>
      </c>
      <c r="AG108" s="7">
        <f t="shared" ref="AG108" si="259">47350*AG39</f>
        <v>0</v>
      </c>
      <c r="AH108" s="7">
        <v>0</v>
      </c>
      <c r="AI108" s="7">
        <f t="shared" ref="AI108" si="260">47350*AI39</f>
        <v>0</v>
      </c>
      <c r="AJ108" s="7">
        <f t="shared" si="244"/>
        <v>2354625</v>
      </c>
      <c r="AK108" s="214">
        <f>AJ108/AF39</f>
        <v>51750</v>
      </c>
      <c r="AL108" s="15">
        <v>0</v>
      </c>
      <c r="AM108" s="15">
        <v>0</v>
      </c>
      <c r="AN108" s="15">
        <v>0</v>
      </c>
      <c r="AO108" s="15">
        <v>0</v>
      </c>
      <c r="AP108" s="7">
        <f t="shared" si="245"/>
        <v>0</v>
      </c>
      <c r="AR108" s="7">
        <f>(120*AR19)*6</f>
        <v>280800</v>
      </c>
      <c r="AS108" s="7"/>
      <c r="AT108" s="7"/>
      <c r="AU108" s="7"/>
      <c r="AV108" s="7">
        <f t="shared" si="246"/>
        <v>280800</v>
      </c>
      <c r="AX108" s="7">
        <f t="shared" si="249"/>
        <v>19971675</v>
      </c>
      <c r="AY108" s="7">
        <f t="shared" si="247"/>
        <v>0</v>
      </c>
      <c r="AZ108" s="7">
        <f t="shared" si="247"/>
        <v>0</v>
      </c>
      <c r="BA108" s="7">
        <f t="shared" si="247"/>
        <v>0</v>
      </c>
      <c r="BB108" s="7">
        <f t="shared" si="248"/>
        <v>19971675</v>
      </c>
    </row>
    <row r="109" spans="1:54" x14ac:dyDescent="0.25">
      <c r="A109" s="62" t="s">
        <v>90</v>
      </c>
      <c r="B109" s="14">
        <v>0</v>
      </c>
      <c r="C109" s="14"/>
      <c r="D109" s="14"/>
      <c r="E109" s="14"/>
      <c r="F109" s="7">
        <f t="shared" si="239"/>
        <v>0</v>
      </c>
      <c r="G109" s="214">
        <f>G108*1.02</f>
        <v>52785</v>
      </c>
      <c r="H109" s="14">
        <v>0</v>
      </c>
      <c r="I109" s="14"/>
      <c r="J109" s="14"/>
      <c r="K109" s="14"/>
      <c r="L109" s="7">
        <f t="shared" si="240"/>
        <v>0</v>
      </c>
      <c r="N109" s="14">
        <v>0</v>
      </c>
      <c r="O109" s="14"/>
      <c r="P109" s="14"/>
      <c r="Q109" s="14"/>
      <c r="R109" s="7">
        <f t="shared" si="241"/>
        <v>0</v>
      </c>
      <c r="T109" s="14">
        <v>0</v>
      </c>
      <c r="U109" s="14"/>
      <c r="V109" s="14"/>
      <c r="W109" s="14"/>
      <c r="X109" s="7">
        <f t="shared" si="242"/>
        <v>0</v>
      </c>
      <c r="Z109" s="14">
        <v>0</v>
      </c>
      <c r="AA109" s="14"/>
      <c r="AB109" s="14"/>
      <c r="AC109" s="14"/>
      <c r="AD109" s="7">
        <f t="shared" si="243"/>
        <v>0</v>
      </c>
      <c r="AF109" s="14">
        <v>0</v>
      </c>
      <c r="AG109" s="14"/>
      <c r="AH109" s="14"/>
      <c r="AI109" s="14"/>
      <c r="AJ109" s="7">
        <f t="shared" si="244"/>
        <v>0</v>
      </c>
      <c r="AL109" s="15">
        <v>0</v>
      </c>
      <c r="AM109" s="15">
        <v>0</v>
      </c>
      <c r="AN109" s="15">
        <v>0</v>
      </c>
      <c r="AO109" s="15">
        <v>0</v>
      </c>
      <c r="AP109" s="7">
        <f t="shared" si="245"/>
        <v>0</v>
      </c>
      <c r="AR109" s="14">
        <v>0</v>
      </c>
      <c r="AS109" s="14"/>
      <c r="AT109" s="14"/>
      <c r="AU109" s="14"/>
      <c r="AV109" s="7">
        <f t="shared" si="246"/>
        <v>0</v>
      </c>
      <c r="AX109" s="7">
        <f t="shared" si="249"/>
        <v>0</v>
      </c>
      <c r="AY109" s="7">
        <f t="shared" si="247"/>
        <v>0</v>
      </c>
      <c r="AZ109" s="7">
        <f t="shared" si="247"/>
        <v>0</v>
      </c>
      <c r="BA109" s="7">
        <f t="shared" si="247"/>
        <v>0</v>
      </c>
      <c r="BB109" s="7">
        <f t="shared" si="248"/>
        <v>0</v>
      </c>
    </row>
    <row r="110" spans="1:54" x14ac:dyDescent="0.25">
      <c r="A110" s="62" t="s">
        <v>30</v>
      </c>
      <c r="B110" s="7">
        <v>0</v>
      </c>
      <c r="C110" s="7"/>
      <c r="D110" s="7">
        <f>51750*D30</f>
        <v>207000</v>
      </c>
      <c r="E110" s="7"/>
      <c r="F110" s="7">
        <f t="shared" si="239"/>
        <v>207000</v>
      </c>
      <c r="H110" s="7">
        <v>0</v>
      </c>
      <c r="I110" s="7"/>
      <c r="J110" s="7">
        <f>51750*J30</f>
        <v>672750</v>
      </c>
      <c r="K110" s="7"/>
      <c r="L110" s="7">
        <f t="shared" si="240"/>
        <v>672750</v>
      </c>
      <c r="N110" s="7">
        <v>0</v>
      </c>
      <c r="O110" s="7"/>
      <c r="P110" s="7">
        <f>51750*P30</f>
        <v>207000</v>
      </c>
      <c r="Q110" s="7"/>
      <c r="R110" s="7">
        <f t="shared" si="241"/>
        <v>207000</v>
      </c>
      <c r="T110" s="7">
        <v>0</v>
      </c>
      <c r="U110" s="7"/>
      <c r="V110" s="7">
        <f>51750*V30</f>
        <v>258750</v>
      </c>
      <c r="W110" s="7"/>
      <c r="X110" s="7">
        <f t="shared" si="242"/>
        <v>258750</v>
      </c>
      <c r="Z110" s="7">
        <v>0</v>
      </c>
      <c r="AA110" s="7"/>
      <c r="AB110" s="7">
        <f>51750*AB30</f>
        <v>517500</v>
      </c>
      <c r="AC110" s="7"/>
      <c r="AD110" s="7">
        <f t="shared" si="243"/>
        <v>517500</v>
      </c>
      <c r="AF110" s="7">
        <v>0</v>
      </c>
      <c r="AG110" s="7"/>
      <c r="AH110" s="7">
        <f>51750*AH30</f>
        <v>258750</v>
      </c>
      <c r="AI110" s="7"/>
      <c r="AJ110" s="7">
        <f t="shared" si="244"/>
        <v>258750</v>
      </c>
      <c r="AL110" s="15">
        <v>0</v>
      </c>
      <c r="AM110" s="15">
        <v>0</v>
      </c>
      <c r="AN110" s="15">
        <v>0</v>
      </c>
      <c r="AO110" s="15">
        <v>0</v>
      </c>
      <c r="AP110" s="7">
        <f t="shared" si="245"/>
        <v>0</v>
      </c>
      <c r="AR110" s="7">
        <v>0</v>
      </c>
      <c r="AS110" s="7"/>
      <c r="AT110" s="7">
        <f>50000*1.04</f>
        <v>52000</v>
      </c>
      <c r="AU110" s="7"/>
      <c r="AV110" s="7">
        <f t="shared" si="246"/>
        <v>52000</v>
      </c>
      <c r="AX110" s="7">
        <f t="shared" si="249"/>
        <v>0</v>
      </c>
      <c r="AY110" s="7">
        <f t="shared" si="247"/>
        <v>0</v>
      </c>
      <c r="AZ110" s="7">
        <f t="shared" si="247"/>
        <v>2173750</v>
      </c>
      <c r="BA110" s="7">
        <f t="shared" si="247"/>
        <v>0</v>
      </c>
      <c r="BB110" s="7">
        <f t="shared" si="248"/>
        <v>2173750</v>
      </c>
    </row>
    <row r="111" spans="1:54" x14ac:dyDescent="0.25">
      <c r="A111" s="62" t="s">
        <v>91</v>
      </c>
      <c r="B111" s="15">
        <f>'FY26'!B111*1.02</f>
        <v>123093.29128478715</v>
      </c>
      <c r="C111" s="7"/>
      <c r="D111" s="7"/>
      <c r="E111" s="7"/>
      <c r="F111" s="7">
        <f t="shared" si="239"/>
        <v>123093.29128478715</v>
      </c>
      <c r="H111" s="15">
        <f>'FY26'!H111*1.02</f>
        <v>210479.75616044164</v>
      </c>
      <c r="I111" s="7"/>
      <c r="J111" s="7"/>
      <c r="K111" s="7"/>
      <c r="L111" s="7">
        <f t="shared" si="240"/>
        <v>210479.75616044164</v>
      </c>
      <c r="N111" s="15">
        <f>'FY26'!N111*1.02</f>
        <v>108247.29482086531</v>
      </c>
      <c r="O111" s="7"/>
      <c r="P111" s="7"/>
      <c r="Q111" s="7"/>
      <c r="R111" s="7">
        <f t="shared" si="241"/>
        <v>108247.29482086531</v>
      </c>
      <c r="T111" s="15">
        <f>'FY26'!T111*1.02</f>
        <v>100245.91083199458</v>
      </c>
      <c r="U111" s="7"/>
      <c r="V111" s="7"/>
      <c r="W111" s="7"/>
      <c r="X111" s="7">
        <f t="shared" si="242"/>
        <v>100245.91083199458</v>
      </c>
      <c r="Z111" s="15">
        <f>'FY26'!Z111*1.02</f>
        <v>172813.75812691203</v>
      </c>
      <c r="AA111" s="7"/>
      <c r="AB111" s="7"/>
      <c r="AC111" s="7"/>
      <c r="AD111" s="7">
        <f t="shared" si="243"/>
        <v>172813.75812691203</v>
      </c>
      <c r="AF111" s="15">
        <f>'FY26'!AF111*1.02</f>
        <v>94572.36</v>
      </c>
      <c r="AG111" s="7"/>
      <c r="AH111" s="7"/>
      <c r="AI111" s="7"/>
      <c r="AJ111" s="7">
        <f t="shared" si="244"/>
        <v>94572.36</v>
      </c>
      <c r="AL111" s="15">
        <f>'FY26'!AL111*1.02</f>
        <v>78831.369348480002</v>
      </c>
      <c r="AM111" s="15">
        <v>0</v>
      </c>
      <c r="AN111" s="15">
        <v>0</v>
      </c>
      <c r="AO111" s="15">
        <v>0</v>
      </c>
      <c r="AP111" s="7">
        <f t="shared" si="245"/>
        <v>78831.369348480002</v>
      </c>
      <c r="AR111" s="7">
        <f>(46725*1.02)*(AR47+AR48)</f>
        <v>0</v>
      </c>
      <c r="AS111" s="7"/>
      <c r="AT111" s="7"/>
      <c r="AU111" s="7"/>
      <c r="AV111" s="7">
        <f t="shared" si="246"/>
        <v>0</v>
      </c>
      <c r="AX111" s="7">
        <f t="shared" si="249"/>
        <v>888283.74057348073</v>
      </c>
      <c r="AY111" s="7">
        <f t="shared" si="247"/>
        <v>0</v>
      </c>
      <c r="AZ111" s="7">
        <f t="shared" si="247"/>
        <v>0</v>
      </c>
      <c r="BA111" s="7">
        <f t="shared" si="247"/>
        <v>0</v>
      </c>
      <c r="BB111" s="7">
        <f t="shared" si="248"/>
        <v>888283.74057348073</v>
      </c>
    </row>
    <row r="112" spans="1:54" x14ac:dyDescent="0.25">
      <c r="A112" s="62" t="s">
        <v>92</v>
      </c>
      <c r="B112" s="15">
        <f>'FY26'!B112*1.02</f>
        <v>64075.082982876724</v>
      </c>
      <c r="C112" s="7"/>
      <c r="D112" s="7"/>
      <c r="E112" s="7"/>
      <c r="F112" s="7">
        <f t="shared" si="239"/>
        <v>64075.082982876724</v>
      </c>
      <c r="H112" s="7">
        <f>((42750+43800+56000)+(33000+19000))*1.015*1.02*1.0125</f>
        <v>203935.33518749996</v>
      </c>
      <c r="I112" s="7"/>
      <c r="J112" s="7"/>
      <c r="K112" s="7"/>
      <c r="L112" s="7">
        <f t="shared" si="240"/>
        <v>203935.33518749996</v>
      </c>
      <c r="N112" s="7">
        <f>(17*8*190)*(N49+N50)</f>
        <v>51680</v>
      </c>
      <c r="O112" s="7"/>
      <c r="P112" s="7"/>
      <c r="Q112" s="7"/>
      <c r="R112" s="7">
        <f t="shared" si="241"/>
        <v>51680</v>
      </c>
      <c r="T112" s="7">
        <f>(14.75*8*190)*(T49+T50)</f>
        <v>44840</v>
      </c>
      <c r="U112" s="7"/>
      <c r="V112" s="7"/>
      <c r="W112" s="7"/>
      <c r="X112" s="7">
        <f t="shared" si="242"/>
        <v>44840</v>
      </c>
      <c r="Z112" s="7">
        <f>(14*8*200)*(Z49+Z50)</f>
        <v>89600</v>
      </c>
      <c r="AA112" s="7"/>
      <c r="AB112" s="7"/>
      <c r="AC112" s="7"/>
      <c r="AD112" s="7">
        <f t="shared" si="243"/>
        <v>89600</v>
      </c>
      <c r="AF112" s="7">
        <f>(14.75*8*200)*(AF49+AF50)</f>
        <v>47200</v>
      </c>
      <c r="AG112" s="7"/>
      <c r="AH112" s="7"/>
      <c r="AI112" s="7"/>
      <c r="AJ112" s="7">
        <f t="shared" si="244"/>
        <v>47200</v>
      </c>
      <c r="AL112" s="15">
        <v>0</v>
      </c>
      <c r="AM112" s="15">
        <v>0</v>
      </c>
      <c r="AN112" s="15">
        <v>0</v>
      </c>
      <c r="AO112" s="15">
        <v>0</v>
      </c>
      <c r="AP112" s="7">
        <f t="shared" si="245"/>
        <v>0</v>
      </c>
      <c r="AR112" s="7">
        <v>0</v>
      </c>
      <c r="AS112" s="7"/>
      <c r="AT112" s="7"/>
      <c r="AU112" s="7"/>
      <c r="AV112" s="7">
        <f t="shared" si="246"/>
        <v>0</v>
      </c>
      <c r="AX112" s="7">
        <f t="shared" si="249"/>
        <v>501330.41817037668</v>
      </c>
      <c r="AY112" s="7">
        <f t="shared" si="247"/>
        <v>0</v>
      </c>
      <c r="AZ112" s="7">
        <f t="shared" si="247"/>
        <v>0</v>
      </c>
      <c r="BA112" s="7">
        <f t="shared" si="247"/>
        <v>0</v>
      </c>
      <c r="BB112" s="7">
        <f t="shared" si="248"/>
        <v>501330.41817037668</v>
      </c>
    </row>
    <row r="113" spans="1:54" x14ac:dyDescent="0.25">
      <c r="A113" s="62" t="s">
        <v>93</v>
      </c>
      <c r="B113" s="7">
        <f>(13.5*8*200)*B51</f>
        <v>0</v>
      </c>
      <c r="C113" s="7">
        <f>(15*8*180)*C51</f>
        <v>32400</v>
      </c>
      <c r="D113" s="7">
        <f>(15*8*180)*D51</f>
        <v>86400</v>
      </c>
      <c r="E113" s="7">
        <v>0</v>
      </c>
      <c r="F113" s="7">
        <f t="shared" si="239"/>
        <v>118800</v>
      </c>
      <c r="H113" s="7">
        <f>(13.5*8*200)*H51</f>
        <v>0</v>
      </c>
      <c r="I113" s="7">
        <f>(15.25*8*180)*I51</f>
        <v>219600</v>
      </c>
      <c r="J113" s="7">
        <f>(15.25*8*180)*J51</f>
        <v>285480</v>
      </c>
      <c r="K113" s="7">
        <v>0</v>
      </c>
      <c r="L113" s="7">
        <f t="shared" si="240"/>
        <v>505080</v>
      </c>
      <c r="N113" s="7">
        <f>(13.5*8*200)*N51</f>
        <v>0</v>
      </c>
      <c r="O113" s="7">
        <f>(15.5*8*180)*O51</f>
        <v>100440</v>
      </c>
      <c r="P113" s="7">
        <f>(15.5*8*180)*P51</f>
        <v>89280</v>
      </c>
      <c r="Q113" s="7">
        <v>0</v>
      </c>
      <c r="R113" s="7">
        <f t="shared" si="241"/>
        <v>189720</v>
      </c>
      <c r="T113" s="7">
        <f>(15*8*180)*T51</f>
        <v>32400</v>
      </c>
      <c r="U113" s="7">
        <f>(15*8*180)*U51</f>
        <v>43200</v>
      </c>
      <c r="V113" s="7">
        <f>(15*8*180)*V51</f>
        <v>108000</v>
      </c>
      <c r="W113" s="7">
        <v>0</v>
      </c>
      <c r="X113" s="7">
        <f t="shared" si="242"/>
        <v>183600</v>
      </c>
      <c r="Z113" s="7">
        <f>(13.5*8*200)*Z51</f>
        <v>0</v>
      </c>
      <c r="AA113" s="7">
        <f>(15.25*8*180)*AA51</f>
        <v>87840</v>
      </c>
      <c r="AB113" s="7">
        <f>(15.25*8*180)*AB51</f>
        <v>219600</v>
      </c>
      <c r="AC113" s="7">
        <v>0</v>
      </c>
      <c r="AD113" s="7">
        <f t="shared" si="243"/>
        <v>307440</v>
      </c>
      <c r="AF113" s="7">
        <f>(14.75*8*200)*AF51</f>
        <v>0</v>
      </c>
      <c r="AG113" s="7">
        <f t="shared" ref="AG113:AH113" si="261">(14.75*8*200)*AG51</f>
        <v>0</v>
      </c>
      <c r="AH113" s="7">
        <f t="shared" si="261"/>
        <v>118000</v>
      </c>
      <c r="AI113" s="7"/>
      <c r="AJ113" s="7">
        <f t="shared" si="244"/>
        <v>118000</v>
      </c>
      <c r="AL113" s="15">
        <v>0</v>
      </c>
      <c r="AM113" s="15">
        <v>0</v>
      </c>
      <c r="AN113" s="15">
        <v>0</v>
      </c>
      <c r="AO113" s="15">
        <v>0</v>
      </c>
      <c r="AP113" s="7">
        <f t="shared" si="245"/>
        <v>0</v>
      </c>
      <c r="AR113" s="7">
        <f>(15.5*8*200)*AR51</f>
        <v>0</v>
      </c>
      <c r="AS113" s="7">
        <f>(15.5*8*180)*AS51</f>
        <v>0</v>
      </c>
      <c r="AT113" s="7">
        <f>(15.5*8*180)*AT51</f>
        <v>22320</v>
      </c>
      <c r="AU113" s="7">
        <f>(14.5*8*180)*AU51</f>
        <v>0</v>
      </c>
      <c r="AV113" s="7">
        <f t="shared" si="246"/>
        <v>22320</v>
      </c>
      <c r="AX113" s="7">
        <f t="shared" si="249"/>
        <v>32400</v>
      </c>
      <c r="AY113" s="7">
        <f t="shared" si="247"/>
        <v>483480</v>
      </c>
      <c r="AZ113" s="7">
        <f t="shared" si="247"/>
        <v>929080</v>
      </c>
      <c r="BA113" s="7">
        <f t="shared" si="247"/>
        <v>0</v>
      </c>
      <c r="BB113" s="7">
        <f t="shared" si="248"/>
        <v>1444960</v>
      </c>
    </row>
    <row r="114" spans="1:54" x14ac:dyDescent="0.25">
      <c r="A114" s="62" t="s">
        <v>94</v>
      </c>
      <c r="B114" s="7">
        <f>(23.75*8*240)*B52</f>
        <v>45600</v>
      </c>
      <c r="C114" s="7"/>
      <c r="D114" s="7">
        <f>(22.75*8*240)*D52</f>
        <v>0</v>
      </c>
      <c r="E114" s="7"/>
      <c r="F114" s="7">
        <f t="shared" si="239"/>
        <v>45600</v>
      </c>
      <c r="H114" s="7">
        <f>(16*8*240)*H52</f>
        <v>153600</v>
      </c>
      <c r="I114" s="7"/>
      <c r="J114" s="7">
        <f>(22.75*8*240)*J52</f>
        <v>0</v>
      </c>
      <c r="K114" s="7"/>
      <c r="L114" s="7">
        <f t="shared" si="240"/>
        <v>153600</v>
      </c>
      <c r="N114" s="7">
        <f>(16.5*8*240)*N52</f>
        <v>63360</v>
      </c>
      <c r="O114" s="7"/>
      <c r="P114" s="7">
        <f>(22.75*8*240)*P52</f>
        <v>0</v>
      </c>
      <c r="Q114" s="7"/>
      <c r="R114" s="7">
        <f t="shared" si="241"/>
        <v>63360</v>
      </c>
      <c r="T114" s="7">
        <f>(15*8*240)*T52</f>
        <v>57600</v>
      </c>
      <c r="U114" s="7"/>
      <c r="V114" s="7">
        <f>(22.75*8*240)*V52</f>
        <v>0</v>
      </c>
      <c r="W114" s="7"/>
      <c r="X114" s="7">
        <f t="shared" si="242"/>
        <v>57600</v>
      </c>
      <c r="Z114" s="7">
        <f>(16*8*240)*Z52</f>
        <v>122880</v>
      </c>
      <c r="AA114" s="7"/>
      <c r="AB114" s="7">
        <f>(22.75*8*240)*AB52</f>
        <v>0</v>
      </c>
      <c r="AC114" s="7"/>
      <c r="AD114" s="7">
        <f t="shared" si="243"/>
        <v>122880</v>
      </c>
      <c r="AF114" s="7">
        <f>(14.75*8*240)*AF52</f>
        <v>56640</v>
      </c>
      <c r="AG114" s="7"/>
      <c r="AH114" s="7">
        <f>(22.75*8*240)*AH52</f>
        <v>0</v>
      </c>
      <c r="AI114" s="7"/>
      <c r="AJ114" s="7">
        <f t="shared" si="244"/>
        <v>56640</v>
      </c>
      <c r="AL114" s="15">
        <v>0</v>
      </c>
      <c r="AM114" s="15">
        <v>0</v>
      </c>
      <c r="AN114" s="15">
        <v>0</v>
      </c>
      <c r="AO114" s="15">
        <v>0</v>
      </c>
      <c r="AP114" s="7">
        <f t="shared" si="245"/>
        <v>0</v>
      </c>
      <c r="AR114" s="7">
        <f>(14*8*240)*AR52</f>
        <v>0</v>
      </c>
      <c r="AS114" s="7"/>
      <c r="AT114" s="7"/>
      <c r="AU114" s="7"/>
      <c r="AV114" s="7">
        <f t="shared" si="246"/>
        <v>0</v>
      </c>
      <c r="AX114" s="7">
        <f t="shared" si="249"/>
        <v>499680</v>
      </c>
      <c r="AY114" s="7">
        <f t="shared" si="247"/>
        <v>0</v>
      </c>
      <c r="AZ114" s="7">
        <f t="shared" si="247"/>
        <v>0</v>
      </c>
      <c r="BA114" s="7">
        <f t="shared" si="247"/>
        <v>0</v>
      </c>
      <c r="BB114" s="7">
        <f t="shared" si="248"/>
        <v>499680</v>
      </c>
    </row>
    <row r="115" spans="1:54" x14ac:dyDescent="0.25">
      <c r="A115" s="62" t="s">
        <v>248</v>
      </c>
      <c r="B115" s="7">
        <v>0</v>
      </c>
      <c r="C115" s="7">
        <f>(12.75*8*180)*C54</f>
        <v>0</v>
      </c>
      <c r="D115" s="7"/>
      <c r="E115" s="7"/>
      <c r="F115" s="7">
        <f t="shared" si="239"/>
        <v>0</v>
      </c>
      <c r="H115" s="7">
        <v>0</v>
      </c>
      <c r="I115" s="7">
        <f>(12.75*8*180)*I54</f>
        <v>0</v>
      </c>
      <c r="J115" s="7"/>
      <c r="K115" s="7"/>
      <c r="L115" s="7">
        <f t="shared" si="240"/>
        <v>0</v>
      </c>
      <c r="N115" s="7">
        <v>0</v>
      </c>
      <c r="O115" s="7">
        <f>(12.75*8*180)*O54</f>
        <v>0</v>
      </c>
      <c r="P115" s="7"/>
      <c r="Q115" s="7"/>
      <c r="R115" s="7">
        <f t="shared" si="241"/>
        <v>0</v>
      </c>
      <c r="T115" s="7">
        <v>0</v>
      </c>
      <c r="U115" s="7">
        <f>(12.75*8*180)*U54</f>
        <v>0</v>
      </c>
      <c r="V115" s="7"/>
      <c r="W115" s="7"/>
      <c r="X115" s="7">
        <f t="shared" si="242"/>
        <v>0</v>
      </c>
      <c r="Z115" s="7">
        <v>0</v>
      </c>
      <c r="AA115" s="7">
        <f>(12.75*8*180)*AA54</f>
        <v>0</v>
      </c>
      <c r="AB115" s="7"/>
      <c r="AC115" s="7"/>
      <c r="AD115" s="7">
        <f t="shared" si="243"/>
        <v>0</v>
      </c>
      <c r="AF115" s="7">
        <v>0</v>
      </c>
      <c r="AG115" s="7">
        <f>(12.75*8*180)*AG54</f>
        <v>0</v>
      </c>
      <c r="AH115" s="7"/>
      <c r="AI115" s="7"/>
      <c r="AJ115" s="7">
        <f t="shared" si="244"/>
        <v>0</v>
      </c>
      <c r="AL115" s="15">
        <v>0</v>
      </c>
      <c r="AM115" s="15">
        <v>0</v>
      </c>
      <c r="AN115" s="15">
        <v>0</v>
      </c>
      <c r="AO115" s="15">
        <v>0</v>
      </c>
      <c r="AP115" s="7">
        <f t="shared" si="245"/>
        <v>0</v>
      </c>
      <c r="AR115" s="7">
        <f>(55000*1.1)*2</f>
        <v>121000.00000000001</v>
      </c>
      <c r="AS115" s="7">
        <f>(12.75*8*180)*AS54</f>
        <v>0</v>
      </c>
      <c r="AT115" s="7"/>
      <c r="AU115" s="7"/>
      <c r="AV115" s="7">
        <f t="shared" si="246"/>
        <v>121000.00000000001</v>
      </c>
      <c r="AX115" s="7">
        <f t="shared" si="249"/>
        <v>121000.00000000001</v>
      </c>
      <c r="AY115" s="7">
        <f t="shared" si="247"/>
        <v>0</v>
      </c>
      <c r="AZ115" s="7">
        <f t="shared" si="247"/>
        <v>0</v>
      </c>
      <c r="BA115" s="7">
        <f t="shared" si="247"/>
        <v>0</v>
      </c>
      <c r="BB115" s="7">
        <f t="shared" si="248"/>
        <v>121000.00000000001</v>
      </c>
    </row>
    <row r="116" spans="1:54" ht="15.75" thickBot="1" x14ac:dyDescent="0.3">
      <c r="A116" s="82" t="s">
        <v>95</v>
      </c>
      <c r="B116" s="83">
        <f>SUM(B103:B115)</f>
        <v>2739845.3841436855</v>
      </c>
      <c r="C116" s="83">
        <f>SUM(C103:C115)</f>
        <v>109685.65622400001</v>
      </c>
      <c r="D116" s="83">
        <f t="shared" ref="D116:F116" si="262">SUM(D103:D115)</f>
        <v>293400</v>
      </c>
      <c r="E116" s="83">
        <f t="shared" si="262"/>
        <v>0</v>
      </c>
      <c r="F116" s="83">
        <f t="shared" si="262"/>
        <v>3142931.0403676853</v>
      </c>
      <c r="H116" s="83">
        <f>SUM(H103:H115)</f>
        <v>6647606.3243146744</v>
      </c>
      <c r="I116" s="83">
        <f>SUM(I103:I115)</f>
        <v>219600</v>
      </c>
      <c r="J116" s="83">
        <f t="shared" ref="J116:L116" si="263">SUM(J103:J115)</f>
        <v>958230</v>
      </c>
      <c r="K116" s="83">
        <f t="shared" si="263"/>
        <v>0</v>
      </c>
      <c r="L116" s="83">
        <f t="shared" si="263"/>
        <v>7825436.3243146744</v>
      </c>
      <c r="N116" s="83">
        <f>SUM(N103:N115)</f>
        <v>2809814.615243969</v>
      </c>
      <c r="O116" s="83">
        <f>SUM(O103:O115)</f>
        <v>162378.93305952</v>
      </c>
      <c r="P116" s="83">
        <f t="shared" ref="P116:R116" si="264">SUM(P103:P115)</f>
        <v>296280</v>
      </c>
      <c r="Q116" s="83">
        <f t="shared" si="264"/>
        <v>0</v>
      </c>
      <c r="R116" s="83">
        <f t="shared" si="264"/>
        <v>3268473.5483034891</v>
      </c>
      <c r="T116" s="83">
        <f>SUM(T103:T115)</f>
        <v>3478866.5691649998</v>
      </c>
      <c r="U116" s="83">
        <f>SUM(U103:U115)</f>
        <v>43200</v>
      </c>
      <c r="V116" s="83">
        <f t="shared" ref="V116:X116" si="265">SUM(V103:V115)</f>
        <v>366750</v>
      </c>
      <c r="W116" s="83">
        <f t="shared" si="265"/>
        <v>0</v>
      </c>
      <c r="X116" s="83">
        <f t="shared" si="265"/>
        <v>3888816.5691649998</v>
      </c>
      <c r="Z116" s="83">
        <f>SUM(Z103:Z115)</f>
        <v>6028908.1321460074</v>
      </c>
      <c r="AA116" s="83">
        <f>SUM(AA103:AA115)</f>
        <v>87840</v>
      </c>
      <c r="AB116" s="83">
        <f t="shared" ref="AB116:AD116" si="266">SUM(AB103:AB115)</f>
        <v>834518.89439999999</v>
      </c>
      <c r="AC116" s="83">
        <f t="shared" si="266"/>
        <v>0</v>
      </c>
      <c r="AD116" s="83">
        <f t="shared" si="266"/>
        <v>6951267.026546008</v>
      </c>
      <c r="AF116" s="83">
        <f>SUM(AF103:AF115)</f>
        <v>2902390.84</v>
      </c>
      <c r="AG116" s="83">
        <f>SUM(AG103:AG115)</f>
        <v>229858.52000000002</v>
      </c>
      <c r="AH116" s="83">
        <f t="shared" ref="AH116:AJ116" si="267">SUM(AH103:AH115)</f>
        <v>376750</v>
      </c>
      <c r="AI116" s="83">
        <f t="shared" si="267"/>
        <v>0</v>
      </c>
      <c r="AJ116" s="83">
        <f t="shared" si="267"/>
        <v>3508999.36</v>
      </c>
      <c r="AL116" s="83">
        <f>SUM(AL103:AL115)</f>
        <v>157662.73869696</v>
      </c>
      <c r="AM116" s="83">
        <f>SUM(AM103:AM115)</f>
        <v>0</v>
      </c>
      <c r="AN116" s="83">
        <f t="shared" ref="AN116:AP116" si="268">SUM(AN103:AN115)</f>
        <v>0</v>
      </c>
      <c r="AO116" s="83">
        <f t="shared" si="268"/>
        <v>0</v>
      </c>
      <c r="AP116" s="83">
        <f t="shared" si="268"/>
        <v>157662.73869696</v>
      </c>
      <c r="AR116" s="83">
        <f>SUM(AR103:AR115)</f>
        <v>401800</v>
      </c>
      <c r="AS116" s="83">
        <f>SUM(AS103:AS115)</f>
        <v>0</v>
      </c>
      <c r="AT116" s="83">
        <f t="shared" ref="AT116:AV116" si="269">SUM(AT103:AT115)</f>
        <v>74320</v>
      </c>
      <c r="AU116" s="83">
        <f t="shared" si="269"/>
        <v>0</v>
      </c>
      <c r="AV116" s="83">
        <f t="shared" si="269"/>
        <v>476120</v>
      </c>
      <c r="AX116" s="83">
        <f>SUM(AX103:AX115)</f>
        <v>25166894.603710297</v>
      </c>
      <c r="AY116" s="83">
        <f>SUM(AY103:AY115)</f>
        <v>852563.10928352003</v>
      </c>
      <c r="AZ116" s="83">
        <f t="shared" ref="AZ116:BB116" si="270">SUM(AZ103:AZ115)</f>
        <v>3200248.8944000001</v>
      </c>
      <c r="BA116" s="83">
        <f t="shared" si="270"/>
        <v>0</v>
      </c>
      <c r="BB116" s="83">
        <f t="shared" si="270"/>
        <v>29219706.607393816</v>
      </c>
    </row>
    <row r="117" spans="1:54" x14ac:dyDescent="0.25">
      <c r="A117" s="84" t="s">
        <v>96</v>
      </c>
      <c r="B117" s="150" t="str">
        <f>B1</f>
        <v>Operating</v>
      </c>
      <c r="C117" s="150" t="str">
        <f>C1</f>
        <v>Weights</v>
      </c>
      <c r="D117" s="150" t="str">
        <f>D1</f>
        <v>SPED</v>
      </c>
      <c r="E117" s="150" t="str">
        <f t="shared" ref="E117:F117" si="271">E1</f>
        <v>NSLP</v>
      </c>
      <c r="F117" s="150" t="str">
        <f t="shared" si="271"/>
        <v>Horizon</v>
      </c>
      <c r="H117" s="150" t="str">
        <f>H1</f>
        <v>Operating</v>
      </c>
      <c r="I117" s="150" t="str">
        <f>I1</f>
        <v>Weights</v>
      </c>
      <c r="J117" s="150" t="str">
        <f>J1</f>
        <v>SPED</v>
      </c>
      <c r="K117" s="150" t="str">
        <f t="shared" ref="K117:L117" si="272">K1</f>
        <v>NSLP</v>
      </c>
      <c r="L117" s="150" t="str">
        <f t="shared" si="272"/>
        <v>Cadence</v>
      </c>
      <c r="N117" s="150" t="str">
        <f>N1</f>
        <v>Operating</v>
      </c>
      <c r="O117" s="150" t="str">
        <f>O1</f>
        <v>Weights</v>
      </c>
      <c r="P117" s="150" t="str">
        <f>P1</f>
        <v>SPED</v>
      </c>
      <c r="Q117" s="150" t="str">
        <f t="shared" ref="Q117:R117" si="273">Q1</f>
        <v>NSLP</v>
      </c>
      <c r="R117" s="150" t="str">
        <f t="shared" si="273"/>
        <v>St. Rose</v>
      </c>
      <c r="T117" s="150" t="str">
        <f>T1</f>
        <v>Operating</v>
      </c>
      <c r="U117" s="150" t="str">
        <f>U1</f>
        <v>Weights</v>
      </c>
      <c r="V117" s="150" t="str">
        <f>V1</f>
        <v>SPED</v>
      </c>
      <c r="W117" s="150" t="str">
        <f t="shared" ref="W117:X117" si="274">W1</f>
        <v>NSLP</v>
      </c>
      <c r="X117" s="150" t="str">
        <f t="shared" si="274"/>
        <v>Inspirada</v>
      </c>
      <c r="Z117" s="150" t="str">
        <f>Z1</f>
        <v>Operating</v>
      </c>
      <c r="AA117" s="150" t="str">
        <f>AA1</f>
        <v>Weights</v>
      </c>
      <c r="AB117" s="150" t="str">
        <f>AB1</f>
        <v>SPED</v>
      </c>
      <c r="AC117" s="150" t="str">
        <f t="shared" ref="AC117:AD117" si="275">AC1</f>
        <v>NSLP</v>
      </c>
      <c r="AD117" s="150" t="str">
        <f t="shared" si="275"/>
        <v>Sloan Canyon</v>
      </c>
      <c r="AF117" s="150" t="str">
        <f>AF1</f>
        <v>Operating</v>
      </c>
      <c r="AG117" s="150" t="str">
        <f>AG1</f>
        <v>Weights</v>
      </c>
      <c r="AH117" s="150" t="str">
        <f>AH1</f>
        <v>SPED</v>
      </c>
      <c r="AI117" s="150" t="str">
        <f t="shared" ref="AI117:AJ117" si="276">AI1</f>
        <v>NSLP</v>
      </c>
      <c r="AJ117" s="150" t="str">
        <f t="shared" si="276"/>
        <v>Springs</v>
      </c>
      <c r="AL117" s="150" t="str">
        <f>AL1</f>
        <v>Operating</v>
      </c>
      <c r="AM117" s="150" t="str">
        <f>AM1</f>
        <v>Weights</v>
      </c>
      <c r="AN117" s="150" t="str">
        <f>AN1</f>
        <v>SPED</v>
      </c>
      <c r="AO117" s="150" t="str">
        <f t="shared" ref="AO117:AP117" si="277">AO1</f>
        <v>NSLP</v>
      </c>
      <c r="AP117" s="150" t="str">
        <f t="shared" si="277"/>
        <v>System Wide</v>
      </c>
      <c r="AR117" s="150" t="str">
        <f>AR1</f>
        <v>Operating</v>
      </c>
      <c r="AS117" s="150" t="str">
        <f>AS1</f>
        <v>Weights</v>
      </c>
      <c r="AT117" s="150" t="str">
        <f>AT1</f>
        <v>SPED</v>
      </c>
      <c r="AU117" s="150" t="str">
        <f t="shared" ref="AU117:AV117" si="278">AU1</f>
        <v>NSLP</v>
      </c>
      <c r="AV117" s="150" t="str">
        <f t="shared" si="278"/>
        <v>Virtual</v>
      </c>
      <c r="AX117" s="150" t="str">
        <f>AX1</f>
        <v>Operating</v>
      </c>
      <c r="AY117" s="150" t="str">
        <f>AY1</f>
        <v>Weights</v>
      </c>
      <c r="AZ117" s="150" t="str">
        <f>AZ1</f>
        <v>SPED</v>
      </c>
      <c r="BA117" s="150" t="str">
        <f t="shared" ref="BA117:BB117" si="279">BA1</f>
        <v>NSLP</v>
      </c>
      <c r="BB117" s="150" t="str">
        <f t="shared" si="279"/>
        <v>Pinecrest System</v>
      </c>
    </row>
    <row r="118" spans="1:54" x14ac:dyDescent="0.25">
      <c r="A118" s="62"/>
      <c r="B118" s="7"/>
      <c r="C118" s="7"/>
      <c r="D118" s="7"/>
      <c r="E118" s="7"/>
      <c r="F118" s="7">
        <f t="shared" ref="F118:F127" si="280">SUM(B118:E118)</f>
        <v>0</v>
      </c>
      <c r="H118" s="7"/>
      <c r="I118" s="7"/>
      <c r="J118" s="7"/>
      <c r="K118" s="7"/>
      <c r="L118" s="7">
        <f t="shared" ref="L118:L127" si="281">SUM(H118:K118)</f>
        <v>0</v>
      </c>
      <c r="N118" s="7"/>
      <c r="O118" s="7"/>
      <c r="P118" s="7"/>
      <c r="Q118" s="7"/>
      <c r="R118" s="7">
        <f t="shared" ref="R118:R127" si="282">SUM(N118:Q118)</f>
        <v>0</v>
      </c>
      <c r="T118" s="7"/>
      <c r="U118" s="7"/>
      <c r="V118" s="7"/>
      <c r="W118" s="7"/>
      <c r="X118" s="7">
        <f t="shared" ref="X118:X127" si="283">SUM(T118:W118)</f>
        <v>0</v>
      </c>
      <c r="Z118" s="7"/>
      <c r="AA118" s="7"/>
      <c r="AB118" s="7"/>
      <c r="AC118" s="7"/>
      <c r="AD118" s="7">
        <f t="shared" ref="AD118:AD127" si="284">SUM(Z118:AC118)</f>
        <v>0</v>
      </c>
      <c r="AF118" s="7"/>
      <c r="AG118" s="7"/>
      <c r="AH118" s="7"/>
      <c r="AI118" s="7"/>
      <c r="AJ118" s="7">
        <f t="shared" ref="AJ118:AJ127" si="285">SUM(AF118:AI118)</f>
        <v>0</v>
      </c>
      <c r="AL118" s="7"/>
      <c r="AM118" s="7"/>
      <c r="AN118" s="7"/>
      <c r="AO118" s="7"/>
      <c r="AP118" s="7">
        <f t="shared" ref="AP118:AP127" si="286">SUM(AL118:AO118)</f>
        <v>0</v>
      </c>
      <c r="AR118" s="7"/>
      <c r="AS118" s="7"/>
      <c r="AT118" s="7"/>
      <c r="AU118" s="7"/>
      <c r="AV118" s="7">
        <f t="shared" ref="AV118:AV127" si="287">SUM(AR118:AU118)</f>
        <v>0</v>
      </c>
      <c r="AX118" s="7">
        <f>B118+H118+N118+T118+Z118+AF118+AL118+AR118</f>
        <v>0</v>
      </c>
      <c r="AY118" s="7">
        <f t="shared" ref="AY118:BA127" si="288">C118+I118+O118+U118+AA118+AG118+AM118+AS118</f>
        <v>0</v>
      </c>
      <c r="AZ118" s="7">
        <f t="shared" si="288"/>
        <v>0</v>
      </c>
      <c r="BA118" s="7">
        <f t="shared" si="288"/>
        <v>0</v>
      </c>
      <c r="BB118" s="7">
        <f t="shared" ref="BB118:BB127" si="289">SUM(AX118:BA118)</f>
        <v>0</v>
      </c>
    </row>
    <row r="119" spans="1:54" x14ac:dyDescent="0.25">
      <c r="A119" s="62" t="s">
        <v>54</v>
      </c>
      <c r="B119" s="7">
        <v>0</v>
      </c>
      <c r="C119" s="15">
        <f>'FY26'!C119*1.02</f>
        <v>0</v>
      </c>
      <c r="D119" s="15">
        <f>'FY26'!D119*1.02</f>
        <v>71455.005502300832</v>
      </c>
      <c r="E119" s="15">
        <f>'FY26'!E119*1.02</f>
        <v>0</v>
      </c>
      <c r="F119" s="7">
        <f t="shared" si="280"/>
        <v>71455.005502300832</v>
      </c>
      <c r="H119" s="7">
        <v>0</v>
      </c>
      <c r="I119" s="15">
        <f>'FY26'!I119*1.02</f>
        <v>0</v>
      </c>
      <c r="J119" s="15">
        <f>'FY26'!J119*1.02</f>
        <v>71251.096932</v>
      </c>
      <c r="K119" s="15">
        <f>'FY26'!K119*1.02</f>
        <v>0</v>
      </c>
      <c r="L119" s="7">
        <f t="shared" si="281"/>
        <v>71251.096932</v>
      </c>
      <c r="N119" s="7">
        <v>0</v>
      </c>
      <c r="O119" s="15">
        <f>'FY26'!O119*1.02</f>
        <v>0</v>
      </c>
      <c r="P119" s="15">
        <f>'FY26'!P119*1.02</f>
        <v>66028.36176</v>
      </c>
      <c r="Q119" s="15">
        <f>'FY26'!Q119*1.02</f>
        <v>0</v>
      </c>
      <c r="R119" s="7">
        <f t="shared" si="282"/>
        <v>66028.36176</v>
      </c>
      <c r="T119" s="7">
        <v>0</v>
      </c>
      <c r="U119" s="15">
        <f>'FY26'!U119*1.02</f>
        <v>0</v>
      </c>
      <c r="V119" s="15">
        <f>'FY26'!V119*1.02</f>
        <v>49791.879359999999</v>
      </c>
      <c r="W119" s="15">
        <f>'FY26'!W119*1.02</f>
        <v>0</v>
      </c>
      <c r="X119" s="7">
        <f t="shared" si="283"/>
        <v>49791.879359999999</v>
      </c>
      <c r="Z119" s="7">
        <v>0</v>
      </c>
      <c r="AA119" s="15">
        <f>'FY26'!AA119*1.02</f>
        <v>0</v>
      </c>
      <c r="AB119" s="15">
        <f>'FY26'!AB119*1.02</f>
        <v>0</v>
      </c>
      <c r="AC119" s="15">
        <f>'FY26'!AC119*1.02</f>
        <v>0</v>
      </c>
      <c r="AD119" s="7">
        <f t="shared" si="284"/>
        <v>0</v>
      </c>
      <c r="AF119" s="7">
        <v>0</v>
      </c>
      <c r="AG119" s="7">
        <f>'FY23'!AG119*1.02</f>
        <v>0</v>
      </c>
      <c r="AH119" s="7">
        <f>'FY23'!AH119*1.02</f>
        <v>0</v>
      </c>
      <c r="AI119" s="7">
        <f>'FY23'!AI119*1.02</f>
        <v>0</v>
      </c>
      <c r="AJ119" s="7">
        <f t="shared" si="285"/>
        <v>0</v>
      </c>
      <c r="AL119" s="7">
        <v>0</v>
      </c>
      <c r="AM119" s="15">
        <f>'FY26'!AM119*1.02</f>
        <v>0</v>
      </c>
      <c r="AN119" s="15">
        <f>'FY26'!AN119*1.02</f>
        <v>0</v>
      </c>
      <c r="AO119" s="15">
        <f>'FY26'!AO119*1.02</f>
        <v>0</v>
      </c>
      <c r="AP119" s="7">
        <f t="shared" si="286"/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f t="shared" si="287"/>
        <v>0</v>
      </c>
      <c r="AX119" s="7">
        <f t="shared" ref="AX119:AX127" si="290">B119+H119+N119+T119+Z119+AF119+AL119+AR119</f>
        <v>0</v>
      </c>
      <c r="AY119" s="7">
        <f t="shared" si="288"/>
        <v>0</v>
      </c>
      <c r="AZ119" s="7">
        <f t="shared" si="288"/>
        <v>258526.34355430081</v>
      </c>
      <c r="BA119" s="7">
        <f t="shared" si="288"/>
        <v>0</v>
      </c>
      <c r="BB119" s="7">
        <f t="shared" si="289"/>
        <v>258526.34355430081</v>
      </c>
    </row>
    <row r="120" spans="1:54" x14ac:dyDescent="0.25">
      <c r="A120" s="62" t="s">
        <v>55</v>
      </c>
      <c r="B120" s="7">
        <v>0</v>
      </c>
      <c r="C120" s="15">
        <f>'FY26'!C120*1.02</f>
        <v>0</v>
      </c>
      <c r="D120" s="15">
        <f>'FY26'!D120*1.02</f>
        <v>0</v>
      </c>
      <c r="E120" s="15">
        <f>'FY26'!E120*1.02</f>
        <v>0</v>
      </c>
      <c r="F120" s="7">
        <f t="shared" si="280"/>
        <v>0</v>
      </c>
      <c r="H120" s="7">
        <v>0</v>
      </c>
      <c r="I120" s="15">
        <f>'FY26'!I120*1.02</f>
        <v>0</v>
      </c>
      <c r="J120" s="15">
        <f>'FY26'!J120*1.02</f>
        <v>51956.743680000007</v>
      </c>
      <c r="K120" s="15">
        <f>'FY26'!K120*1.02</f>
        <v>0</v>
      </c>
      <c r="L120" s="7">
        <f t="shared" si="281"/>
        <v>51956.743680000007</v>
      </c>
      <c r="N120" s="7">
        <v>0</v>
      </c>
      <c r="O120" s="15">
        <f>'FY26'!O120*1.02</f>
        <v>0</v>
      </c>
      <c r="P120" s="15">
        <f>'FY26'!P120*1.02</f>
        <v>0</v>
      </c>
      <c r="Q120" s="15">
        <f>'FY26'!Q120*1.02</f>
        <v>0</v>
      </c>
      <c r="R120" s="7">
        <f t="shared" si="282"/>
        <v>0</v>
      </c>
      <c r="T120" s="7">
        <v>0</v>
      </c>
      <c r="U120" s="15">
        <f>'FY26'!U120*1.02</f>
        <v>0</v>
      </c>
      <c r="V120" s="15">
        <f>'FY26'!V120*1.02</f>
        <v>46084.549211999998</v>
      </c>
      <c r="W120" s="15">
        <f>'FY26'!W120*1.02</f>
        <v>0</v>
      </c>
      <c r="X120" s="7">
        <f t="shared" si="283"/>
        <v>46084.549211999998</v>
      </c>
      <c r="Z120" s="7">
        <v>0</v>
      </c>
      <c r="AA120" s="15">
        <f>'FY26'!AA120*1.02</f>
        <v>0</v>
      </c>
      <c r="AB120" s="15">
        <f>'FY26'!AB120*1.02</f>
        <v>51803.471286144006</v>
      </c>
      <c r="AC120" s="15">
        <f>'FY26'!AC120*1.02</f>
        <v>0</v>
      </c>
      <c r="AD120" s="7">
        <f t="shared" si="284"/>
        <v>51803.471286144006</v>
      </c>
      <c r="AF120" s="7">
        <v>0</v>
      </c>
      <c r="AG120" s="7">
        <f>'FY23'!AG120*1.02</f>
        <v>0</v>
      </c>
      <c r="AH120" s="7">
        <f>'FY23'!AH120*1.02</f>
        <v>0</v>
      </c>
      <c r="AI120" s="7">
        <f>'FY23'!AI120*1.02</f>
        <v>0</v>
      </c>
      <c r="AJ120" s="7">
        <f t="shared" si="285"/>
        <v>0</v>
      </c>
      <c r="AL120" s="7">
        <v>0</v>
      </c>
      <c r="AM120" s="15">
        <f>'FY26'!AM120*1.02</f>
        <v>0</v>
      </c>
      <c r="AN120" s="15">
        <f>'FY26'!AN120*1.02</f>
        <v>0</v>
      </c>
      <c r="AO120" s="15">
        <f>'FY26'!AO120*1.02</f>
        <v>0</v>
      </c>
      <c r="AP120" s="7">
        <f t="shared" si="286"/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f t="shared" si="287"/>
        <v>0</v>
      </c>
      <c r="AX120" s="7">
        <f t="shared" si="290"/>
        <v>0</v>
      </c>
      <c r="AY120" s="7">
        <f t="shared" si="288"/>
        <v>0</v>
      </c>
      <c r="AZ120" s="7">
        <f t="shared" si="288"/>
        <v>149844.76417814399</v>
      </c>
      <c r="BA120" s="7">
        <f t="shared" si="288"/>
        <v>0</v>
      </c>
      <c r="BB120" s="7">
        <f t="shared" si="289"/>
        <v>149844.76417814399</v>
      </c>
    </row>
    <row r="121" spans="1:54" x14ac:dyDescent="0.25">
      <c r="A121" s="62" t="s">
        <v>56</v>
      </c>
      <c r="B121" s="7">
        <v>0</v>
      </c>
      <c r="C121" s="15">
        <f>'FY26'!C121*1.02</f>
        <v>0</v>
      </c>
      <c r="D121" s="15">
        <f>'FY26'!D121*1.02</f>
        <v>0</v>
      </c>
      <c r="E121" s="15">
        <f>'FY26'!E121*1.02</f>
        <v>0</v>
      </c>
      <c r="F121" s="7">
        <f t="shared" si="280"/>
        <v>0</v>
      </c>
      <c r="H121" s="7">
        <v>0</v>
      </c>
      <c r="I121" s="15">
        <f>'FY26'!I121*1.02</f>
        <v>0</v>
      </c>
      <c r="J121" s="15">
        <f>'FY26'!J121*1.02</f>
        <v>86594.572799999994</v>
      </c>
      <c r="K121" s="15">
        <f>'FY26'!K121*1.02</f>
        <v>0</v>
      </c>
      <c r="L121" s="7">
        <f t="shared" si="281"/>
        <v>86594.572799999994</v>
      </c>
      <c r="N121" s="7">
        <v>0</v>
      </c>
      <c r="O121" s="15">
        <f>'FY26'!O121*1.02</f>
        <v>0</v>
      </c>
      <c r="P121" s="15">
        <f>'FY26'!P121*1.02</f>
        <v>37885.125599999999</v>
      </c>
      <c r="Q121" s="15">
        <f>'FY26'!Q121*1.02</f>
        <v>0</v>
      </c>
      <c r="R121" s="7">
        <f t="shared" si="282"/>
        <v>37885.125599999999</v>
      </c>
      <c r="T121" s="7">
        <v>0</v>
      </c>
      <c r="U121" s="15">
        <f>'FY26'!U121*1.02</f>
        <v>0</v>
      </c>
      <c r="V121" s="15">
        <f>'FY26'!V121*1.02</f>
        <v>37885.125599999999</v>
      </c>
      <c r="W121" s="15">
        <f>'FY26'!W121*1.02</f>
        <v>0</v>
      </c>
      <c r="X121" s="7">
        <f t="shared" si="283"/>
        <v>37885.125599999999</v>
      </c>
      <c r="Z121" s="7">
        <v>0</v>
      </c>
      <c r="AA121" s="15">
        <f>'FY26'!AA121*1.02</f>
        <v>0</v>
      </c>
      <c r="AB121" s="15">
        <f>'FY26'!AB121*1.02</f>
        <v>70358.090400000001</v>
      </c>
      <c r="AC121" s="15">
        <f>'FY26'!AC121*1.02</f>
        <v>0</v>
      </c>
      <c r="AD121" s="7">
        <f t="shared" si="284"/>
        <v>70358.090400000001</v>
      </c>
      <c r="AF121" s="7">
        <v>0</v>
      </c>
      <c r="AG121" s="7">
        <f>'FY23'!AG121*1.02</f>
        <v>0</v>
      </c>
      <c r="AH121" s="7">
        <f>'FY23'!AH121*1.02</f>
        <v>0</v>
      </c>
      <c r="AI121" s="7">
        <f>'FY23'!AI121*1.02</f>
        <v>0</v>
      </c>
      <c r="AJ121" s="7">
        <f t="shared" si="285"/>
        <v>0</v>
      </c>
      <c r="AL121" s="7">
        <v>0</v>
      </c>
      <c r="AM121" s="15">
        <f>'FY26'!AM121*1.02</f>
        <v>0</v>
      </c>
      <c r="AN121" s="15">
        <f>'FY26'!AN121*1.02</f>
        <v>0</v>
      </c>
      <c r="AO121" s="15">
        <f>'FY26'!AO121*1.02</f>
        <v>0</v>
      </c>
      <c r="AP121" s="7">
        <f t="shared" si="286"/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f t="shared" si="287"/>
        <v>0</v>
      </c>
      <c r="AX121" s="7">
        <f t="shared" si="290"/>
        <v>0</v>
      </c>
      <c r="AY121" s="7">
        <f t="shared" si="288"/>
        <v>0</v>
      </c>
      <c r="AZ121" s="7">
        <f t="shared" si="288"/>
        <v>232722.91440000001</v>
      </c>
      <c r="BA121" s="7">
        <f t="shared" si="288"/>
        <v>0</v>
      </c>
      <c r="BB121" s="7">
        <f t="shared" si="289"/>
        <v>232722.91440000001</v>
      </c>
    </row>
    <row r="122" spans="1:54" x14ac:dyDescent="0.25">
      <c r="A122" s="62" t="s">
        <v>97</v>
      </c>
      <c r="B122" s="7">
        <v>0</v>
      </c>
      <c r="C122" s="15">
        <f>'FY26'!C122*1.02</f>
        <v>0</v>
      </c>
      <c r="D122" s="15">
        <f>'FY26'!D122*1.02</f>
        <v>0</v>
      </c>
      <c r="E122" s="15">
        <f>'FY26'!E122*1.02</f>
        <v>0</v>
      </c>
      <c r="F122" s="7">
        <f t="shared" si="280"/>
        <v>0</v>
      </c>
      <c r="H122" s="7">
        <v>0</v>
      </c>
      <c r="I122" s="15">
        <f>'FY26'!I122*1.02</f>
        <v>0</v>
      </c>
      <c r="J122" s="15">
        <f>'FY26'!J122*1.02</f>
        <v>0</v>
      </c>
      <c r="K122" s="15">
        <f>'FY26'!K122*1.02</f>
        <v>0</v>
      </c>
      <c r="L122" s="7">
        <f t="shared" si="281"/>
        <v>0</v>
      </c>
      <c r="N122" s="7">
        <v>0</v>
      </c>
      <c r="O122" s="15">
        <f>'FY26'!O122*1.02</f>
        <v>0</v>
      </c>
      <c r="P122" s="15">
        <f>'FY26'!P122*1.02</f>
        <v>0</v>
      </c>
      <c r="Q122" s="15">
        <f>'FY26'!Q122*1.02</f>
        <v>0</v>
      </c>
      <c r="R122" s="7">
        <f t="shared" si="282"/>
        <v>0</v>
      </c>
      <c r="T122" s="7">
        <v>0</v>
      </c>
      <c r="U122" s="15">
        <f>'FY26'!U122*1.02</f>
        <v>0</v>
      </c>
      <c r="V122" s="15">
        <f>'FY26'!V122*1.02</f>
        <v>0</v>
      </c>
      <c r="W122" s="15">
        <f>'FY26'!W122*1.02</f>
        <v>0</v>
      </c>
      <c r="X122" s="7">
        <f t="shared" si="283"/>
        <v>0</v>
      </c>
      <c r="Z122" s="7">
        <v>0</v>
      </c>
      <c r="AA122" s="15">
        <f>'FY26'!AA122*1.02</f>
        <v>0</v>
      </c>
      <c r="AB122" s="15">
        <f>'FY26'!AB122*1.02</f>
        <v>18694.296159782403</v>
      </c>
      <c r="AC122" s="15">
        <f>'FY26'!AC122*1.02</f>
        <v>0</v>
      </c>
      <c r="AD122" s="7">
        <f t="shared" si="284"/>
        <v>18694.296159782403</v>
      </c>
      <c r="AF122" s="7">
        <v>0</v>
      </c>
      <c r="AG122" s="7">
        <f>'FY23'!AG122*1.02</f>
        <v>0</v>
      </c>
      <c r="AH122" s="7">
        <f>'FY23'!AH122*1.02</f>
        <v>0</v>
      </c>
      <c r="AI122" s="7">
        <f>'FY23'!AI122*1.02</f>
        <v>0</v>
      </c>
      <c r="AJ122" s="7">
        <f t="shared" si="285"/>
        <v>0</v>
      </c>
      <c r="AL122" s="7">
        <v>0</v>
      </c>
      <c r="AM122" s="15">
        <f>'FY26'!AM122*1.02</f>
        <v>0</v>
      </c>
      <c r="AN122" s="15">
        <f>'FY26'!AN122*1.02</f>
        <v>0</v>
      </c>
      <c r="AO122" s="15">
        <f>'FY26'!AO122*1.02</f>
        <v>0</v>
      </c>
      <c r="AP122" s="7">
        <f t="shared" si="286"/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f t="shared" si="287"/>
        <v>0</v>
      </c>
      <c r="AX122" s="7">
        <f t="shared" si="290"/>
        <v>0</v>
      </c>
      <c r="AY122" s="7">
        <f t="shared" si="288"/>
        <v>0</v>
      </c>
      <c r="AZ122" s="7">
        <f t="shared" si="288"/>
        <v>18694.296159782403</v>
      </c>
      <c r="BA122" s="7">
        <f t="shared" si="288"/>
        <v>0</v>
      </c>
      <c r="BB122" s="7">
        <f t="shared" si="289"/>
        <v>18694.296159782403</v>
      </c>
    </row>
    <row r="123" spans="1:54" x14ac:dyDescent="0.25">
      <c r="A123" s="62" t="s">
        <v>58</v>
      </c>
      <c r="B123" s="7">
        <v>0</v>
      </c>
      <c r="C123" s="15">
        <f>'FY26'!C123*1.02</f>
        <v>0</v>
      </c>
      <c r="D123" s="15">
        <f>'FY26'!D123*1.02</f>
        <v>0</v>
      </c>
      <c r="E123" s="15">
        <f>'FY26'!E123*1.02</f>
        <v>0</v>
      </c>
      <c r="F123" s="7">
        <f t="shared" si="280"/>
        <v>0</v>
      </c>
      <c r="H123" s="7">
        <v>0</v>
      </c>
      <c r="I123" s="15">
        <f>'FY26'!I123*1.02</f>
        <v>0</v>
      </c>
      <c r="J123" s="15">
        <f>'FY26'!J123*1.02</f>
        <v>66028.36176</v>
      </c>
      <c r="K123" s="15">
        <f>'FY26'!K123*1.02</f>
        <v>0</v>
      </c>
      <c r="L123" s="7">
        <f t="shared" si="281"/>
        <v>66028.36176</v>
      </c>
      <c r="N123" s="7">
        <v>0</v>
      </c>
      <c r="O123" s="15">
        <f>'FY26'!O123*1.02</f>
        <v>0</v>
      </c>
      <c r="P123" s="15">
        <f>'FY26'!P123*1.02</f>
        <v>0</v>
      </c>
      <c r="Q123" s="15">
        <f>'FY26'!Q123*1.02</f>
        <v>0</v>
      </c>
      <c r="R123" s="7">
        <f t="shared" si="282"/>
        <v>0</v>
      </c>
      <c r="T123" s="7">
        <v>0</v>
      </c>
      <c r="U123" s="15">
        <f>'FY26'!U123*1.02</f>
        <v>0</v>
      </c>
      <c r="V123" s="15">
        <f>'FY26'!V123*1.02</f>
        <v>0</v>
      </c>
      <c r="W123" s="15">
        <f>'FY26'!W123*1.02</f>
        <v>0</v>
      </c>
      <c r="X123" s="7">
        <f t="shared" si="283"/>
        <v>0</v>
      </c>
      <c r="Z123" s="7">
        <v>0</v>
      </c>
      <c r="AA123" s="15">
        <f>'FY26'!AA123*1.02</f>
        <v>0</v>
      </c>
      <c r="AB123" s="15">
        <f>'FY26'!AB123*1.02</f>
        <v>73200.557252160012</v>
      </c>
      <c r="AC123" s="15">
        <f>'FY26'!AC123*1.02</f>
        <v>0</v>
      </c>
      <c r="AD123" s="7">
        <f t="shared" si="284"/>
        <v>73200.557252160012</v>
      </c>
      <c r="AF123" s="7">
        <v>0</v>
      </c>
      <c r="AG123" s="7">
        <f>'FY23'!AG123*1.02</f>
        <v>0</v>
      </c>
      <c r="AH123" s="7">
        <f>'FY23'!AH123*1.02</f>
        <v>0</v>
      </c>
      <c r="AI123" s="7">
        <f>'FY23'!AI123*1.02</f>
        <v>0</v>
      </c>
      <c r="AJ123" s="7">
        <f t="shared" si="285"/>
        <v>0</v>
      </c>
      <c r="AL123" s="7">
        <v>0</v>
      </c>
      <c r="AM123" s="15">
        <f>'FY26'!AM123*1.02</f>
        <v>0</v>
      </c>
      <c r="AN123" s="15">
        <f>'FY26'!AN123*1.02</f>
        <v>0</v>
      </c>
      <c r="AO123" s="15">
        <f>'FY26'!AO123*1.02</f>
        <v>0</v>
      </c>
      <c r="AP123" s="7">
        <f t="shared" si="286"/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f t="shared" si="287"/>
        <v>0</v>
      </c>
      <c r="AX123" s="7">
        <f t="shared" si="290"/>
        <v>0</v>
      </c>
      <c r="AY123" s="7">
        <f t="shared" si="288"/>
        <v>0</v>
      </c>
      <c r="AZ123" s="7">
        <f t="shared" si="288"/>
        <v>139228.91901216001</v>
      </c>
      <c r="BA123" s="7">
        <f t="shared" si="288"/>
        <v>0</v>
      </c>
      <c r="BB123" s="7">
        <f t="shared" si="289"/>
        <v>139228.91901216001</v>
      </c>
    </row>
    <row r="124" spans="1:54" x14ac:dyDescent="0.25">
      <c r="A124" s="62" t="s">
        <v>98</v>
      </c>
      <c r="B124" s="7">
        <v>0</v>
      </c>
      <c r="C124" s="15">
        <f>'FY26'!C124*1.02</f>
        <v>26290.261677718085</v>
      </c>
      <c r="D124" s="15">
        <f>'FY26'!D124*1.02</f>
        <v>0</v>
      </c>
      <c r="E124" s="15">
        <f>'FY26'!E124*1.02</f>
        <v>0</v>
      </c>
      <c r="F124" s="7">
        <f t="shared" si="280"/>
        <v>26290.261677718085</v>
      </c>
      <c r="H124" s="7">
        <v>0</v>
      </c>
      <c r="I124" s="15">
        <f>'FY26'!I124*1.02</f>
        <v>46865.249077671368</v>
      </c>
      <c r="J124" s="15">
        <f>'FY26'!J124*1.02</f>
        <v>0</v>
      </c>
      <c r="K124" s="15">
        <f>'FY26'!K124*1.02</f>
        <v>0</v>
      </c>
      <c r="L124" s="7">
        <f t="shared" si="281"/>
        <v>46865.249077671368</v>
      </c>
      <c r="N124" s="7">
        <v>0</v>
      </c>
      <c r="O124" s="15">
        <f>'FY26'!O124*1.02</f>
        <v>26290.261677718081</v>
      </c>
      <c r="P124" s="15">
        <f>'FY26'!P124*1.02</f>
        <v>0</v>
      </c>
      <c r="Q124" s="15">
        <f>'FY26'!Q124*1.02</f>
        <v>0</v>
      </c>
      <c r="R124" s="7">
        <f t="shared" si="282"/>
        <v>26290.261677718081</v>
      </c>
      <c r="T124" s="7">
        <v>0</v>
      </c>
      <c r="U124" s="15">
        <f>'FY26'!U124*1.02</f>
        <v>73064.170800000007</v>
      </c>
      <c r="V124" s="15">
        <f>'FY26'!V124*1.02</f>
        <v>0</v>
      </c>
      <c r="W124" s="15">
        <f>'FY26'!W124*1.02</f>
        <v>0</v>
      </c>
      <c r="X124" s="7">
        <f t="shared" si="283"/>
        <v>73064.170800000007</v>
      </c>
      <c r="Z124" s="7">
        <v>0</v>
      </c>
      <c r="AA124" s="15">
        <f>'FY26'!AA124*1.02</f>
        <v>75229.03512</v>
      </c>
      <c r="AB124" s="15">
        <f>'FY26'!AB124*1.02</f>
        <v>0</v>
      </c>
      <c r="AC124" s="15">
        <f>'FY26'!AC124*1.02</f>
        <v>0</v>
      </c>
      <c r="AD124" s="7">
        <f t="shared" si="284"/>
        <v>75229.03512</v>
      </c>
      <c r="AF124" s="7">
        <v>0</v>
      </c>
      <c r="AG124" s="15">
        <f>'FY26'!AG124*1.02</f>
        <v>36414</v>
      </c>
      <c r="AH124" s="7">
        <f>'FY23'!AH124*1.02</f>
        <v>0</v>
      </c>
      <c r="AI124" s="7">
        <f>'FY23'!AI124*1.02</f>
        <v>0</v>
      </c>
      <c r="AJ124" s="7">
        <f t="shared" si="285"/>
        <v>36414</v>
      </c>
      <c r="AL124" s="7">
        <v>0</v>
      </c>
      <c r="AM124" s="15">
        <f>'FY26'!AM124*1.02</f>
        <v>28016.050381199999</v>
      </c>
      <c r="AN124" s="15">
        <f>'FY26'!AN124*1.02</f>
        <v>0</v>
      </c>
      <c r="AO124" s="15">
        <f>'FY26'!AO124*1.02</f>
        <v>0</v>
      </c>
      <c r="AP124" s="7">
        <f t="shared" si="286"/>
        <v>28016.050381199999</v>
      </c>
      <c r="AR124" s="7">
        <v>0</v>
      </c>
      <c r="AS124" s="7">
        <v>0</v>
      </c>
      <c r="AT124" s="7">
        <v>0</v>
      </c>
      <c r="AU124" s="7">
        <v>0</v>
      </c>
      <c r="AV124" s="7">
        <f t="shared" si="287"/>
        <v>0</v>
      </c>
      <c r="AX124" s="7">
        <f t="shared" si="290"/>
        <v>0</v>
      </c>
      <c r="AY124" s="7">
        <f t="shared" si="288"/>
        <v>312169.0287343075</v>
      </c>
      <c r="AZ124" s="7">
        <f t="shared" si="288"/>
        <v>0</v>
      </c>
      <c r="BA124" s="7">
        <f t="shared" si="288"/>
        <v>0</v>
      </c>
      <c r="BB124" s="7">
        <f t="shared" si="289"/>
        <v>312169.0287343075</v>
      </c>
    </row>
    <row r="125" spans="1:54" x14ac:dyDescent="0.25">
      <c r="A125" s="62" t="s">
        <v>99</v>
      </c>
      <c r="B125" s="7">
        <v>0</v>
      </c>
      <c r="C125" s="7">
        <v>0</v>
      </c>
      <c r="D125" s="7">
        <v>0</v>
      </c>
      <c r="E125" s="7">
        <v>0</v>
      </c>
      <c r="F125" s="7">
        <f t="shared" si="280"/>
        <v>0</v>
      </c>
      <c r="H125" s="7">
        <v>0</v>
      </c>
      <c r="I125" s="7">
        <v>0</v>
      </c>
      <c r="J125" s="7">
        <v>0</v>
      </c>
      <c r="K125" s="7">
        <v>0</v>
      </c>
      <c r="L125" s="7">
        <f t="shared" si="281"/>
        <v>0</v>
      </c>
      <c r="N125" s="7">
        <v>0</v>
      </c>
      <c r="O125" s="7">
        <v>0</v>
      </c>
      <c r="P125" s="7">
        <v>0</v>
      </c>
      <c r="Q125" s="7">
        <v>0</v>
      </c>
      <c r="R125" s="7">
        <f t="shared" si="282"/>
        <v>0</v>
      </c>
      <c r="T125" s="7">
        <v>0</v>
      </c>
      <c r="U125" s="7">
        <v>0</v>
      </c>
      <c r="V125" s="7">
        <v>0</v>
      </c>
      <c r="W125" s="7">
        <v>0</v>
      </c>
      <c r="X125" s="7">
        <f t="shared" si="283"/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f t="shared" si="284"/>
        <v>0</v>
      </c>
      <c r="AF125" s="7">
        <v>0</v>
      </c>
      <c r="AG125" s="7">
        <v>0</v>
      </c>
      <c r="AH125" s="7">
        <v>0</v>
      </c>
      <c r="AI125" s="7">
        <f>(15*8*185)*AI51</f>
        <v>0</v>
      </c>
      <c r="AJ125" s="7">
        <f t="shared" si="285"/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f t="shared" si="286"/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f t="shared" si="287"/>
        <v>0</v>
      </c>
      <c r="AX125" s="7">
        <f t="shared" si="290"/>
        <v>0</v>
      </c>
      <c r="AY125" s="7">
        <f t="shared" si="288"/>
        <v>0</v>
      </c>
      <c r="AZ125" s="7">
        <f t="shared" si="288"/>
        <v>0</v>
      </c>
      <c r="BA125" s="7">
        <f t="shared" si="288"/>
        <v>0</v>
      </c>
      <c r="BB125" s="7">
        <f t="shared" si="289"/>
        <v>0</v>
      </c>
    </row>
    <row r="126" spans="1:54" x14ac:dyDescent="0.25">
      <c r="A126" s="62" t="s">
        <v>100</v>
      </c>
      <c r="B126" s="7">
        <v>0</v>
      </c>
      <c r="C126" s="7">
        <v>0</v>
      </c>
      <c r="D126" s="7">
        <v>0</v>
      </c>
      <c r="E126" s="7">
        <f>(15*8*180)*E53</f>
        <v>21600</v>
      </c>
      <c r="F126" s="7">
        <f t="shared" si="280"/>
        <v>21600</v>
      </c>
      <c r="H126" s="7">
        <v>0</v>
      </c>
      <c r="I126" s="7">
        <v>0</v>
      </c>
      <c r="J126" s="7">
        <v>0</v>
      </c>
      <c r="K126" s="7">
        <f>(15.25*8*180)*K53</f>
        <v>65880</v>
      </c>
      <c r="L126" s="7">
        <f t="shared" si="281"/>
        <v>65880</v>
      </c>
      <c r="N126" s="7">
        <v>0</v>
      </c>
      <c r="O126" s="7">
        <v>0</v>
      </c>
      <c r="P126" s="7">
        <v>0</v>
      </c>
      <c r="Q126" s="7">
        <f>(15.25*8*180)*Q53</f>
        <v>21960</v>
      </c>
      <c r="R126" s="7">
        <f t="shared" si="282"/>
        <v>21960</v>
      </c>
      <c r="T126" s="7">
        <v>0</v>
      </c>
      <c r="U126" s="7">
        <v>0</v>
      </c>
      <c r="V126" s="7">
        <v>0</v>
      </c>
      <c r="W126" s="7">
        <f>(15*8*180)*W53</f>
        <v>21600</v>
      </c>
      <c r="X126" s="7">
        <f t="shared" si="283"/>
        <v>21600</v>
      </c>
      <c r="Z126" s="7">
        <v>0</v>
      </c>
      <c r="AA126" s="7">
        <v>0</v>
      </c>
      <c r="AB126" s="7">
        <v>0</v>
      </c>
      <c r="AC126" s="7">
        <f>(15*8*180)*AC53</f>
        <v>43200</v>
      </c>
      <c r="AD126" s="7">
        <f t="shared" si="284"/>
        <v>43200</v>
      </c>
      <c r="AF126" s="7">
        <v>0</v>
      </c>
      <c r="AG126" s="7">
        <v>0</v>
      </c>
      <c r="AH126" s="7">
        <v>0</v>
      </c>
      <c r="AI126" s="7">
        <f>(15.75*8*185)*AI53</f>
        <v>23310</v>
      </c>
      <c r="AJ126" s="7">
        <f t="shared" si="285"/>
        <v>23310</v>
      </c>
      <c r="AL126" s="7">
        <v>0</v>
      </c>
      <c r="AM126" s="7">
        <v>0</v>
      </c>
      <c r="AN126" s="7">
        <v>0</v>
      </c>
      <c r="AO126" s="7">
        <f>(14*8*180)*AO53</f>
        <v>0</v>
      </c>
      <c r="AP126" s="7">
        <f t="shared" si="286"/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f t="shared" si="287"/>
        <v>0</v>
      </c>
      <c r="AX126" s="7">
        <f t="shared" si="290"/>
        <v>0</v>
      </c>
      <c r="AY126" s="7">
        <f t="shared" si="288"/>
        <v>0</v>
      </c>
      <c r="AZ126" s="7">
        <f t="shared" si="288"/>
        <v>0</v>
      </c>
      <c r="BA126" s="7">
        <f t="shared" si="288"/>
        <v>197550</v>
      </c>
      <c r="BB126" s="7">
        <f t="shared" si="289"/>
        <v>197550</v>
      </c>
    </row>
    <row r="127" spans="1:54" x14ac:dyDescent="0.25">
      <c r="A127" s="62" t="s">
        <v>101</v>
      </c>
      <c r="B127" s="37">
        <f>135*180</f>
        <v>24300</v>
      </c>
      <c r="C127" s="37"/>
      <c r="D127" s="37"/>
      <c r="E127" s="37"/>
      <c r="F127" s="7">
        <f t="shared" si="280"/>
        <v>24300</v>
      </c>
      <c r="H127" s="37">
        <f>135*180*2</f>
        <v>48600</v>
      </c>
      <c r="I127" s="37"/>
      <c r="J127" s="37"/>
      <c r="K127" s="37"/>
      <c r="L127" s="7">
        <f t="shared" si="281"/>
        <v>48600</v>
      </c>
      <c r="N127" s="37">
        <f>125*180</f>
        <v>22500</v>
      </c>
      <c r="O127" s="37"/>
      <c r="P127" s="37"/>
      <c r="Q127" s="37"/>
      <c r="R127" s="7">
        <f t="shared" si="282"/>
        <v>22500</v>
      </c>
      <c r="T127" s="37">
        <f>125*180</f>
        <v>22500</v>
      </c>
      <c r="U127" s="37"/>
      <c r="V127" s="37"/>
      <c r="W127" s="37"/>
      <c r="X127" s="7">
        <f t="shared" si="283"/>
        <v>22500</v>
      </c>
      <c r="Z127" s="37">
        <f>135*180</f>
        <v>24300</v>
      </c>
      <c r="AA127" s="37"/>
      <c r="AB127" s="37"/>
      <c r="AC127" s="37"/>
      <c r="AD127" s="7">
        <f t="shared" si="284"/>
        <v>24300</v>
      </c>
      <c r="AF127" s="37">
        <f>125*180</f>
        <v>22500</v>
      </c>
      <c r="AG127" s="7">
        <v>0</v>
      </c>
      <c r="AH127" s="7">
        <v>0</v>
      </c>
      <c r="AI127" s="7">
        <v>0</v>
      </c>
      <c r="AJ127" s="7">
        <f t="shared" si="285"/>
        <v>22500</v>
      </c>
      <c r="AL127" s="7">
        <v>0</v>
      </c>
      <c r="AM127" s="7">
        <v>0</v>
      </c>
      <c r="AN127" s="7">
        <v>0</v>
      </c>
      <c r="AO127" s="7">
        <v>0</v>
      </c>
      <c r="AP127" s="7">
        <f t="shared" si="286"/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f t="shared" si="287"/>
        <v>0</v>
      </c>
      <c r="AX127" s="7">
        <f t="shared" si="290"/>
        <v>164700</v>
      </c>
      <c r="AY127" s="7">
        <f t="shared" si="288"/>
        <v>0</v>
      </c>
      <c r="AZ127" s="7">
        <f t="shared" si="288"/>
        <v>0</v>
      </c>
      <c r="BA127" s="7">
        <f t="shared" si="288"/>
        <v>0</v>
      </c>
      <c r="BB127" s="7">
        <f t="shared" si="289"/>
        <v>164700</v>
      </c>
    </row>
    <row r="128" spans="1:54" ht="15.75" thickBot="1" x14ac:dyDescent="0.3">
      <c r="A128" s="82" t="s">
        <v>102</v>
      </c>
      <c r="B128" s="87">
        <f>SUM(B118:B127)</f>
        <v>24300</v>
      </c>
      <c r="C128" s="87">
        <f>SUM(C118:C127)</f>
        <v>26290.261677718085</v>
      </c>
      <c r="D128" s="87">
        <f>SUM(D118:D127)</f>
        <v>71455.005502300832</v>
      </c>
      <c r="E128" s="87">
        <f t="shared" ref="E128:F128" si="291">SUM(E118:E127)</f>
        <v>21600</v>
      </c>
      <c r="F128" s="87">
        <f t="shared" si="291"/>
        <v>143645.26718001891</v>
      </c>
      <c r="H128" s="87">
        <f>SUM(H118:H127)</f>
        <v>48600</v>
      </c>
      <c r="I128" s="87">
        <f>SUM(I118:I127)</f>
        <v>46865.249077671368</v>
      </c>
      <c r="J128" s="87">
        <f>SUM(J118:J127)</f>
        <v>275830.77517199999</v>
      </c>
      <c r="K128" s="87">
        <f t="shared" ref="K128:L128" si="292">SUM(K118:K127)</f>
        <v>65880</v>
      </c>
      <c r="L128" s="87">
        <f t="shared" si="292"/>
        <v>437176.02424967138</v>
      </c>
      <c r="N128" s="87">
        <f>SUM(N118:N127)</f>
        <v>22500</v>
      </c>
      <c r="O128" s="87">
        <f>SUM(O118:O127)</f>
        <v>26290.261677718081</v>
      </c>
      <c r="P128" s="87">
        <f>SUM(P118:P127)</f>
        <v>103913.48736</v>
      </c>
      <c r="Q128" s="87">
        <f t="shared" ref="Q128:R128" si="293">SUM(Q118:Q127)</f>
        <v>21960</v>
      </c>
      <c r="R128" s="87">
        <f t="shared" si="293"/>
        <v>174663.74903771808</v>
      </c>
      <c r="T128" s="87">
        <f>SUM(T118:T127)</f>
        <v>22500</v>
      </c>
      <c r="U128" s="87">
        <f>SUM(U118:U127)</f>
        <v>73064.170800000007</v>
      </c>
      <c r="V128" s="87">
        <f>SUM(V118:V127)</f>
        <v>133761.554172</v>
      </c>
      <c r="W128" s="87">
        <f t="shared" ref="W128:X128" si="294">SUM(W118:W127)</f>
        <v>21600</v>
      </c>
      <c r="X128" s="87">
        <f t="shared" si="294"/>
        <v>250925.724972</v>
      </c>
      <c r="Z128" s="87">
        <f>SUM(Z118:Z127)</f>
        <v>24300</v>
      </c>
      <c r="AA128" s="87">
        <f>SUM(AA118:AA127)</f>
        <v>75229.03512</v>
      </c>
      <c r="AB128" s="87">
        <f>SUM(AB118:AB127)</f>
        <v>214056.41509808644</v>
      </c>
      <c r="AC128" s="87">
        <f t="shared" ref="AC128:AD128" si="295">SUM(AC118:AC127)</f>
        <v>43200</v>
      </c>
      <c r="AD128" s="87">
        <f t="shared" si="295"/>
        <v>356785.45021808642</v>
      </c>
      <c r="AF128" s="87">
        <f>SUM(AF118:AF127)</f>
        <v>22500</v>
      </c>
      <c r="AG128" s="87">
        <f>SUM(AG118:AG127)</f>
        <v>36414</v>
      </c>
      <c r="AH128" s="87">
        <f>SUM(AH118:AH127)</f>
        <v>0</v>
      </c>
      <c r="AI128" s="87">
        <f t="shared" ref="AI128:AJ128" si="296">SUM(AI118:AI127)</f>
        <v>23310</v>
      </c>
      <c r="AJ128" s="87">
        <f t="shared" si="296"/>
        <v>82224</v>
      </c>
      <c r="AL128" s="87">
        <f>SUM(AL118:AL127)</f>
        <v>0</v>
      </c>
      <c r="AM128" s="87">
        <f>SUM(AM118:AM127)</f>
        <v>28016.050381199999</v>
      </c>
      <c r="AN128" s="87">
        <f>SUM(AN118:AN127)</f>
        <v>0</v>
      </c>
      <c r="AO128" s="87">
        <f t="shared" ref="AO128:AP128" si="297">SUM(AO118:AO127)</f>
        <v>0</v>
      </c>
      <c r="AP128" s="87">
        <f t="shared" si="297"/>
        <v>28016.050381199999</v>
      </c>
      <c r="AR128" s="87">
        <f>SUM(AR118:AR127)</f>
        <v>0</v>
      </c>
      <c r="AS128" s="87">
        <f>SUM(AS118:AS127)</f>
        <v>0</v>
      </c>
      <c r="AT128" s="87">
        <f>SUM(AT118:AT127)</f>
        <v>0</v>
      </c>
      <c r="AU128" s="87">
        <f t="shared" ref="AU128:AV128" si="298">SUM(AU118:AU127)</f>
        <v>0</v>
      </c>
      <c r="AV128" s="87">
        <f t="shared" si="298"/>
        <v>0</v>
      </c>
      <c r="AX128" s="87">
        <f>SUM(AX118:AX127)</f>
        <v>164700</v>
      </c>
      <c r="AY128" s="87">
        <f>SUM(AY118:AY127)</f>
        <v>312169.0287343075</v>
      </c>
      <c r="AZ128" s="87">
        <f>SUM(AZ118:AZ127)</f>
        <v>799017.23730438726</v>
      </c>
      <c r="BA128" s="87">
        <f t="shared" ref="BA128:BB128" si="299">SUM(BA118:BA127)</f>
        <v>197550</v>
      </c>
      <c r="BB128" s="87">
        <f t="shared" si="299"/>
        <v>1473436.2660386949</v>
      </c>
    </row>
    <row r="129" spans="1:54" ht="15.75" thickBot="1" x14ac:dyDescent="0.3">
      <c r="A129" s="89" t="s">
        <v>103</v>
      </c>
      <c r="B129" s="90">
        <f>B116+B128</f>
        <v>2764145.3841436855</v>
      </c>
      <c r="C129" s="90">
        <f>C116+C128</f>
        <v>135975.91790171809</v>
      </c>
      <c r="D129" s="90">
        <f>D116+D128</f>
        <v>364855.0055023008</v>
      </c>
      <c r="E129" s="90">
        <f t="shared" ref="E129" si="300">E116+E128</f>
        <v>21600</v>
      </c>
      <c r="F129" s="90">
        <f>F116+F128</f>
        <v>3286576.3075477043</v>
      </c>
      <c r="H129" s="90">
        <f>H116+H128</f>
        <v>6696206.3243146744</v>
      </c>
      <c r="I129" s="90">
        <f>I116+I128</f>
        <v>266465.24907767138</v>
      </c>
      <c r="J129" s="90">
        <f>J116+J128</f>
        <v>1234060.7751720001</v>
      </c>
      <c r="K129" s="90">
        <f t="shared" ref="K129" si="301">K116+K128</f>
        <v>65880</v>
      </c>
      <c r="L129" s="90">
        <f>L116+L128</f>
        <v>8262612.3485643454</v>
      </c>
      <c r="N129" s="90">
        <f>N116+N128</f>
        <v>2832314.615243969</v>
      </c>
      <c r="O129" s="90">
        <f>O116+O128</f>
        <v>188669.19473723808</v>
      </c>
      <c r="P129" s="90">
        <f>P116+P128</f>
        <v>400193.48736000003</v>
      </c>
      <c r="Q129" s="90">
        <f t="shared" ref="Q129" si="302">Q116+Q128</f>
        <v>21960</v>
      </c>
      <c r="R129" s="90">
        <f>R116+R128</f>
        <v>3443137.297341207</v>
      </c>
      <c r="T129" s="90">
        <f>T116+T128</f>
        <v>3501366.5691649998</v>
      </c>
      <c r="U129" s="90">
        <f>U116+U128</f>
        <v>116264.17080000001</v>
      </c>
      <c r="V129" s="90">
        <f>V116+V128</f>
        <v>500511.55417200003</v>
      </c>
      <c r="W129" s="90">
        <f t="shared" ref="W129" si="303">W116+W128</f>
        <v>21600</v>
      </c>
      <c r="X129" s="90">
        <f>X116+X128</f>
        <v>4139742.2941369996</v>
      </c>
      <c r="Z129" s="90">
        <f>Z116+Z128</f>
        <v>6053208.1321460074</v>
      </c>
      <c r="AA129" s="90">
        <f>AA116+AA128</f>
        <v>163069.03512000002</v>
      </c>
      <c r="AB129" s="90">
        <f>AB116+AB128</f>
        <v>1048575.3094980865</v>
      </c>
      <c r="AC129" s="90">
        <f t="shared" ref="AC129" si="304">AC116+AC128</f>
        <v>43200</v>
      </c>
      <c r="AD129" s="90">
        <f>AD116+AD128</f>
        <v>7308052.4767640941</v>
      </c>
      <c r="AF129" s="90">
        <f>AF116+AF128</f>
        <v>2924890.84</v>
      </c>
      <c r="AG129" s="90">
        <f>AG116+AG128</f>
        <v>266272.52</v>
      </c>
      <c r="AH129" s="90">
        <f>AH116+AH128</f>
        <v>376750</v>
      </c>
      <c r="AI129" s="90">
        <f t="shared" ref="AI129" si="305">AI116+AI128</f>
        <v>23310</v>
      </c>
      <c r="AJ129" s="90">
        <f>AJ116+AJ128</f>
        <v>3591223.36</v>
      </c>
      <c r="AL129" s="90">
        <f>AL116+AL128</f>
        <v>157662.73869696</v>
      </c>
      <c r="AM129" s="90">
        <f>AM116+AM128</f>
        <v>28016.050381199999</v>
      </c>
      <c r="AN129" s="90">
        <f>AN116+AN128</f>
        <v>0</v>
      </c>
      <c r="AO129" s="90">
        <f t="shared" ref="AO129" si="306">AO116+AO128</f>
        <v>0</v>
      </c>
      <c r="AP129" s="90">
        <f>AP116+AP128</f>
        <v>185678.78907816001</v>
      </c>
      <c r="AR129" s="90">
        <f>AR116+AR128</f>
        <v>401800</v>
      </c>
      <c r="AS129" s="90">
        <f>AS116+AS128</f>
        <v>0</v>
      </c>
      <c r="AT129" s="90">
        <f>AT116+AT128</f>
        <v>74320</v>
      </c>
      <c r="AU129" s="90">
        <f t="shared" ref="AU129" si="307">AU116+AU128</f>
        <v>0</v>
      </c>
      <c r="AV129" s="90">
        <f>AV116+AV128</f>
        <v>476120</v>
      </c>
      <c r="AX129" s="90">
        <f>AX116+AX128</f>
        <v>25331594.603710297</v>
      </c>
      <c r="AY129" s="90">
        <f>AY116+AY128</f>
        <v>1164732.1380178276</v>
      </c>
      <c r="AZ129" s="90">
        <f>AZ116+AZ128</f>
        <v>3999266.1317043873</v>
      </c>
      <c r="BA129" s="90">
        <f t="shared" ref="BA129" si="308">BA116+BA128</f>
        <v>197550</v>
      </c>
      <c r="BB129" s="90">
        <f>BB116+BB128</f>
        <v>30693142.87343251</v>
      </c>
    </row>
    <row r="130" spans="1:54" x14ac:dyDescent="0.25">
      <c r="A130" s="62" t="s">
        <v>104</v>
      </c>
      <c r="B130" s="80">
        <f>B129*0.2975</f>
        <v>822333.2517827464</v>
      </c>
      <c r="C130" s="61">
        <f t="shared" ref="C130:E130" si="309">C129*0.2975</f>
        <v>40452.835575761128</v>
      </c>
      <c r="D130" s="61">
        <f t="shared" si="309"/>
        <v>108544.36413693448</v>
      </c>
      <c r="E130" s="61">
        <f t="shared" si="309"/>
        <v>6426</v>
      </c>
      <c r="F130" s="61">
        <f>SUM(B130:E130)</f>
        <v>977756.45149544207</v>
      </c>
      <c r="H130" s="61">
        <f>H129*0.2975</f>
        <v>1992121.3814836156</v>
      </c>
      <c r="I130" s="61">
        <f t="shared" ref="I130:K130" si="310">I129*0.2975</f>
        <v>79273.411600607229</v>
      </c>
      <c r="J130" s="61">
        <f t="shared" si="310"/>
        <v>367133.08061367</v>
      </c>
      <c r="K130" s="61">
        <f t="shared" si="310"/>
        <v>19599.3</v>
      </c>
      <c r="L130" s="61">
        <f>SUM(H130:K130)</f>
        <v>2458127.1736978926</v>
      </c>
      <c r="N130" s="61">
        <f>N129*0.2975</f>
        <v>842613.59803508071</v>
      </c>
      <c r="O130" s="61">
        <f t="shared" ref="O130:Q130" si="311">O129*0.2975</f>
        <v>56129.085434328328</v>
      </c>
      <c r="P130" s="61">
        <f t="shared" si="311"/>
        <v>119057.56248960001</v>
      </c>
      <c r="Q130" s="61">
        <f t="shared" si="311"/>
        <v>6533.0999999999995</v>
      </c>
      <c r="R130" s="61">
        <f>SUM(N130:Q130)</f>
        <v>1024333.345959009</v>
      </c>
      <c r="T130" s="61">
        <f>T129*0.2975</f>
        <v>1041656.5543265874</v>
      </c>
      <c r="U130" s="61">
        <f t="shared" ref="U130:W130" si="312">U129*0.2975</f>
        <v>34588.590813000003</v>
      </c>
      <c r="V130" s="61">
        <f t="shared" si="312"/>
        <v>148902.18736616999</v>
      </c>
      <c r="W130" s="61">
        <f t="shared" si="312"/>
        <v>6426</v>
      </c>
      <c r="X130" s="61">
        <f>SUM(T130:W130)</f>
        <v>1231573.3325057575</v>
      </c>
      <c r="Z130" s="61">
        <f>Z129*0.2975</f>
        <v>1800829.4193134371</v>
      </c>
      <c r="AA130" s="61">
        <f t="shared" ref="AA130:AC130" si="313">AA129*0.2975</f>
        <v>48513.037948199999</v>
      </c>
      <c r="AB130" s="61">
        <f t="shared" si="313"/>
        <v>311951.15457568073</v>
      </c>
      <c r="AC130" s="61">
        <f t="shared" si="313"/>
        <v>12852</v>
      </c>
      <c r="AD130" s="61">
        <f>SUM(Z130:AC130)</f>
        <v>2174145.6118373177</v>
      </c>
      <c r="AF130" s="61">
        <f>AF129*0.2975</f>
        <v>870155.02489999996</v>
      </c>
      <c r="AG130" s="61">
        <f t="shared" ref="AG130:AI130" si="314">AG129*0.2975</f>
        <v>79216.074699999997</v>
      </c>
      <c r="AH130" s="61">
        <f t="shared" si="314"/>
        <v>112083.125</v>
      </c>
      <c r="AI130" s="61">
        <f t="shared" si="314"/>
        <v>6934.7249999999995</v>
      </c>
      <c r="AJ130" s="61">
        <f>SUM(AF130:AI130)</f>
        <v>1068388.9495999999</v>
      </c>
      <c r="AL130" s="61">
        <f>AL129*0.2975</f>
        <v>46904.664762345601</v>
      </c>
      <c r="AM130" s="61">
        <f t="shared" ref="AM130:AO130" si="315">AM129*0.2975</f>
        <v>8334.7749884069999</v>
      </c>
      <c r="AN130" s="61">
        <f t="shared" si="315"/>
        <v>0</v>
      </c>
      <c r="AO130" s="61">
        <f t="shared" si="315"/>
        <v>0</v>
      </c>
      <c r="AP130" s="61">
        <f>SUM(AL130:AO130)</f>
        <v>55239.439750752601</v>
      </c>
      <c r="AR130" s="61">
        <f>AR129*0.2975</f>
        <v>119535.5</v>
      </c>
      <c r="AS130" s="61">
        <f t="shared" ref="AS130:AU130" si="316">AS129*0.2975</f>
        <v>0</v>
      </c>
      <c r="AT130" s="61">
        <f t="shared" si="316"/>
        <v>22110.2</v>
      </c>
      <c r="AU130" s="61">
        <f t="shared" si="316"/>
        <v>0</v>
      </c>
      <c r="AV130" s="61">
        <f>SUM(AR130:AU130)</f>
        <v>141645.70000000001</v>
      </c>
      <c r="AX130" s="7">
        <f>B130+H130+N130+T130+Z130+AF130+AL130+AR130</f>
        <v>7536149.3946038121</v>
      </c>
      <c r="AY130" s="7">
        <f t="shared" ref="AY130:BA137" si="317">C130+I130+O130+U130+AA130+AG130+AM130+AS130</f>
        <v>346507.81106030365</v>
      </c>
      <c r="AZ130" s="7">
        <f t="shared" si="317"/>
        <v>1189781.6741820553</v>
      </c>
      <c r="BA130" s="7">
        <f t="shared" si="317"/>
        <v>58771.124999999993</v>
      </c>
      <c r="BB130" s="61">
        <f>SUM(AX130:BA130)</f>
        <v>9131210.0048461705</v>
      </c>
    </row>
    <row r="131" spans="1:54" x14ac:dyDescent="0.25">
      <c r="A131" s="62" t="s">
        <v>105</v>
      </c>
      <c r="B131" s="14">
        <f>B129*0.1875</f>
        <v>518277.25952694099</v>
      </c>
      <c r="C131" s="14">
        <f t="shared" ref="C131:E131" si="318">C129*0.1875</f>
        <v>25495.484606572143</v>
      </c>
      <c r="D131" s="14">
        <f t="shared" si="318"/>
        <v>68410.3135316814</v>
      </c>
      <c r="E131" s="14">
        <f t="shared" si="318"/>
        <v>4050</v>
      </c>
      <c r="F131" s="61">
        <f t="shared" ref="F131:F137" si="319">SUM(B131:E131)</f>
        <v>616233.05766519462</v>
      </c>
      <c r="H131" s="14">
        <f>H129*0.1875</f>
        <v>1255538.6858090013</v>
      </c>
      <c r="I131" s="14">
        <f t="shared" ref="I131:K131" si="320">I129*0.1875</f>
        <v>49962.234202063381</v>
      </c>
      <c r="J131" s="14">
        <f t="shared" si="320"/>
        <v>231386.39534475002</v>
      </c>
      <c r="K131" s="14">
        <f t="shared" si="320"/>
        <v>12352.5</v>
      </c>
      <c r="L131" s="61">
        <f t="shared" ref="L131:L137" si="321">SUM(H131:K131)</f>
        <v>1549239.8153558148</v>
      </c>
      <c r="N131" s="14">
        <f>N129*0.1875</f>
        <v>531058.99035824416</v>
      </c>
      <c r="O131" s="14">
        <f t="shared" ref="O131:Q131" si="322">O129*0.1875</f>
        <v>35375.474013232139</v>
      </c>
      <c r="P131" s="14">
        <f t="shared" si="322"/>
        <v>75036.278879999998</v>
      </c>
      <c r="Q131" s="14">
        <f t="shared" si="322"/>
        <v>4117.5</v>
      </c>
      <c r="R131" s="61">
        <f t="shared" ref="R131:R137" si="323">SUM(N131:Q131)</f>
        <v>645588.24325147632</v>
      </c>
      <c r="T131" s="14">
        <f>T129*0.1875</f>
        <v>656506.23171843751</v>
      </c>
      <c r="U131" s="14">
        <f t="shared" ref="U131:W131" si="324">U129*0.1875</f>
        <v>21799.532025</v>
      </c>
      <c r="V131" s="14">
        <f t="shared" si="324"/>
        <v>93845.916407250013</v>
      </c>
      <c r="W131" s="14">
        <f t="shared" si="324"/>
        <v>4050</v>
      </c>
      <c r="X131" s="61">
        <f t="shared" ref="X131:X137" si="325">SUM(T131:W131)</f>
        <v>776201.68015068746</v>
      </c>
      <c r="Z131" s="14">
        <f>Z129*0.1875</f>
        <v>1134976.5247773763</v>
      </c>
      <c r="AA131" s="14">
        <f t="shared" ref="AA131:AC131" si="326">AA129*0.1875</f>
        <v>30575.444085000003</v>
      </c>
      <c r="AB131" s="14">
        <f t="shared" si="326"/>
        <v>196607.8705308912</v>
      </c>
      <c r="AC131" s="14">
        <f t="shared" si="326"/>
        <v>8100</v>
      </c>
      <c r="AD131" s="61">
        <f t="shared" ref="AD131:AD137" si="327">SUM(Z131:AC131)</f>
        <v>1370259.8393932676</v>
      </c>
      <c r="AF131" s="14">
        <f>AF129*0.1875</f>
        <v>548417.03249999997</v>
      </c>
      <c r="AG131" s="14">
        <f t="shared" ref="AG131:AI131" si="328">AG129*0.1875</f>
        <v>49926.097500000003</v>
      </c>
      <c r="AH131" s="14">
        <f t="shared" si="328"/>
        <v>70640.625</v>
      </c>
      <c r="AI131" s="14">
        <f t="shared" si="328"/>
        <v>4370.625</v>
      </c>
      <c r="AJ131" s="61">
        <f t="shared" ref="AJ131:AJ137" si="329">SUM(AF131:AI131)</f>
        <v>673354.38</v>
      </c>
      <c r="AL131" s="14">
        <f>AL129*0.1875</f>
        <v>29561.763505679999</v>
      </c>
      <c r="AM131" s="14">
        <f t="shared" ref="AM131:AO131" si="330">AM129*0.1875</f>
        <v>5253.009446475</v>
      </c>
      <c r="AN131" s="14">
        <f t="shared" si="330"/>
        <v>0</v>
      </c>
      <c r="AO131" s="14">
        <f t="shared" si="330"/>
        <v>0</v>
      </c>
      <c r="AP131" s="61">
        <f t="shared" ref="AP131:AP137" si="331">SUM(AL131:AO131)</f>
        <v>34814.772952154999</v>
      </c>
      <c r="AR131" s="14">
        <f>AR129*0.1875</f>
        <v>75337.5</v>
      </c>
      <c r="AS131" s="14">
        <f t="shared" ref="AS131:AU131" si="332">AS129*0.1875</f>
        <v>0</v>
      </c>
      <c r="AT131" s="14">
        <f t="shared" si="332"/>
        <v>13935</v>
      </c>
      <c r="AU131" s="14">
        <f t="shared" si="332"/>
        <v>0</v>
      </c>
      <c r="AV131" s="61">
        <f t="shared" ref="AV131:AV137" si="333">SUM(AR131:AU131)</f>
        <v>89272.5</v>
      </c>
      <c r="AX131" s="7">
        <f t="shared" ref="AX131:AX137" si="334">B131+H131+N131+T131+Z131+AF131+AL131+AR131</f>
        <v>4749673.9881956792</v>
      </c>
      <c r="AY131" s="7">
        <f t="shared" si="317"/>
        <v>218387.27587834263</v>
      </c>
      <c r="AZ131" s="7">
        <f t="shared" si="317"/>
        <v>749862.39969457267</v>
      </c>
      <c r="BA131" s="7">
        <f t="shared" si="317"/>
        <v>37040.625</v>
      </c>
      <c r="BB131" s="61">
        <f t="shared" ref="BB131:BB137" si="335">SUM(AX131:BA131)</f>
        <v>5754964.2887685951</v>
      </c>
    </row>
    <row r="132" spans="1:54" x14ac:dyDescent="0.25">
      <c r="A132" s="62" t="s">
        <v>249</v>
      </c>
      <c r="B132" s="11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1">
        <f t="shared" ref="C132:E132" si="336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1">
        <f t="shared" si="336"/>
        <v>5456</v>
      </c>
      <c r="E132" s="11">
        <f t="shared" si="336"/>
        <v>264</v>
      </c>
      <c r="F132" s="61">
        <f t="shared" si="319"/>
        <v>52404</v>
      </c>
      <c r="H132" s="11">
        <f>(((H42*2000)+(H43*1500)+(H44*1200)+(H45*1200)+(H46*1200)+(H47*1000)+(H48*1000)+(H49*300)+(H50*300)+(H51*300)+(H52*300)+(H53*300)+(H55*1000)+(H56*1000)+(H57*1000)+(H58*1000)+(H59*1000)+(H60*1000)+(H39*1000)+(1000*H54)))*0.9</f>
        <v>109710</v>
      </c>
      <c r="I132" s="11">
        <f t="shared" ref="I132:K132" si="337">(((I42*2000)+(I43*1500)+(I44*1200)+(I45*1200)+(I46*1200)+(I47*1000)+(I48*1000)+(I49*300)+(I50*300)+(I51*300)+(I52*300)+(I53*300)+(I55*1000)+(I56*1000)+(I57*1000)+(I58*1000)+(I59*1000)+(I60*1000)+(I39*1000)+(1000*I54)))*0.9</f>
        <v>4680</v>
      </c>
      <c r="J132" s="11">
        <f t="shared" si="337"/>
        <v>17910</v>
      </c>
      <c r="K132" s="11">
        <f t="shared" si="337"/>
        <v>810</v>
      </c>
      <c r="L132" s="61">
        <f t="shared" si="321"/>
        <v>133110</v>
      </c>
      <c r="N132" s="11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1">
        <f t="shared" ref="O132:Q132" si="338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1">
        <f t="shared" si="338"/>
        <v>4977</v>
      </c>
      <c r="Q132" s="11">
        <f t="shared" si="338"/>
        <v>270</v>
      </c>
      <c r="R132" s="61">
        <f t="shared" ref="R132:R135" si="339">SUM(N132:Q132)</f>
        <v>55152</v>
      </c>
      <c r="T132" s="11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1">
        <f t="shared" ref="U132:W132" si="340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1">
        <f t="shared" si="340"/>
        <v>8856</v>
      </c>
      <c r="W132" s="11">
        <f t="shared" si="340"/>
        <v>270</v>
      </c>
      <c r="X132" s="61">
        <f t="shared" si="325"/>
        <v>69741</v>
      </c>
      <c r="Z132" s="11">
        <f>(((Z42*2000)+(Z43*1500)+(Z44*1200)+(Z45*1200)+(Z46*1200)+(Z47*1000)+(Z48*1000)+(Z49*300)+(Z50*300)+(Z51*300)+(Z52*300)+(Z53*300)+(Z55*1000)+(Z56*1000)+(Z57*1000)+(Z58*1000)+(Z59*1000)+(Z60*1000)+(Z39*1000)+(1000*Z54)))*0.88</f>
        <v>100936</v>
      </c>
      <c r="AA132" s="11">
        <f t="shared" ref="AA132:AC132" si="341">(((AA42*2000)+(AA43*1500)+(AA44*1200)+(AA45*1200)+(AA46*1200)+(AA47*1000)+(AA48*1000)+(AA49*300)+(AA50*300)+(AA51*300)+(AA52*300)+(AA53*300)+(AA55*1000)+(AA56*1000)+(AA57*1000)+(AA58*1000)+(AA59*1000)+(AA60*1000)+(AA39*1000)+(1000*AA54)))*0.88</f>
        <v>2376</v>
      </c>
      <c r="AB132" s="11">
        <f t="shared" si="341"/>
        <v>14370.4</v>
      </c>
      <c r="AC132" s="11">
        <f t="shared" si="341"/>
        <v>528</v>
      </c>
      <c r="AD132" s="61">
        <f t="shared" si="327"/>
        <v>118210.4</v>
      </c>
      <c r="AF132" s="11">
        <f>(((AF42*2000)+(AF43*1500)+(AF44*1200)+(AF45*1200)+(AF46*1200)+(AF47*1000)+(AF48*1000)+(AF49*300)+(AF50*300)+(AF51*300)+(AF52*300)+(AF53*300)+(AF55*1000)+(AF56*1000)+(AF57*1000)+(AF58*1000)+(AF59*1000)+(AF60*1000)+(AF39*1000)+(1000*AF54)))*0.88</f>
        <v>48576</v>
      </c>
      <c r="AG132" s="11">
        <f t="shared" ref="AG132:AI132" si="342">(((AG42*2000)+(AG43*1500)+(AG44*1200)+(AG45*1200)+(AG46*1200)+(AG47*1000)+(AG48*1000)+(AG49*300)+(AG50*300)+(AG51*300)+(AG52*300)+(AG53*300)+(AG55*1000)+(AG56*1000)+(AG57*1000)+(AG58*1000)+(AG59*1000)+(AG60*1000)+(AG39*1000)+(1000*AG54)))*0.88</f>
        <v>4136</v>
      </c>
      <c r="AH132" s="11">
        <f t="shared" si="342"/>
        <v>5720</v>
      </c>
      <c r="AI132" s="11">
        <f t="shared" si="342"/>
        <v>264</v>
      </c>
      <c r="AJ132" s="61">
        <f t="shared" si="329"/>
        <v>58696</v>
      </c>
      <c r="AL132" s="11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1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1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1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61">
        <f t="shared" si="331"/>
        <v>4137.5</v>
      </c>
      <c r="AR132" s="11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1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1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1420</v>
      </c>
      <c r="AU132" s="11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61">
        <f t="shared" si="333"/>
        <v>3445</v>
      </c>
      <c r="AX132" s="7">
        <f t="shared" si="334"/>
        <v>416365</v>
      </c>
      <c r="AY132" s="7">
        <f t="shared" si="317"/>
        <v>17415.5</v>
      </c>
      <c r="AZ132" s="7">
        <f t="shared" si="317"/>
        <v>58709.4</v>
      </c>
      <c r="BA132" s="7">
        <f t="shared" si="317"/>
        <v>2406</v>
      </c>
      <c r="BB132" s="61">
        <f t="shared" si="335"/>
        <v>494895.9</v>
      </c>
    </row>
    <row r="133" spans="1:54" x14ac:dyDescent="0.25">
      <c r="A133" s="62" t="s">
        <v>250</v>
      </c>
      <c r="B133" s="11">
        <f>125*B66+2500</f>
        <v>8812.5</v>
      </c>
      <c r="C133" s="11">
        <f t="shared" ref="C133:E133" si="343">125*C66</f>
        <v>375</v>
      </c>
      <c r="D133" s="11">
        <f t="shared" si="343"/>
        <v>1125</v>
      </c>
      <c r="E133" s="11">
        <f t="shared" si="343"/>
        <v>125</v>
      </c>
      <c r="F133" s="61">
        <f t="shared" si="319"/>
        <v>10437.5</v>
      </c>
      <c r="H133" s="11">
        <f>125*H66+3000</f>
        <v>18500</v>
      </c>
      <c r="I133" s="11">
        <f t="shared" ref="I133:K133" si="344">125*I66</f>
        <v>1500</v>
      </c>
      <c r="J133" s="11">
        <f t="shared" si="344"/>
        <v>3625</v>
      </c>
      <c r="K133" s="11">
        <f t="shared" si="344"/>
        <v>375</v>
      </c>
      <c r="L133" s="61">
        <f t="shared" si="321"/>
        <v>24000</v>
      </c>
      <c r="N133" s="11">
        <f>125*N66+2500</f>
        <v>9250</v>
      </c>
      <c r="O133" s="11">
        <f t="shared" ref="O133:Q133" si="345">125*O66</f>
        <v>625</v>
      </c>
      <c r="P133" s="11">
        <f t="shared" si="345"/>
        <v>1041.25</v>
      </c>
      <c r="Q133" s="11">
        <f t="shared" si="345"/>
        <v>125</v>
      </c>
      <c r="R133" s="61">
        <f t="shared" si="339"/>
        <v>11041.25</v>
      </c>
      <c r="T133" s="11">
        <f>125*T66+2500</f>
        <v>10812.5</v>
      </c>
      <c r="U133" s="11">
        <f t="shared" ref="U133:W133" si="346">125*U66</f>
        <v>437.5</v>
      </c>
      <c r="V133" s="11">
        <f t="shared" si="346"/>
        <v>1667.5</v>
      </c>
      <c r="W133" s="11">
        <f t="shared" si="346"/>
        <v>125</v>
      </c>
      <c r="X133" s="61">
        <f t="shared" si="325"/>
        <v>13042.5</v>
      </c>
      <c r="Z133" s="11">
        <f>125*Z66+3000</f>
        <v>17625</v>
      </c>
      <c r="AA133" s="11">
        <f t="shared" ref="AA133:AC133" si="347">125*AA66</f>
        <v>687.5</v>
      </c>
      <c r="AB133" s="11">
        <f t="shared" si="347"/>
        <v>2853.75</v>
      </c>
      <c r="AC133" s="11">
        <f t="shared" si="347"/>
        <v>250</v>
      </c>
      <c r="AD133" s="61">
        <f t="shared" si="327"/>
        <v>21416.25</v>
      </c>
      <c r="AF133" s="11">
        <f>125*AF66+3000</f>
        <v>9937.5</v>
      </c>
      <c r="AG133" s="11">
        <f t="shared" ref="AG133:AI133" si="348">125*AG66</f>
        <v>500</v>
      </c>
      <c r="AH133" s="11">
        <f t="shared" si="348"/>
        <v>1250</v>
      </c>
      <c r="AI133" s="11">
        <f t="shared" si="348"/>
        <v>125</v>
      </c>
      <c r="AJ133" s="61">
        <f t="shared" si="329"/>
        <v>11812.5</v>
      </c>
      <c r="AL133" s="11"/>
      <c r="AM133" s="11"/>
      <c r="AN133" s="11"/>
      <c r="AO133" s="11"/>
      <c r="AP133" s="61">
        <f t="shared" si="331"/>
        <v>0</v>
      </c>
      <c r="AR133" s="11"/>
      <c r="AS133" s="11"/>
      <c r="AT133" s="11"/>
      <c r="AU133" s="11"/>
      <c r="AV133" s="61">
        <f t="shared" si="333"/>
        <v>0</v>
      </c>
      <c r="AX133" s="7">
        <f t="shared" si="334"/>
        <v>74937.5</v>
      </c>
      <c r="AY133" s="7">
        <f t="shared" si="317"/>
        <v>4125</v>
      </c>
      <c r="AZ133" s="7">
        <f t="shared" si="317"/>
        <v>11562.5</v>
      </c>
      <c r="BA133" s="7">
        <f t="shared" si="317"/>
        <v>1125</v>
      </c>
      <c r="BB133" s="61">
        <f t="shared" si="335"/>
        <v>91750</v>
      </c>
    </row>
    <row r="134" spans="1:54" x14ac:dyDescent="0.25">
      <c r="A134" s="62" t="s">
        <v>107</v>
      </c>
      <c r="B134" s="14">
        <v>2500</v>
      </c>
      <c r="C134" s="14"/>
      <c r="D134" s="14"/>
      <c r="E134" s="14"/>
      <c r="F134" s="61">
        <f t="shared" si="319"/>
        <v>2500</v>
      </c>
      <c r="H134" s="14">
        <v>2500</v>
      </c>
      <c r="I134" s="14"/>
      <c r="J134" s="14"/>
      <c r="K134" s="14"/>
      <c r="L134" s="61">
        <f t="shared" si="321"/>
        <v>2500</v>
      </c>
      <c r="N134" s="14">
        <v>2500</v>
      </c>
      <c r="O134" s="14"/>
      <c r="P134" s="14"/>
      <c r="Q134" s="14"/>
      <c r="R134" s="61">
        <f t="shared" si="339"/>
        <v>2500</v>
      </c>
      <c r="T134" s="14">
        <f>2500+15000</f>
        <v>17500</v>
      </c>
      <c r="U134" s="14"/>
      <c r="V134" s="14"/>
      <c r="W134" s="14"/>
      <c r="X134" s="61">
        <f t="shared" si="325"/>
        <v>17500</v>
      </c>
      <c r="Z134" s="14">
        <v>15000</v>
      </c>
      <c r="AA134" s="14"/>
      <c r="AB134" s="14"/>
      <c r="AC134" s="14"/>
      <c r="AD134" s="61">
        <f t="shared" si="327"/>
        <v>15000</v>
      </c>
      <c r="AF134" s="14">
        <v>15000</v>
      </c>
      <c r="AG134" s="14"/>
      <c r="AH134" s="14"/>
      <c r="AI134" s="14"/>
      <c r="AJ134" s="61">
        <f t="shared" si="329"/>
        <v>15000</v>
      </c>
      <c r="AL134" s="14"/>
      <c r="AM134" s="14"/>
      <c r="AN134" s="14"/>
      <c r="AO134" s="14"/>
      <c r="AP134" s="61">
        <f t="shared" si="331"/>
        <v>0</v>
      </c>
      <c r="AR134" s="14"/>
      <c r="AS134" s="14"/>
      <c r="AT134" s="14"/>
      <c r="AU134" s="14"/>
      <c r="AV134" s="61">
        <f t="shared" si="333"/>
        <v>0</v>
      </c>
      <c r="AX134" s="7">
        <f t="shared" si="334"/>
        <v>55000</v>
      </c>
      <c r="AY134" s="7">
        <f t="shared" si="317"/>
        <v>0</v>
      </c>
      <c r="AZ134" s="7">
        <f t="shared" si="317"/>
        <v>0</v>
      </c>
      <c r="BA134" s="7">
        <f t="shared" si="317"/>
        <v>0</v>
      </c>
      <c r="BB134" s="61">
        <f t="shared" si="335"/>
        <v>55000</v>
      </c>
    </row>
    <row r="135" spans="1:54" x14ac:dyDescent="0.25">
      <c r="A135" s="62" t="s">
        <v>251</v>
      </c>
      <c r="B135" s="14">
        <f>(500*B39)+((500*(B42+B43+B44+B45+B46+B47+B48))+((250*(B49+B50+B51+B52+B53+B54))+((500*(B55+B56+B57+B58+B59+B60+B61)))))</f>
        <v>24500</v>
      </c>
      <c r="C135" s="14">
        <f t="shared" ref="C135:E135" si="349">(500*C39)+((500*(C42+C43+C44+C45+C46+C47+C48))+((250*(C49+C50+C51+C52+C53+C54))+((500*(C55+C56+C57+C58+C59+C60+C61)))))</f>
        <v>1125</v>
      </c>
      <c r="D135" s="14">
        <f t="shared" si="349"/>
        <v>3500</v>
      </c>
      <c r="E135" s="14">
        <f t="shared" si="349"/>
        <v>250</v>
      </c>
      <c r="F135" s="61">
        <f t="shared" si="319"/>
        <v>29375</v>
      </c>
      <c r="H135" s="14">
        <f>(500*H39)+((500*(H42+H43+H44+H45+H46+H47+H48))+((250*(H49+H50+H51+H52+H53+H54))+((500*(H55+H56+H57+H58+H59+H60+H61)))))</f>
        <v>59750</v>
      </c>
      <c r="I135" s="14">
        <f t="shared" ref="I135:K135" si="350">(1000*I39)+((1000*(I42+I43+I44+I45+I46+I47+I48))+((500*(I49+I50+I51+I52+I53+I54))+((1000*(I55+I56+I57+I58+I59+I60+I61)))))</f>
        <v>7000</v>
      </c>
      <c r="J135" s="14">
        <f t="shared" si="350"/>
        <v>22500</v>
      </c>
      <c r="K135" s="14">
        <f t="shared" si="350"/>
        <v>1500</v>
      </c>
      <c r="L135" s="61">
        <f t="shared" si="321"/>
        <v>90750</v>
      </c>
      <c r="N135" s="14">
        <f>(500*N39)+((500*(N42+N43+N44+N45+N46+N47+N48))+((250*(N49+N50+N51+N52+N53+N54))+((500*(N55+N56+N57+N58+N59+N60+N61)))))</f>
        <v>26000</v>
      </c>
      <c r="O135" s="14">
        <f t="shared" ref="O135:Q135" si="351">(500*O39)+((500*(O42+O43+O44+O45+O46+O47+O48))+((250*(O49+O50+O51+O52+O53+O54))+((500*(O55+O56+O57+O58+O59+O60+O61)))))</f>
        <v>1375</v>
      </c>
      <c r="P135" s="14">
        <f t="shared" si="351"/>
        <v>3165</v>
      </c>
      <c r="Q135" s="14">
        <f t="shared" si="351"/>
        <v>250</v>
      </c>
      <c r="R135" s="61">
        <f t="shared" si="339"/>
        <v>30790</v>
      </c>
      <c r="T135" s="14">
        <f>(500*T39)+((500*(T42+T43+T44+T45+T46+T47+T48))+((250*(T49+T50+T51+T52+T53+T54))+((500*(T55+T56+T57+T58+T59+T60+T61)))))</f>
        <v>31875</v>
      </c>
      <c r="U135" s="14">
        <f t="shared" ref="U135:W135" si="352">(500*U39)+((500*(U42+U43+U44+U45+U46+U47+U48))+((250*(U49+U50+U51+U52+U53+U54))+((500*(U55+U56+U57+U58+U59+U60+U61)))))</f>
        <v>1250</v>
      </c>
      <c r="V135" s="14">
        <f t="shared" si="352"/>
        <v>5420</v>
      </c>
      <c r="W135" s="14">
        <f t="shared" si="352"/>
        <v>250</v>
      </c>
      <c r="X135" s="61">
        <f t="shared" si="325"/>
        <v>38795</v>
      </c>
      <c r="Z135" s="14">
        <f>(500*Z39)+((500*(Z42+Z43+Z44+Z45+Z46+Z47+Z48))+((250*(Z49+Z50+Z51+Z52+Z53+Z54))+((500*(Z55+Z56+Z57+Z58+Z59+Z60+Z61)))))</f>
        <v>56500</v>
      </c>
      <c r="AA135" s="14">
        <f t="shared" ref="AA135:AC135" si="353">(500*AA39)+((500*(AA42+AA43+AA44+AA45+AA46+AA47+AA48))+((250*(AA49+AA50+AA51+AA52+AA53+AA54))+((500*(AA55+AA56+AA57+AA58+AA59+AA60+AA61)))))</f>
        <v>1750</v>
      </c>
      <c r="AB135" s="14">
        <f t="shared" si="353"/>
        <v>8915</v>
      </c>
      <c r="AC135" s="14">
        <f t="shared" si="353"/>
        <v>500</v>
      </c>
      <c r="AD135" s="61">
        <f t="shared" si="327"/>
        <v>67665</v>
      </c>
      <c r="AF135" s="14">
        <f>(500*AF39)+((500*(AF42+AF43+AF44+AF45+AF46+AF47+AF48))+((250*(AF49+AF50+AF51+AF52+AF53+AF54))+((500*(AF55+AF56+AF57+AF58+AF59+AF60+AF61)))))</f>
        <v>26750</v>
      </c>
      <c r="AG135" s="14">
        <f t="shared" ref="AG135:AI135" si="354">(500*AG39)+((500*(AG42+AG43+AG44+AG45+AG46+AG47+AG48))+((250*(AG49+AG50+AG51+AG52+AG53+AG54))+((500*(AG55+AG56+AG57+AG58+AG59+AG60+AG61)))))</f>
        <v>2000</v>
      </c>
      <c r="AH135" s="14">
        <f t="shared" si="354"/>
        <v>3750</v>
      </c>
      <c r="AI135" s="14">
        <f t="shared" si="354"/>
        <v>250</v>
      </c>
      <c r="AJ135" s="61">
        <f t="shared" si="329"/>
        <v>32750</v>
      </c>
      <c r="AL135" s="14"/>
      <c r="AM135" s="14"/>
      <c r="AN135" s="14"/>
      <c r="AO135" s="14"/>
      <c r="AP135" s="61">
        <f t="shared" si="331"/>
        <v>0</v>
      </c>
      <c r="AR135" s="14"/>
      <c r="AS135" s="14"/>
      <c r="AT135" s="14"/>
      <c r="AU135" s="14"/>
      <c r="AV135" s="61">
        <f t="shared" si="333"/>
        <v>0</v>
      </c>
      <c r="AX135" s="7">
        <f t="shared" si="334"/>
        <v>225375</v>
      </c>
      <c r="AY135" s="7">
        <f t="shared" si="317"/>
        <v>14500</v>
      </c>
      <c r="AZ135" s="7">
        <f t="shared" si="317"/>
        <v>47250</v>
      </c>
      <c r="BA135" s="7">
        <f t="shared" si="317"/>
        <v>3000</v>
      </c>
      <c r="BB135" s="61">
        <f t="shared" si="335"/>
        <v>290125</v>
      </c>
    </row>
    <row r="136" spans="1:54" x14ac:dyDescent="0.25">
      <c r="A136" s="62" t="s">
        <v>108</v>
      </c>
      <c r="B136" s="7">
        <v>7500</v>
      </c>
      <c r="C136" s="7"/>
      <c r="D136" s="7"/>
      <c r="E136" s="7"/>
      <c r="F136" s="61">
        <f t="shared" si="319"/>
        <v>7500</v>
      </c>
      <c r="H136" s="7">
        <v>12000</v>
      </c>
      <c r="I136" s="7"/>
      <c r="J136" s="7"/>
      <c r="K136" s="7"/>
      <c r="L136" s="61">
        <f t="shared" si="321"/>
        <v>12000</v>
      </c>
      <c r="N136" s="7">
        <v>12000</v>
      </c>
      <c r="O136" s="7"/>
      <c r="P136" s="7"/>
      <c r="Q136" s="7"/>
      <c r="R136" s="61">
        <f t="shared" si="323"/>
        <v>12000</v>
      </c>
      <c r="T136" s="7">
        <v>12000</v>
      </c>
      <c r="U136" s="7"/>
      <c r="V136" s="7"/>
      <c r="W136" s="7"/>
      <c r="X136" s="61">
        <f t="shared" si="325"/>
        <v>12000</v>
      </c>
      <c r="Z136" s="7">
        <v>12000</v>
      </c>
      <c r="AA136" s="7"/>
      <c r="AB136" s="7"/>
      <c r="AC136" s="7"/>
      <c r="AD136" s="61">
        <f t="shared" si="327"/>
        <v>12000</v>
      </c>
      <c r="AF136" s="7">
        <v>12000</v>
      </c>
      <c r="AG136" s="7"/>
      <c r="AH136" s="7"/>
      <c r="AI136" s="7"/>
      <c r="AJ136" s="61">
        <f t="shared" si="329"/>
        <v>12000</v>
      </c>
      <c r="AL136" s="7">
        <v>0</v>
      </c>
      <c r="AM136" s="7"/>
      <c r="AN136" s="7"/>
      <c r="AO136" s="7"/>
      <c r="AP136" s="61">
        <f t="shared" si="331"/>
        <v>0</v>
      </c>
      <c r="AR136" s="7">
        <v>0</v>
      </c>
      <c r="AS136" s="7"/>
      <c r="AT136" s="7"/>
      <c r="AU136" s="7"/>
      <c r="AV136" s="61">
        <f t="shared" si="333"/>
        <v>0</v>
      </c>
      <c r="AX136" s="7">
        <f t="shared" si="334"/>
        <v>67500</v>
      </c>
      <c r="AY136" s="7">
        <f t="shared" si="317"/>
        <v>0</v>
      </c>
      <c r="AZ136" s="7">
        <f t="shared" si="317"/>
        <v>0</v>
      </c>
      <c r="BA136" s="7">
        <f t="shared" si="317"/>
        <v>0</v>
      </c>
      <c r="BB136" s="61">
        <f t="shared" si="335"/>
        <v>67500</v>
      </c>
    </row>
    <row r="137" spans="1:54" x14ac:dyDescent="0.25">
      <c r="A137" s="62" t="s">
        <v>109</v>
      </c>
      <c r="B137" s="37">
        <f>(175*10*B39)-B127</f>
        <v>48325</v>
      </c>
      <c r="C137" s="37">
        <f t="shared" ref="C137:E137" si="355">(175*10*C39)-C127</f>
        <v>0</v>
      </c>
      <c r="D137" s="37">
        <f t="shared" si="355"/>
        <v>7000</v>
      </c>
      <c r="E137" s="37">
        <f t="shared" si="355"/>
        <v>0</v>
      </c>
      <c r="F137" s="61">
        <f t="shared" si="319"/>
        <v>55325</v>
      </c>
      <c r="H137" s="37">
        <f>(175*10*H39)-H127</f>
        <v>126400</v>
      </c>
      <c r="I137" s="37">
        <f t="shared" ref="I137:K137" si="356">(175*10*I39)-I127</f>
        <v>0</v>
      </c>
      <c r="J137" s="37">
        <f t="shared" si="356"/>
        <v>22750</v>
      </c>
      <c r="K137" s="37">
        <f t="shared" si="356"/>
        <v>0</v>
      </c>
      <c r="L137" s="61">
        <f t="shared" si="321"/>
        <v>149150</v>
      </c>
      <c r="N137" s="37">
        <f>(175*10*N39)-N127</f>
        <v>52750</v>
      </c>
      <c r="O137" s="37">
        <f t="shared" ref="O137:Q137" si="357">(175*10*O39)-O127</f>
        <v>0</v>
      </c>
      <c r="P137" s="37">
        <f t="shared" si="357"/>
        <v>7000</v>
      </c>
      <c r="Q137" s="37">
        <f t="shared" si="357"/>
        <v>0</v>
      </c>
      <c r="R137" s="61">
        <f t="shared" si="323"/>
        <v>59750</v>
      </c>
      <c r="T137" s="37">
        <f>(175*10*T39)-T127</f>
        <v>70250</v>
      </c>
      <c r="U137" s="37">
        <f t="shared" ref="U137:W137" si="358">(175*10*U39)-U127</f>
        <v>0</v>
      </c>
      <c r="V137" s="37">
        <f t="shared" si="358"/>
        <v>8750</v>
      </c>
      <c r="W137" s="37">
        <f t="shared" si="358"/>
        <v>0</v>
      </c>
      <c r="X137" s="61">
        <f t="shared" si="325"/>
        <v>79000</v>
      </c>
      <c r="Z137" s="37">
        <f>(175*10*Z39)-Z127</f>
        <v>146325</v>
      </c>
      <c r="AA137" s="37">
        <f t="shared" ref="AA137:AC137" si="359">(175*10*AA39)-AA127</f>
        <v>0</v>
      </c>
      <c r="AB137" s="37">
        <f t="shared" si="359"/>
        <v>17500</v>
      </c>
      <c r="AC137" s="37">
        <f t="shared" si="359"/>
        <v>0</v>
      </c>
      <c r="AD137" s="61">
        <f t="shared" si="327"/>
        <v>163825</v>
      </c>
      <c r="AF137" s="37">
        <f>(175*10*AF39)-AF127</f>
        <v>57125</v>
      </c>
      <c r="AG137" s="37">
        <f t="shared" ref="AG137:AI137" si="360">(175*10*AG39)-AG127</f>
        <v>0</v>
      </c>
      <c r="AH137" s="37">
        <f t="shared" si="360"/>
        <v>8750</v>
      </c>
      <c r="AI137" s="37">
        <f t="shared" si="360"/>
        <v>0</v>
      </c>
      <c r="AJ137" s="61">
        <f t="shared" si="329"/>
        <v>65875</v>
      </c>
      <c r="AL137" s="37">
        <f>(165*10*AL39)-AL127</f>
        <v>0</v>
      </c>
      <c r="AM137" s="37">
        <v>0</v>
      </c>
      <c r="AN137" s="37">
        <f t="shared" ref="AN137:AO137" si="361">(165*10*AN39)-AN127</f>
        <v>0</v>
      </c>
      <c r="AO137" s="37">
        <f t="shared" si="361"/>
        <v>0</v>
      </c>
      <c r="AP137" s="61">
        <f t="shared" si="331"/>
        <v>0</v>
      </c>
      <c r="AR137" s="37">
        <f>(165*10*AR39)-AR127</f>
        <v>0</v>
      </c>
      <c r="AS137" s="37">
        <v>0</v>
      </c>
      <c r="AT137" s="37">
        <f t="shared" ref="AT137:AU137" si="362">(165*10*AT39)-AT127</f>
        <v>1650</v>
      </c>
      <c r="AU137" s="37">
        <f t="shared" si="362"/>
        <v>0</v>
      </c>
      <c r="AV137" s="61">
        <f t="shared" si="333"/>
        <v>1650</v>
      </c>
      <c r="AX137" s="7">
        <f t="shared" si="334"/>
        <v>501175</v>
      </c>
      <c r="AY137" s="7">
        <f t="shared" si="317"/>
        <v>0</v>
      </c>
      <c r="AZ137" s="7">
        <f t="shared" si="317"/>
        <v>73400</v>
      </c>
      <c r="BA137" s="7">
        <f t="shared" si="317"/>
        <v>0</v>
      </c>
      <c r="BB137" s="61">
        <f t="shared" si="335"/>
        <v>574575</v>
      </c>
    </row>
    <row r="138" spans="1:54" ht="15.75" thickBot="1" x14ac:dyDescent="0.3">
      <c r="A138" s="91" t="s">
        <v>110</v>
      </c>
      <c r="B138" s="87">
        <f>SUM(B130:B137)</f>
        <v>1476776.0113096875</v>
      </c>
      <c r="C138" s="87">
        <f>SUM(C130:C137)</f>
        <v>69604.320182333264</v>
      </c>
      <c r="D138" s="87">
        <f>SUM(D130:D137)</f>
        <v>194035.67766861588</v>
      </c>
      <c r="E138" s="87">
        <f t="shared" ref="E138:F138" si="363">SUM(E130:E137)</f>
        <v>11115</v>
      </c>
      <c r="F138" s="87">
        <f t="shared" si="363"/>
        <v>1751531.0091606367</v>
      </c>
      <c r="H138" s="87">
        <f>SUM(H130:H137)</f>
        <v>3576520.0672926167</v>
      </c>
      <c r="I138" s="87">
        <f>SUM(I130:I137)</f>
        <v>142415.64580267062</v>
      </c>
      <c r="J138" s="87">
        <f>SUM(J130:J137)</f>
        <v>665304.47595841996</v>
      </c>
      <c r="K138" s="87">
        <f t="shared" ref="K138:L138" si="364">SUM(K130:K137)</f>
        <v>34636.800000000003</v>
      </c>
      <c r="L138" s="87">
        <f t="shared" si="364"/>
        <v>4418876.9890537076</v>
      </c>
      <c r="N138" s="87">
        <f>SUM(N130:N137)</f>
        <v>1524412.588393325</v>
      </c>
      <c r="O138" s="87">
        <f>SUM(O130:O137)</f>
        <v>95169.559447560459</v>
      </c>
      <c r="P138" s="87">
        <f>SUM(P130:P137)</f>
        <v>210277.09136960001</v>
      </c>
      <c r="Q138" s="87">
        <f t="shared" ref="Q138:R138" si="365">SUM(Q130:Q137)</f>
        <v>11295.599999999999</v>
      </c>
      <c r="R138" s="87">
        <f t="shared" si="365"/>
        <v>1841154.8392104853</v>
      </c>
      <c r="T138" s="87">
        <f>SUM(T130:T137)</f>
        <v>1899325.2860450249</v>
      </c>
      <c r="U138" s="87">
        <f>SUM(U130:U137)</f>
        <v>59965.622838000003</v>
      </c>
      <c r="V138" s="87">
        <f>SUM(V130:V137)</f>
        <v>267441.60377341998</v>
      </c>
      <c r="W138" s="87">
        <f t="shared" ref="W138:X138" si="366">SUM(W130:W137)</f>
        <v>11121</v>
      </c>
      <c r="X138" s="87">
        <f t="shared" si="366"/>
        <v>2237853.5126564447</v>
      </c>
      <c r="Z138" s="87">
        <f>SUM(Z130:Z137)</f>
        <v>3284191.9440908134</v>
      </c>
      <c r="AA138" s="87">
        <f>SUM(AA130:AA137)</f>
        <v>83901.982033200009</v>
      </c>
      <c r="AB138" s="87">
        <f>SUM(AB130:AB137)</f>
        <v>552198.17510657199</v>
      </c>
      <c r="AC138" s="87">
        <f t="shared" ref="AC138:AD138" si="367">SUM(AC130:AC137)</f>
        <v>22230</v>
      </c>
      <c r="AD138" s="87">
        <f t="shared" si="367"/>
        <v>3942522.1012305855</v>
      </c>
      <c r="AF138" s="87">
        <f>SUM(AF130:AF137)</f>
        <v>1587960.5573999998</v>
      </c>
      <c r="AG138" s="87">
        <f>SUM(AG130:AG137)</f>
        <v>135778.1722</v>
      </c>
      <c r="AH138" s="87">
        <f>SUM(AH130:AH137)</f>
        <v>202193.75</v>
      </c>
      <c r="AI138" s="87">
        <f t="shared" ref="AI138:AJ138" si="368">SUM(AI130:AI137)</f>
        <v>11944.349999999999</v>
      </c>
      <c r="AJ138" s="87">
        <f t="shared" si="368"/>
        <v>1937876.8295999998</v>
      </c>
      <c r="AL138" s="87">
        <f>SUM(AL130:AL137)</f>
        <v>80091.4282680256</v>
      </c>
      <c r="AM138" s="87">
        <f>SUM(AM130:AM137)</f>
        <v>14100.284434882</v>
      </c>
      <c r="AN138" s="87">
        <f>SUM(AN130:AN137)</f>
        <v>0</v>
      </c>
      <c r="AO138" s="87">
        <f t="shared" ref="AO138:AP138" si="369">SUM(AO130:AO137)</f>
        <v>0</v>
      </c>
      <c r="AP138" s="87">
        <f t="shared" si="369"/>
        <v>94191.712702907593</v>
      </c>
      <c r="AR138" s="87">
        <f>SUM(AR130:AR137)</f>
        <v>196898</v>
      </c>
      <c r="AS138" s="87">
        <f>SUM(AS130:AS137)</f>
        <v>0</v>
      </c>
      <c r="AT138" s="87">
        <f>SUM(AT130:AT137)</f>
        <v>39115.199999999997</v>
      </c>
      <c r="AU138" s="87">
        <f t="shared" ref="AU138:AV138" si="370">SUM(AU130:AU137)</f>
        <v>0</v>
      </c>
      <c r="AV138" s="87">
        <f t="shared" si="370"/>
        <v>236013.2</v>
      </c>
      <c r="AX138" s="87">
        <f>SUM(AX130:AX137)</f>
        <v>13626175.882799491</v>
      </c>
      <c r="AY138" s="87">
        <f>SUM(AY130:AY137)</f>
        <v>600935.58693864627</v>
      </c>
      <c r="AZ138" s="87">
        <f>SUM(AZ130:AZ137)</f>
        <v>2130565.9738766281</v>
      </c>
      <c r="BA138" s="87">
        <f t="shared" ref="BA138:BB138" si="371">SUM(BA130:BA137)</f>
        <v>102342.75</v>
      </c>
      <c r="BB138" s="87">
        <f t="shared" si="371"/>
        <v>16460020.193614766</v>
      </c>
    </row>
    <row r="139" spans="1:54" ht="15.75" thickBot="1" x14ac:dyDescent="0.3">
      <c r="A139" s="95" t="s">
        <v>111</v>
      </c>
      <c r="B139" s="90">
        <f>B129+B138</f>
        <v>4240921.395453373</v>
      </c>
      <c r="C139" s="90">
        <f>C129+C138</f>
        <v>205580.23808405135</v>
      </c>
      <c r="D139" s="90">
        <f>D129+D138</f>
        <v>558890.68317091675</v>
      </c>
      <c r="E139" s="90">
        <f t="shared" ref="E139:F139" si="372">E129+E138</f>
        <v>32715</v>
      </c>
      <c r="F139" s="90">
        <f t="shared" si="372"/>
        <v>5038107.3167083412</v>
      </c>
      <c r="H139" s="90">
        <f>H129+H138</f>
        <v>10272726.391607292</v>
      </c>
      <c r="I139" s="90">
        <f>I129+I138</f>
        <v>408880.89488034201</v>
      </c>
      <c r="J139" s="90">
        <f>J129+J138</f>
        <v>1899365.25113042</v>
      </c>
      <c r="K139" s="90">
        <f t="shared" ref="K139:L139" si="373">K129+K138</f>
        <v>100516.8</v>
      </c>
      <c r="L139" s="90">
        <f t="shared" si="373"/>
        <v>12681489.337618053</v>
      </c>
      <c r="N139" s="90">
        <f>N129+N138</f>
        <v>4356727.2036372945</v>
      </c>
      <c r="O139" s="90">
        <f>O129+O138</f>
        <v>283838.75418479857</v>
      </c>
      <c r="P139" s="90">
        <f>P129+P138</f>
        <v>610470.57872960006</v>
      </c>
      <c r="Q139" s="90">
        <f t="shared" ref="Q139:R139" si="374">Q129+Q138</f>
        <v>33255.599999999999</v>
      </c>
      <c r="R139" s="90">
        <f t="shared" si="374"/>
        <v>5284292.1365516922</v>
      </c>
      <c r="T139" s="90">
        <f>T129+T138</f>
        <v>5400691.8552100249</v>
      </c>
      <c r="U139" s="90">
        <f>U129+U138</f>
        <v>176229.793638</v>
      </c>
      <c r="V139" s="90">
        <f>V129+V138</f>
        <v>767953.15794542001</v>
      </c>
      <c r="W139" s="90">
        <f t="shared" ref="W139:X139" si="375">W129+W138</f>
        <v>32721</v>
      </c>
      <c r="X139" s="90">
        <f t="shared" si="375"/>
        <v>6377595.8067934439</v>
      </c>
      <c r="Z139" s="90">
        <f>Z129+Z138</f>
        <v>9337400.0762368217</v>
      </c>
      <c r="AA139" s="90">
        <f>AA129+AA138</f>
        <v>246971.01715320002</v>
      </c>
      <c r="AB139" s="90">
        <f>AB129+AB138</f>
        <v>1600773.4846046586</v>
      </c>
      <c r="AC139" s="90">
        <f t="shared" ref="AC139:AD139" si="376">AC129+AC138</f>
        <v>65430</v>
      </c>
      <c r="AD139" s="90">
        <f t="shared" si="376"/>
        <v>11250574.57799468</v>
      </c>
      <c r="AF139" s="90">
        <f>AF129+AF138</f>
        <v>4512851.3973999992</v>
      </c>
      <c r="AG139" s="90">
        <f>AG129+AG138</f>
        <v>402050.69220000005</v>
      </c>
      <c r="AH139" s="90">
        <f>AH129+AH138</f>
        <v>578943.75</v>
      </c>
      <c r="AI139" s="90">
        <f t="shared" ref="AI139:AJ139" si="377">AI129+AI138</f>
        <v>35254.35</v>
      </c>
      <c r="AJ139" s="90">
        <f t="shared" si="377"/>
        <v>5529100.1896000002</v>
      </c>
      <c r="AL139" s="90">
        <f>AL129+AL138</f>
        <v>237754.1669649856</v>
      </c>
      <c r="AM139" s="90">
        <f>AM129+AM138</f>
        <v>42116.334816082002</v>
      </c>
      <c r="AN139" s="90">
        <f>AN129+AN138</f>
        <v>0</v>
      </c>
      <c r="AO139" s="90">
        <f t="shared" ref="AO139:AP139" si="378">AO129+AO138</f>
        <v>0</v>
      </c>
      <c r="AP139" s="90">
        <f t="shared" si="378"/>
        <v>279870.50178106758</v>
      </c>
      <c r="AR139" s="90">
        <f>AR129+AR138</f>
        <v>598698</v>
      </c>
      <c r="AS139" s="90">
        <f>AS129+AS138</f>
        <v>0</v>
      </c>
      <c r="AT139" s="90">
        <f>AT129+AT138</f>
        <v>113435.2</v>
      </c>
      <c r="AU139" s="90">
        <f t="shared" ref="AU139:AV139" si="379">AU129+AU138</f>
        <v>0</v>
      </c>
      <c r="AV139" s="90">
        <f t="shared" si="379"/>
        <v>712133.2</v>
      </c>
      <c r="AX139" s="90">
        <f>AX129+AX138</f>
        <v>38957770.486509785</v>
      </c>
      <c r="AY139" s="90">
        <f>AY129+AY138</f>
        <v>1765667.7249564738</v>
      </c>
      <c r="AZ139" s="90">
        <f>AZ129+AZ138</f>
        <v>6129832.1055810153</v>
      </c>
      <c r="BA139" s="90">
        <f t="shared" ref="BA139:BB139" si="380">BA129+BA138</f>
        <v>299892.75</v>
      </c>
      <c r="BB139" s="90">
        <f t="shared" si="380"/>
        <v>47153163.067047276</v>
      </c>
    </row>
    <row r="140" spans="1:54" x14ac:dyDescent="0.25">
      <c r="A140" s="97" t="s">
        <v>112</v>
      </c>
      <c r="B140" s="149" t="str">
        <f>B1</f>
        <v>Operating</v>
      </c>
      <c r="C140" s="149" t="str">
        <f>C1</f>
        <v>Weights</v>
      </c>
      <c r="D140" s="149" t="str">
        <f>D1</f>
        <v>SPED</v>
      </c>
      <c r="E140" s="149" t="str">
        <f t="shared" ref="E140:F140" si="381">E1</f>
        <v>NSLP</v>
      </c>
      <c r="F140" s="149" t="str">
        <f t="shared" si="381"/>
        <v>Horizon</v>
      </c>
      <c r="H140" s="149" t="str">
        <f>H1</f>
        <v>Operating</v>
      </c>
      <c r="I140" s="149" t="str">
        <f>I1</f>
        <v>Weights</v>
      </c>
      <c r="J140" s="149" t="str">
        <f>J1</f>
        <v>SPED</v>
      </c>
      <c r="K140" s="149" t="str">
        <f t="shared" ref="K140:L140" si="382">K1</f>
        <v>NSLP</v>
      </c>
      <c r="L140" s="149" t="str">
        <f t="shared" si="382"/>
        <v>Cadence</v>
      </c>
      <c r="N140" s="149" t="str">
        <f>N1</f>
        <v>Operating</v>
      </c>
      <c r="O140" s="149" t="str">
        <f>O1</f>
        <v>Weights</v>
      </c>
      <c r="P140" s="149" t="str">
        <f>P1</f>
        <v>SPED</v>
      </c>
      <c r="Q140" s="149" t="str">
        <f t="shared" ref="Q140:R140" si="383">Q1</f>
        <v>NSLP</v>
      </c>
      <c r="R140" s="149" t="str">
        <f t="shared" si="383"/>
        <v>St. Rose</v>
      </c>
      <c r="T140" s="149" t="str">
        <f>T1</f>
        <v>Operating</v>
      </c>
      <c r="U140" s="149" t="str">
        <f>U1</f>
        <v>Weights</v>
      </c>
      <c r="V140" s="149" t="str">
        <f>V1</f>
        <v>SPED</v>
      </c>
      <c r="W140" s="149" t="str">
        <f t="shared" ref="W140:X140" si="384">W1</f>
        <v>NSLP</v>
      </c>
      <c r="X140" s="149" t="str">
        <f t="shared" si="384"/>
        <v>Inspirada</v>
      </c>
      <c r="Z140" s="149" t="str">
        <f>Z1</f>
        <v>Operating</v>
      </c>
      <c r="AA140" s="149" t="str">
        <f>AA1</f>
        <v>Weights</v>
      </c>
      <c r="AB140" s="149" t="str">
        <f>AB1</f>
        <v>SPED</v>
      </c>
      <c r="AC140" s="149" t="str">
        <f t="shared" ref="AC140:AD140" si="385">AC1</f>
        <v>NSLP</v>
      </c>
      <c r="AD140" s="149" t="str">
        <f t="shared" si="385"/>
        <v>Sloan Canyon</v>
      </c>
      <c r="AF140" s="149" t="str">
        <f>AF1</f>
        <v>Operating</v>
      </c>
      <c r="AG140" s="149" t="str">
        <f>AG1</f>
        <v>Weights</v>
      </c>
      <c r="AH140" s="149" t="str">
        <f>AH1</f>
        <v>SPED</v>
      </c>
      <c r="AI140" s="149" t="str">
        <f t="shared" ref="AI140:AJ140" si="386">AI1</f>
        <v>NSLP</v>
      </c>
      <c r="AJ140" s="149" t="str">
        <f t="shared" si="386"/>
        <v>Springs</v>
      </c>
      <c r="AL140" s="149" t="str">
        <f>AL1</f>
        <v>Operating</v>
      </c>
      <c r="AM140" s="149" t="str">
        <f>AM1</f>
        <v>Weights</v>
      </c>
      <c r="AN140" s="149" t="str">
        <f>AN1</f>
        <v>SPED</v>
      </c>
      <c r="AO140" s="149" t="str">
        <f t="shared" ref="AO140:AP140" si="387">AO1</f>
        <v>NSLP</v>
      </c>
      <c r="AP140" s="149" t="str">
        <f t="shared" si="387"/>
        <v>System Wide</v>
      </c>
      <c r="AR140" s="149" t="str">
        <f>AR1</f>
        <v>Operating</v>
      </c>
      <c r="AS140" s="149" t="str">
        <f>AS1</f>
        <v>Weights</v>
      </c>
      <c r="AT140" s="149" t="str">
        <f>AT1</f>
        <v>SPED</v>
      </c>
      <c r="AU140" s="149" t="str">
        <f t="shared" ref="AU140:AV140" si="388">AU1</f>
        <v>NSLP</v>
      </c>
      <c r="AV140" s="149" t="str">
        <f t="shared" si="388"/>
        <v>Virtual</v>
      </c>
      <c r="AX140" s="149" t="str">
        <f>AX1</f>
        <v>Operating</v>
      </c>
      <c r="AY140" s="149" t="str">
        <f>AY1</f>
        <v>Weights</v>
      </c>
      <c r="AZ140" s="149" t="str">
        <f>AZ1</f>
        <v>SPED</v>
      </c>
      <c r="BA140" s="149" t="str">
        <f t="shared" ref="BA140:BB140" si="389">BA1</f>
        <v>NSLP</v>
      </c>
      <c r="BB140" s="149" t="str">
        <f t="shared" si="389"/>
        <v>Pinecrest System</v>
      </c>
    </row>
    <row r="141" spans="1:54" x14ac:dyDescent="0.25">
      <c r="A141" s="98" t="s">
        <v>113</v>
      </c>
      <c r="B141" s="15">
        <f>B19*150</f>
        <v>140400</v>
      </c>
      <c r="C141" s="15"/>
      <c r="D141" s="15"/>
      <c r="E141" s="15"/>
      <c r="F141" s="15">
        <f>SUM(B141:E141)</f>
        <v>140400</v>
      </c>
      <c r="H141" s="15">
        <f>H19*150</f>
        <v>368100</v>
      </c>
      <c r="I141" s="15"/>
      <c r="J141" s="15"/>
      <c r="K141" s="15"/>
      <c r="L141" s="15">
        <f>SUM(H141:K141)</f>
        <v>368100</v>
      </c>
      <c r="N141" s="15">
        <f>N19*150</f>
        <v>152400</v>
      </c>
      <c r="O141" s="15"/>
      <c r="P141" s="15"/>
      <c r="Q141" s="15"/>
      <c r="R141" s="15">
        <f>SUM(N141:Q141)</f>
        <v>152400</v>
      </c>
      <c r="T141" s="15">
        <f>T19*150</f>
        <v>182250</v>
      </c>
      <c r="U141" s="15"/>
      <c r="V141" s="15"/>
      <c r="W141" s="15"/>
      <c r="X141" s="15">
        <f>SUM(T141:W141)</f>
        <v>182250</v>
      </c>
      <c r="Z141" s="15">
        <f>Z19*150</f>
        <v>364350</v>
      </c>
      <c r="AA141" s="15"/>
      <c r="AB141" s="15"/>
      <c r="AC141" s="15"/>
      <c r="AD141" s="15">
        <f>SUM(Z141:AC141)</f>
        <v>364350</v>
      </c>
      <c r="AF141" s="15">
        <f>AF19*150</f>
        <v>162000</v>
      </c>
      <c r="AG141" s="15"/>
      <c r="AH141" s="15"/>
      <c r="AI141" s="15"/>
      <c r="AJ141" s="15">
        <f>SUM(AF141:AI141)</f>
        <v>162000</v>
      </c>
      <c r="AL141" s="15">
        <f>AL19*140</f>
        <v>0</v>
      </c>
      <c r="AM141" s="15"/>
      <c r="AN141" s="15"/>
      <c r="AO141" s="15"/>
      <c r="AP141" s="15">
        <f>SUM(AL141:AO141)</f>
        <v>0</v>
      </c>
      <c r="AR141" s="15">
        <f>AR19*400</f>
        <v>156000</v>
      </c>
      <c r="AS141" s="15"/>
      <c r="AT141" s="15"/>
      <c r="AU141" s="15"/>
      <c r="AV141" s="15">
        <f>SUM(AR141:AU141)</f>
        <v>156000</v>
      </c>
      <c r="AX141" s="7">
        <f>B141+H141+N141+T141+Z141+AF141+AL141+AR141</f>
        <v>1525500</v>
      </c>
      <c r="AY141" s="7">
        <f t="shared" ref="AY141:BA150" si="390">C141+I141+O141+U141+AA141+AG141+AM141+AS141</f>
        <v>0</v>
      </c>
      <c r="AZ141" s="7">
        <f t="shared" si="390"/>
        <v>0</v>
      </c>
      <c r="BA141" s="7">
        <f t="shared" si="390"/>
        <v>0</v>
      </c>
      <c r="BB141" s="15">
        <f>SUM(AX141:BA141)</f>
        <v>1525500</v>
      </c>
    </row>
    <row r="142" spans="1:54" x14ac:dyDescent="0.25">
      <c r="A142" s="99" t="s">
        <v>252</v>
      </c>
      <c r="B142" s="15">
        <v>0</v>
      </c>
      <c r="C142" s="7"/>
      <c r="D142" s="7"/>
      <c r="E142" s="7"/>
      <c r="F142" s="15">
        <f t="shared" ref="F142:F150" si="391">SUM(B142:E142)</f>
        <v>0</v>
      </c>
      <c r="H142" s="15">
        <v>245000</v>
      </c>
      <c r="I142" s="7"/>
      <c r="J142" s="7"/>
      <c r="K142" s="7"/>
      <c r="L142" s="15">
        <f t="shared" ref="L142:L147" si="392">SUM(H142:K142)</f>
        <v>245000</v>
      </c>
      <c r="N142" s="15">
        <v>0</v>
      </c>
      <c r="O142" s="7"/>
      <c r="P142" s="7"/>
      <c r="Q142" s="7"/>
      <c r="R142" s="15">
        <f t="shared" ref="R142:R147" si="393">SUM(N142:Q142)</f>
        <v>0</v>
      </c>
      <c r="T142" s="15">
        <v>0</v>
      </c>
      <c r="U142" s="7"/>
      <c r="V142" s="7"/>
      <c r="W142" s="7"/>
      <c r="X142" s="15">
        <f t="shared" ref="X142:X147" si="394">SUM(T142:W142)</f>
        <v>0</v>
      </c>
      <c r="Z142" s="15">
        <v>225000</v>
      </c>
      <c r="AA142" s="7"/>
      <c r="AB142" s="7"/>
      <c r="AC142" s="7"/>
      <c r="AD142" s="15">
        <f t="shared" ref="AD142:AD147" si="395">SUM(Z142:AC142)</f>
        <v>225000</v>
      </c>
      <c r="AF142" s="15">
        <v>0</v>
      </c>
      <c r="AG142" s="7"/>
      <c r="AH142" s="7"/>
      <c r="AI142" s="7"/>
      <c r="AJ142" s="15">
        <f t="shared" ref="AJ142:AJ150" si="396">SUM(AF142:AI142)</f>
        <v>0</v>
      </c>
      <c r="AL142" s="15">
        <v>0</v>
      </c>
      <c r="AM142" s="7"/>
      <c r="AN142" s="7"/>
      <c r="AO142" s="7"/>
      <c r="AP142" s="15">
        <f t="shared" ref="AP142:AP147" si="397">SUM(AL142:AO142)</f>
        <v>0</v>
      </c>
      <c r="AR142" s="15">
        <f>(120*3)*(12*35)</f>
        <v>151200</v>
      </c>
      <c r="AS142" s="7"/>
      <c r="AT142" s="7"/>
      <c r="AU142" s="7"/>
      <c r="AV142" s="15">
        <f t="shared" ref="AV142:AV147" si="398">SUM(AR142:AU142)</f>
        <v>151200</v>
      </c>
      <c r="AX142" s="7">
        <f t="shared" ref="AX142:AX150" si="399">B142+H142+N142+T142+Z142+AF142+AL142+AR142</f>
        <v>621200</v>
      </c>
      <c r="AY142" s="7">
        <f t="shared" si="390"/>
        <v>0</v>
      </c>
      <c r="AZ142" s="7">
        <f t="shared" si="390"/>
        <v>0</v>
      </c>
      <c r="BA142" s="7">
        <f t="shared" si="390"/>
        <v>0</v>
      </c>
      <c r="BB142" s="15">
        <f t="shared" ref="BB142:BB150" si="400">SUM(AX142:BA142)</f>
        <v>621200</v>
      </c>
    </row>
    <row r="143" spans="1:54" x14ac:dyDescent="0.25">
      <c r="A143" s="62" t="s">
        <v>115</v>
      </c>
      <c r="B143" s="11">
        <v>15000</v>
      </c>
      <c r="C143" s="11"/>
      <c r="D143" s="11"/>
      <c r="E143" s="11"/>
      <c r="F143" s="15">
        <f t="shared" si="391"/>
        <v>15000</v>
      </c>
      <c r="H143" s="198">
        <v>175000</v>
      </c>
      <c r="I143" s="11"/>
      <c r="J143" s="11"/>
      <c r="K143" s="11"/>
      <c r="L143" s="15">
        <f t="shared" si="392"/>
        <v>175000</v>
      </c>
      <c r="N143" s="198">
        <v>0</v>
      </c>
      <c r="O143" s="11"/>
      <c r="P143" s="11"/>
      <c r="Q143" s="11"/>
      <c r="R143" s="15">
        <f t="shared" si="393"/>
        <v>0</v>
      </c>
      <c r="T143" s="198">
        <v>0</v>
      </c>
      <c r="U143" s="11"/>
      <c r="V143" s="11"/>
      <c r="W143" s="11"/>
      <c r="X143" s="15">
        <f t="shared" si="394"/>
        <v>0</v>
      </c>
      <c r="Z143" s="11">
        <v>0</v>
      </c>
      <c r="AA143" s="11"/>
      <c r="AB143" s="11"/>
      <c r="AC143" s="11"/>
      <c r="AD143" s="15">
        <f t="shared" si="395"/>
        <v>0</v>
      </c>
      <c r="AF143" s="11">
        <v>317000</v>
      </c>
      <c r="AG143" s="11"/>
      <c r="AH143" s="11"/>
      <c r="AI143" s="11"/>
      <c r="AJ143" s="15">
        <f t="shared" si="396"/>
        <v>317000</v>
      </c>
      <c r="AL143" s="11">
        <v>0</v>
      </c>
      <c r="AM143" s="11"/>
      <c r="AN143" s="11"/>
      <c r="AO143" s="11"/>
      <c r="AP143" s="15">
        <f t="shared" si="397"/>
        <v>0</v>
      </c>
      <c r="AR143" s="11">
        <v>0</v>
      </c>
      <c r="AS143" s="11"/>
      <c r="AT143" s="11"/>
      <c r="AU143" s="11"/>
      <c r="AV143" s="15">
        <f t="shared" ref="AV143" si="401">SUM(AR143:AU143)</f>
        <v>0</v>
      </c>
      <c r="AX143" s="7">
        <f t="shared" si="399"/>
        <v>507000</v>
      </c>
      <c r="AY143" s="7">
        <f t="shared" si="390"/>
        <v>0</v>
      </c>
      <c r="AZ143" s="7">
        <f t="shared" si="390"/>
        <v>0</v>
      </c>
      <c r="BA143" s="7">
        <f t="shared" si="390"/>
        <v>0</v>
      </c>
      <c r="BB143" s="15">
        <f t="shared" si="400"/>
        <v>507000</v>
      </c>
    </row>
    <row r="144" spans="1:54" x14ac:dyDescent="0.25">
      <c r="A144" s="62" t="s">
        <v>116</v>
      </c>
      <c r="B144" s="7">
        <v>0</v>
      </c>
      <c r="C144" s="7">
        <v>0</v>
      </c>
      <c r="D144" s="7"/>
      <c r="E144" s="7"/>
      <c r="F144" s="15">
        <f t="shared" si="391"/>
        <v>0</v>
      </c>
      <c r="H144" s="7">
        <v>75000</v>
      </c>
      <c r="I144" s="7">
        <v>0</v>
      </c>
      <c r="J144" s="7"/>
      <c r="K144" s="7"/>
      <c r="L144" s="15">
        <f t="shared" si="392"/>
        <v>75000</v>
      </c>
      <c r="N144" s="7">
        <v>0</v>
      </c>
      <c r="O144" s="7">
        <v>0</v>
      </c>
      <c r="P144" s="7"/>
      <c r="Q144" s="7"/>
      <c r="R144" s="15">
        <f t="shared" si="393"/>
        <v>0</v>
      </c>
      <c r="T144" s="7">
        <v>0</v>
      </c>
      <c r="U144" s="7">
        <v>0</v>
      </c>
      <c r="V144" s="7"/>
      <c r="W144" s="7"/>
      <c r="X144" s="15">
        <f t="shared" si="394"/>
        <v>0</v>
      </c>
      <c r="Z144" s="7">
        <v>0</v>
      </c>
      <c r="AA144" s="7">
        <v>0</v>
      </c>
      <c r="AB144" s="7"/>
      <c r="AC144" s="7"/>
      <c r="AD144" s="15">
        <f t="shared" si="395"/>
        <v>0</v>
      </c>
      <c r="AF144" s="7">
        <v>0</v>
      </c>
      <c r="AG144" s="7">
        <v>0</v>
      </c>
      <c r="AH144" s="7"/>
      <c r="AI144" s="7"/>
      <c r="AJ144" s="15">
        <f t="shared" si="396"/>
        <v>0</v>
      </c>
      <c r="AL144" s="7">
        <v>0</v>
      </c>
      <c r="AM144" s="7">
        <v>0</v>
      </c>
      <c r="AN144" s="7"/>
      <c r="AO144" s="7"/>
      <c r="AP144" s="15">
        <f t="shared" si="397"/>
        <v>0</v>
      </c>
      <c r="AR144" s="7">
        <f>400*70</f>
        <v>28000</v>
      </c>
      <c r="AS144" s="7">
        <v>0</v>
      </c>
      <c r="AT144" s="7"/>
      <c r="AU144" s="7"/>
      <c r="AV144" s="15">
        <f t="shared" si="398"/>
        <v>28000</v>
      </c>
      <c r="AX144" s="7">
        <f t="shared" si="399"/>
        <v>103000</v>
      </c>
      <c r="AY144" s="7">
        <f t="shared" si="390"/>
        <v>0</v>
      </c>
      <c r="AZ144" s="7">
        <f t="shared" si="390"/>
        <v>0</v>
      </c>
      <c r="BA144" s="7">
        <f t="shared" si="390"/>
        <v>0</v>
      </c>
      <c r="BB144" s="15">
        <f t="shared" si="400"/>
        <v>103000</v>
      </c>
    </row>
    <row r="145" spans="1:54" x14ac:dyDescent="0.25">
      <c r="A145" s="62" t="s">
        <v>117</v>
      </c>
      <c r="B145" s="7">
        <f>14*B19</f>
        <v>13104</v>
      </c>
      <c r="C145" s="7">
        <f>13*C19</f>
        <v>0</v>
      </c>
      <c r="D145" s="7"/>
      <c r="E145" s="7">
        <v>0</v>
      </c>
      <c r="F145" s="15">
        <f t="shared" si="391"/>
        <v>13104</v>
      </c>
      <c r="H145" s="7">
        <f>14*H19</f>
        <v>34356</v>
      </c>
      <c r="I145" s="7">
        <f>13*I19</f>
        <v>0</v>
      </c>
      <c r="J145" s="7"/>
      <c r="K145" s="7">
        <v>0</v>
      </c>
      <c r="L145" s="15">
        <f t="shared" si="392"/>
        <v>34356</v>
      </c>
      <c r="N145" s="7">
        <f>14*N19</f>
        <v>14224</v>
      </c>
      <c r="O145" s="7">
        <f>13*O19</f>
        <v>0</v>
      </c>
      <c r="P145" s="7"/>
      <c r="Q145" s="7">
        <v>0</v>
      </c>
      <c r="R145" s="15">
        <f t="shared" si="393"/>
        <v>14224</v>
      </c>
      <c r="T145" s="7">
        <f>14*T19</f>
        <v>17010</v>
      </c>
      <c r="U145" s="7">
        <f>13*U19</f>
        <v>0</v>
      </c>
      <c r="V145" s="7"/>
      <c r="W145" s="7">
        <v>0</v>
      </c>
      <c r="X145" s="15">
        <f t="shared" si="394"/>
        <v>17010</v>
      </c>
      <c r="Z145" s="7">
        <f>14*Z19</f>
        <v>34006</v>
      </c>
      <c r="AA145" s="7">
        <f>13*AA19</f>
        <v>0</v>
      </c>
      <c r="AB145" s="7"/>
      <c r="AC145" s="7">
        <v>0</v>
      </c>
      <c r="AD145" s="15">
        <f t="shared" si="395"/>
        <v>34006</v>
      </c>
      <c r="AF145" s="7">
        <f>14*AF19</f>
        <v>15120</v>
      </c>
      <c r="AG145" s="7">
        <f>13*AG19</f>
        <v>0</v>
      </c>
      <c r="AH145" s="7"/>
      <c r="AI145" s="7">
        <v>0</v>
      </c>
      <c r="AJ145" s="15">
        <f t="shared" si="396"/>
        <v>15120</v>
      </c>
      <c r="AL145" s="7">
        <v>1000</v>
      </c>
      <c r="AM145" s="7">
        <f>13*AM19</f>
        <v>0</v>
      </c>
      <c r="AN145" s="7"/>
      <c r="AO145" s="7">
        <v>0</v>
      </c>
      <c r="AP145" s="15">
        <f t="shared" si="397"/>
        <v>1000</v>
      </c>
      <c r="AR145" s="7">
        <f>13*AR19</f>
        <v>5070</v>
      </c>
      <c r="AS145" s="7">
        <f>13*AS19</f>
        <v>0</v>
      </c>
      <c r="AT145" s="7"/>
      <c r="AU145" s="7">
        <v>0</v>
      </c>
      <c r="AV145" s="15">
        <f t="shared" si="398"/>
        <v>5070</v>
      </c>
      <c r="AX145" s="7">
        <f t="shared" si="399"/>
        <v>133890</v>
      </c>
      <c r="AY145" s="7">
        <f t="shared" si="390"/>
        <v>0</v>
      </c>
      <c r="AZ145" s="7">
        <f t="shared" si="390"/>
        <v>0</v>
      </c>
      <c r="BA145" s="7">
        <f t="shared" si="390"/>
        <v>0</v>
      </c>
      <c r="BB145" s="15">
        <f t="shared" si="400"/>
        <v>133890</v>
      </c>
    </row>
    <row r="146" spans="1:54" x14ac:dyDescent="0.25">
      <c r="A146" s="62" t="s">
        <v>118</v>
      </c>
      <c r="B146" s="7">
        <f>(29*B19)</f>
        <v>27144</v>
      </c>
      <c r="C146" s="7">
        <v>0</v>
      </c>
      <c r="D146" s="7"/>
      <c r="E146" s="7"/>
      <c r="F146" s="15">
        <f t="shared" si="391"/>
        <v>27144</v>
      </c>
      <c r="H146" s="7">
        <f>(29*H19)</f>
        <v>71166</v>
      </c>
      <c r="I146" s="7">
        <v>0</v>
      </c>
      <c r="J146" s="7"/>
      <c r="K146" s="7"/>
      <c r="L146" s="15">
        <f t="shared" si="392"/>
        <v>71166</v>
      </c>
      <c r="N146" s="7">
        <f>(29*N19)</f>
        <v>29464</v>
      </c>
      <c r="O146" s="7">
        <v>0</v>
      </c>
      <c r="P146" s="7"/>
      <c r="Q146" s="7"/>
      <c r="R146" s="15">
        <f t="shared" si="393"/>
        <v>29464</v>
      </c>
      <c r="T146" s="7">
        <f>(29*T19)</f>
        <v>35235</v>
      </c>
      <c r="U146" s="7">
        <v>0</v>
      </c>
      <c r="V146" s="7"/>
      <c r="W146" s="7"/>
      <c r="X146" s="15">
        <f t="shared" si="394"/>
        <v>35235</v>
      </c>
      <c r="Z146" s="7">
        <f>(29*Z19)</f>
        <v>70441</v>
      </c>
      <c r="AA146" s="7">
        <v>0</v>
      </c>
      <c r="AB146" s="7"/>
      <c r="AC146" s="7"/>
      <c r="AD146" s="15">
        <f t="shared" si="395"/>
        <v>70441</v>
      </c>
      <c r="AF146" s="7">
        <f>(29*AF19)</f>
        <v>31320</v>
      </c>
      <c r="AG146" s="7">
        <v>0</v>
      </c>
      <c r="AH146" s="7"/>
      <c r="AI146" s="7"/>
      <c r="AJ146" s="15">
        <f t="shared" si="396"/>
        <v>31320</v>
      </c>
      <c r="AL146" s="7">
        <f>(27*AL19)</f>
        <v>0</v>
      </c>
      <c r="AM146" s="7">
        <v>0</v>
      </c>
      <c r="AN146" s="7"/>
      <c r="AO146" s="7"/>
      <c r="AP146" s="15">
        <f t="shared" si="397"/>
        <v>0</v>
      </c>
      <c r="AR146" s="7">
        <f>(27*AR19)</f>
        <v>10530</v>
      </c>
      <c r="AS146" s="7">
        <v>0</v>
      </c>
      <c r="AT146" s="7"/>
      <c r="AU146" s="7"/>
      <c r="AV146" s="15">
        <f t="shared" si="398"/>
        <v>10530</v>
      </c>
      <c r="AX146" s="7">
        <f t="shared" si="399"/>
        <v>275300</v>
      </c>
      <c r="AY146" s="7">
        <f t="shared" si="390"/>
        <v>0</v>
      </c>
      <c r="AZ146" s="7">
        <f t="shared" si="390"/>
        <v>0</v>
      </c>
      <c r="BA146" s="7">
        <f t="shared" si="390"/>
        <v>0</v>
      </c>
      <c r="BB146" s="15">
        <f t="shared" si="400"/>
        <v>275300</v>
      </c>
    </row>
    <row r="147" spans="1:54" x14ac:dyDescent="0.25">
      <c r="A147" s="62" t="s">
        <v>119</v>
      </c>
      <c r="B147" s="7">
        <f>4.25*B19</f>
        <v>3978</v>
      </c>
      <c r="C147" s="7">
        <f>4*C19</f>
        <v>0</v>
      </c>
      <c r="D147" s="7"/>
      <c r="E147" s="7"/>
      <c r="F147" s="15">
        <f t="shared" si="391"/>
        <v>3978</v>
      </c>
      <c r="H147" s="7">
        <f>4.25*H19</f>
        <v>10429.5</v>
      </c>
      <c r="I147" s="7">
        <f>4*I19</f>
        <v>0</v>
      </c>
      <c r="J147" s="7"/>
      <c r="K147" s="7"/>
      <c r="L147" s="15">
        <f t="shared" si="392"/>
        <v>10429.5</v>
      </c>
      <c r="N147" s="7">
        <f>4.25*N19</f>
        <v>4318</v>
      </c>
      <c r="O147" s="7">
        <f>4*O19</f>
        <v>0</v>
      </c>
      <c r="P147" s="7"/>
      <c r="Q147" s="7"/>
      <c r="R147" s="15">
        <f t="shared" si="393"/>
        <v>4318</v>
      </c>
      <c r="T147" s="7">
        <f>4.25*T19</f>
        <v>5163.75</v>
      </c>
      <c r="U147" s="7">
        <f>4*U19</f>
        <v>0</v>
      </c>
      <c r="V147" s="7"/>
      <c r="W147" s="7"/>
      <c r="X147" s="15">
        <f t="shared" si="394"/>
        <v>5163.75</v>
      </c>
      <c r="Z147" s="7">
        <f>4.25*Z19</f>
        <v>10323.25</v>
      </c>
      <c r="AA147" s="7">
        <f>4*AA19</f>
        <v>0</v>
      </c>
      <c r="AB147" s="7"/>
      <c r="AC147" s="7"/>
      <c r="AD147" s="15">
        <f t="shared" si="395"/>
        <v>10323.25</v>
      </c>
      <c r="AF147" s="7">
        <f>4.25*AF19</f>
        <v>4590</v>
      </c>
      <c r="AG147" s="7">
        <f>4*AG19</f>
        <v>0</v>
      </c>
      <c r="AH147" s="7"/>
      <c r="AI147" s="7"/>
      <c r="AJ147" s="15">
        <f t="shared" si="396"/>
        <v>4590</v>
      </c>
      <c r="AL147" s="7">
        <f>4*AL19</f>
        <v>0</v>
      </c>
      <c r="AM147" s="7">
        <f>4*AM19</f>
        <v>0</v>
      </c>
      <c r="AN147" s="7"/>
      <c r="AO147" s="7"/>
      <c r="AP147" s="15">
        <f t="shared" si="397"/>
        <v>0</v>
      </c>
      <c r="AR147" s="142">
        <v>0</v>
      </c>
      <c r="AS147" s="7">
        <f>4*AS19</f>
        <v>0</v>
      </c>
      <c r="AT147" s="7"/>
      <c r="AU147" s="7"/>
      <c r="AV147" s="15">
        <f t="shared" si="398"/>
        <v>0</v>
      </c>
      <c r="AX147" s="7">
        <f t="shared" si="399"/>
        <v>38802.5</v>
      </c>
      <c r="AY147" s="7">
        <f t="shared" si="390"/>
        <v>0</v>
      </c>
      <c r="AZ147" s="7">
        <f t="shared" si="390"/>
        <v>0</v>
      </c>
      <c r="BA147" s="7">
        <f t="shared" si="390"/>
        <v>0</v>
      </c>
      <c r="BB147" s="15">
        <f t="shared" si="400"/>
        <v>38802.5</v>
      </c>
    </row>
    <row r="148" spans="1:54" x14ac:dyDescent="0.25">
      <c r="A148" s="62" t="s">
        <v>120</v>
      </c>
      <c r="B148" s="7">
        <f>3.25*B19</f>
        <v>3042</v>
      </c>
      <c r="C148" s="7">
        <f>3*C19</f>
        <v>0</v>
      </c>
      <c r="D148" s="7"/>
      <c r="E148" s="7"/>
      <c r="F148" s="15">
        <f t="shared" si="391"/>
        <v>3042</v>
      </c>
      <c r="H148" s="7">
        <f>3.25*H19</f>
        <v>7975.5</v>
      </c>
      <c r="I148" s="7">
        <f>3*I19</f>
        <v>0</v>
      </c>
      <c r="J148" s="7"/>
      <c r="K148" s="7"/>
      <c r="L148" s="15">
        <f t="shared" ref="L148:L150" si="402">SUM(H148:K148)</f>
        <v>7975.5</v>
      </c>
      <c r="N148" s="7">
        <f>3.25*N19</f>
        <v>3302</v>
      </c>
      <c r="O148" s="7">
        <f>3*O19</f>
        <v>0</v>
      </c>
      <c r="P148" s="7"/>
      <c r="Q148" s="7"/>
      <c r="R148" s="15">
        <f t="shared" ref="R148:R150" si="403">SUM(N148:Q148)</f>
        <v>3302</v>
      </c>
      <c r="T148" s="7">
        <f>3.25*T19</f>
        <v>3948.75</v>
      </c>
      <c r="U148" s="7">
        <f>3*U19</f>
        <v>0</v>
      </c>
      <c r="V148" s="7"/>
      <c r="W148" s="7"/>
      <c r="X148" s="15">
        <f t="shared" ref="X148:X150" si="404">SUM(T148:W148)</f>
        <v>3948.75</v>
      </c>
      <c r="Z148" s="7">
        <f>3.25*Z19</f>
        <v>7894.25</v>
      </c>
      <c r="AA148" s="7">
        <f>3*AA19</f>
        <v>0</v>
      </c>
      <c r="AB148" s="7"/>
      <c r="AC148" s="7"/>
      <c r="AD148" s="15">
        <f t="shared" ref="AD148:AD150" si="405">SUM(Z148:AC148)</f>
        <v>7894.25</v>
      </c>
      <c r="AF148" s="7">
        <f>3.25*AF19</f>
        <v>3510</v>
      </c>
      <c r="AG148" s="7">
        <f>3*AG19</f>
        <v>0</v>
      </c>
      <c r="AH148" s="7"/>
      <c r="AI148" s="7"/>
      <c r="AJ148" s="15">
        <f t="shared" si="396"/>
        <v>3510</v>
      </c>
      <c r="AL148" s="7">
        <f>3*AL19</f>
        <v>0</v>
      </c>
      <c r="AM148" s="7">
        <f>3*AM19</f>
        <v>0</v>
      </c>
      <c r="AN148" s="7"/>
      <c r="AO148" s="7"/>
      <c r="AP148" s="15">
        <f t="shared" ref="AP148:AP150" si="406">SUM(AL148:AO148)</f>
        <v>0</v>
      </c>
      <c r="AR148" s="142">
        <v>0</v>
      </c>
      <c r="AS148" s="7">
        <f>3*AS19</f>
        <v>0</v>
      </c>
      <c r="AT148" s="7"/>
      <c r="AU148" s="7"/>
      <c r="AV148" s="15">
        <f t="shared" ref="AV148:AV150" si="407">SUM(AR148:AU148)</f>
        <v>0</v>
      </c>
      <c r="AX148" s="7">
        <f t="shared" si="399"/>
        <v>29672.5</v>
      </c>
      <c r="AY148" s="7">
        <f t="shared" si="390"/>
        <v>0</v>
      </c>
      <c r="AZ148" s="7">
        <f t="shared" si="390"/>
        <v>0</v>
      </c>
      <c r="BA148" s="7">
        <f t="shared" si="390"/>
        <v>0</v>
      </c>
      <c r="BB148" s="15">
        <f t="shared" si="400"/>
        <v>29672.5</v>
      </c>
    </row>
    <row r="149" spans="1:54" x14ac:dyDescent="0.25">
      <c r="A149" s="62" t="s">
        <v>121</v>
      </c>
      <c r="B149" s="7">
        <f>120*B22</f>
        <v>0</v>
      </c>
      <c r="C149" s="7">
        <f>120*C22</f>
        <v>0</v>
      </c>
      <c r="D149" s="7">
        <f>129*D22</f>
        <v>13027.995550611791</v>
      </c>
      <c r="E149" s="7"/>
      <c r="F149" s="15">
        <f t="shared" si="391"/>
        <v>13027.995550611791</v>
      </c>
      <c r="H149" s="7">
        <f>120*H22</f>
        <v>0</v>
      </c>
      <c r="I149" s="7">
        <f>120*I22</f>
        <v>0</v>
      </c>
      <c r="J149" s="7">
        <f>129*J22</f>
        <v>40205.574866310162</v>
      </c>
      <c r="K149" s="7"/>
      <c r="L149" s="15">
        <f t="shared" si="402"/>
        <v>40205.574866310162</v>
      </c>
      <c r="N149" s="7">
        <f>120*N22</f>
        <v>0</v>
      </c>
      <c r="O149" s="7">
        <f>120*O22</f>
        <v>0</v>
      </c>
      <c r="P149" s="7">
        <f>129*P22</f>
        <v>9546</v>
      </c>
      <c r="Q149" s="7"/>
      <c r="R149" s="15">
        <f t="shared" si="403"/>
        <v>9546</v>
      </c>
      <c r="T149" s="7">
        <f>120*T22</f>
        <v>0</v>
      </c>
      <c r="U149" s="7">
        <f>120*U22</f>
        <v>0</v>
      </c>
      <c r="V149" s="7">
        <f>129*V22</f>
        <v>14117.91492910759</v>
      </c>
      <c r="W149" s="7"/>
      <c r="X149" s="15">
        <f t="shared" si="404"/>
        <v>14117.91492910759</v>
      </c>
      <c r="Z149" s="7">
        <f>120*Z22</f>
        <v>0</v>
      </c>
      <c r="AA149" s="7">
        <f>120*AA22</f>
        <v>0</v>
      </c>
      <c r="AB149" s="7">
        <f>129*AB22</f>
        <v>25636.99090909091</v>
      </c>
      <c r="AC149" s="7"/>
      <c r="AD149" s="15">
        <f t="shared" si="405"/>
        <v>25636.99090909091</v>
      </c>
      <c r="AF149" s="7">
        <f>120*AF22</f>
        <v>0</v>
      </c>
      <c r="AG149" s="7">
        <f>120*AG22</f>
        <v>0</v>
      </c>
      <c r="AH149" s="7">
        <f>129*AH22</f>
        <v>14860.8</v>
      </c>
      <c r="AI149" s="7"/>
      <c r="AJ149" s="15">
        <f t="shared" si="396"/>
        <v>14860.8</v>
      </c>
      <c r="AL149" s="7">
        <f>120*AL22</f>
        <v>0</v>
      </c>
      <c r="AM149" s="7">
        <f>120*AM22</f>
        <v>0</v>
      </c>
      <c r="AN149" s="7">
        <f>120*AN22</f>
        <v>0</v>
      </c>
      <c r="AO149" s="7"/>
      <c r="AP149" s="15">
        <f t="shared" si="406"/>
        <v>0</v>
      </c>
      <c r="AR149" s="7">
        <f>120*AR22</f>
        <v>0</v>
      </c>
      <c r="AS149" s="7">
        <f>120*AS22</f>
        <v>0</v>
      </c>
      <c r="AT149" s="7">
        <f>150*AT22</f>
        <v>4800</v>
      </c>
      <c r="AU149" s="7"/>
      <c r="AV149" s="15">
        <f t="shared" si="407"/>
        <v>4800</v>
      </c>
      <c r="AX149" s="7">
        <f t="shared" si="399"/>
        <v>0</v>
      </c>
      <c r="AY149" s="7">
        <f t="shared" si="390"/>
        <v>0</v>
      </c>
      <c r="AZ149" s="7">
        <f t="shared" si="390"/>
        <v>122195.27625512045</v>
      </c>
      <c r="BA149" s="7">
        <f t="shared" si="390"/>
        <v>0</v>
      </c>
      <c r="BB149" s="15">
        <f t="shared" si="400"/>
        <v>122195.27625512045</v>
      </c>
    </row>
    <row r="150" spans="1:54" ht="15.75" thickBot="1" x14ac:dyDescent="0.3">
      <c r="A150" s="62" t="s">
        <v>122</v>
      </c>
      <c r="B150" s="37">
        <v>0</v>
      </c>
      <c r="C150" s="37">
        <v>0</v>
      </c>
      <c r="D150" s="37"/>
      <c r="E150" s="37"/>
      <c r="F150" s="15">
        <f t="shared" si="391"/>
        <v>0</v>
      </c>
      <c r="H150" s="15">
        <f>'FY26'!H150+10000</f>
        <v>90000</v>
      </c>
      <c r="I150" s="37">
        <v>0</v>
      </c>
      <c r="J150" s="37"/>
      <c r="K150" s="37"/>
      <c r="L150" s="15">
        <f t="shared" si="402"/>
        <v>90000</v>
      </c>
      <c r="N150" s="37">
        <v>0</v>
      </c>
      <c r="O150" s="37">
        <v>0</v>
      </c>
      <c r="P150" s="37"/>
      <c r="Q150" s="37"/>
      <c r="R150" s="15">
        <f t="shared" si="403"/>
        <v>0</v>
      </c>
      <c r="T150" s="37">
        <v>0</v>
      </c>
      <c r="U150" s="37">
        <v>0</v>
      </c>
      <c r="V150" s="37"/>
      <c r="W150" s="37"/>
      <c r="X150" s="15">
        <f t="shared" si="404"/>
        <v>0</v>
      </c>
      <c r="Z150" s="37">
        <v>40000</v>
      </c>
      <c r="AA150" s="37">
        <v>0</v>
      </c>
      <c r="AB150" s="37"/>
      <c r="AC150" s="37"/>
      <c r="AD150" s="15">
        <f t="shared" si="405"/>
        <v>40000</v>
      </c>
      <c r="AF150" s="37">
        <v>0</v>
      </c>
      <c r="AG150" s="37">
        <v>0</v>
      </c>
      <c r="AH150" s="37"/>
      <c r="AI150" s="37"/>
      <c r="AJ150" s="15">
        <f t="shared" si="396"/>
        <v>0</v>
      </c>
      <c r="AL150" s="37">
        <v>0</v>
      </c>
      <c r="AM150" s="37">
        <v>0</v>
      </c>
      <c r="AN150" s="37"/>
      <c r="AO150" s="37"/>
      <c r="AP150" s="15">
        <f t="shared" si="406"/>
        <v>0</v>
      </c>
      <c r="AR150" s="37">
        <v>0</v>
      </c>
      <c r="AS150" s="37">
        <v>0</v>
      </c>
      <c r="AT150" s="37"/>
      <c r="AU150" s="37"/>
      <c r="AV150" s="15">
        <f t="shared" si="407"/>
        <v>0</v>
      </c>
      <c r="AX150" s="7">
        <f t="shared" si="399"/>
        <v>130000</v>
      </c>
      <c r="AY150" s="7">
        <f t="shared" si="390"/>
        <v>0</v>
      </c>
      <c r="AZ150" s="7">
        <f t="shared" si="390"/>
        <v>0</v>
      </c>
      <c r="BA150" s="7">
        <f t="shared" si="390"/>
        <v>0</v>
      </c>
      <c r="BB150" s="15">
        <f t="shared" si="400"/>
        <v>130000</v>
      </c>
    </row>
    <row r="151" spans="1:54" ht="15.75" thickBot="1" x14ac:dyDescent="0.3">
      <c r="A151" s="95" t="s">
        <v>123</v>
      </c>
      <c r="B151" s="92">
        <f>SUM(B141:B150)</f>
        <v>202668</v>
      </c>
      <c r="C151" s="92">
        <f>SUM(C141:C150)</f>
        <v>0</v>
      </c>
      <c r="D151" s="92">
        <f>SUM(D141:D150)</f>
        <v>13027.995550611791</v>
      </c>
      <c r="E151" s="92">
        <f>SUM(E141:E150)</f>
        <v>0</v>
      </c>
      <c r="F151" s="92">
        <f>SUM(F141:F150)</f>
        <v>215695.99555061178</v>
      </c>
      <c r="H151" s="92">
        <f>SUM(H141:H150)</f>
        <v>1077027</v>
      </c>
      <c r="I151" s="92">
        <f>SUM(I141:I150)</f>
        <v>0</v>
      </c>
      <c r="J151" s="92">
        <f>SUM(J141:J150)</f>
        <v>40205.574866310162</v>
      </c>
      <c r="K151" s="92">
        <f>SUM(K141:K150)</f>
        <v>0</v>
      </c>
      <c r="L151" s="92">
        <f>SUM(L141:L150)</f>
        <v>1117232.5748663102</v>
      </c>
      <c r="N151" s="92">
        <f>SUM(N141:N150)</f>
        <v>203708</v>
      </c>
      <c r="O151" s="92">
        <f>SUM(O141:O150)</f>
        <v>0</v>
      </c>
      <c r="P151" s="92">
        <f>SUM(P141:P150)</f>
        <v>9546</v>
      </c>
      <c r="Q151" s="92">
        <f>SUM(Q141:Q150)</f>
        <v>0</v>
      </c>
      <c r="R151" s="92">
        <f>SUM(R141:R150)</f>
        <v>213254</v>
      </c>
      <c r="T151" s="92">
        <f>SUM(T141:T150)</f>
        <v>243607.5</v>
      </c>
      <c r="U151" s="92">
        <f>SUM(U141:U150)</f>
        <v>0</v>
      </c>
      <c r="V151" s="92">
        <f>SUM(V141:V150)</f>
        <v>14117.91492910759</v>
      </c>
      <c r="W151" s="92">
        <f>SUM(W141:W150)</f>
        <v>0</v>
      </c>
      <c r="X151" s="92">
        <f>SUM(X141:X150)</f>
        <v>257725.41492910759</v>
      </c>
      <c r="Z151" s="92">
        <f>SUM(Z141:Z150)</f>
        <v>752014.5</v>
      </c>
      <c r="AA151" s="92">
        <f>SUM(AA141:AA150)</f>
        <v>0</v>
      </c>
      <c r="AB151" s="92">
        <f>SUM(AB141:AB150)</f>
        <v>25636.99090909091</v>
      </c>
      <c r="AC151" s="92">
        <f>SUM(AC141:AC150)</f>
        <v>0</v>
      </c>
      <c r="AD151" s="92">
        <f>SUM(AD141:AD150)</f>
        <v>777651.49090909096</v>
      </c>
      <c r="AF151" s="92">
        <f>SUM(AF141:AF150)</f>
        <v>533540</v>
      </c>
      <c r="AG151" s="92">
        <f>SUM(AG141:AG150)</f>
        <v>0</v>
      </c>
      <c r="AH151" s="92">
        <f>SUM(AH141:AH150)</f>
        <v>14860.8</v>
      </c>
      <c r="AI151" s="92">
        <f>SUM(AI141:AI150)</f>
        <v>0</v>
      </c>
      <c r="AJ151" s="92">
        <f>SUM(AJ141:AJ150)</f>
        <v>548400.80000000005</v>
      </c>
      <c r="AL151" s="92">
        <f>SUM(AL141:AL150)</f>
        <v>1000</v>
      </c>
      <c r="AM151" s="92">
        <f>SUM(AM141:AM150)</f>
        <v>0</v>
      </c>
      <c r="AN151" s="92">
        <f>SUM(AN141:AN150)</f>
        <v>0</v>
      </c>
      <c r="AO151" s="92">
        <f>SUM(AO141:AO150)</f>
        <v>0</v>
      </c>
      <c r="AP151" s="92">
        <f>SUM(AP141:AP150)</f>
        <v>1000</v>
      </c>
      <c r="AR151" s="92">
        <f>SUM(AR141:AR150)</f>
        <v>350800</v>
      </c>
      <c r="AS151" s="92">
        <f>SUM(AS141:AS150)</f>
        <v>0</v>
      </c>
      <c r="AT151" s="92">
        <f>SUM(AT141:AT150)</f>
        <v>4800</v>
      </c>
      <c r="AU151" s="92">
        <f>SUM(AU141:AU150)</f>
        <v>0</v>
      </c>
      <c r="AV151" s="92">
        <f>SUM(AV141:AV150)</f>
        <v>355600</v>
      </c>
      <c r="AX151" s="92">
        <f>SUM(AX141:AX150)</f>
        <v>3364365</v>
      </c>
      <c r="AY151" s="92">
        <f>SUM(AY141:AY150)</f>
        <v>0</v>
      </c>
      <c r="AZ151" s="92">
        <f>SUM(AZ141:AZ150)</f>
        <v>122195.27625512045</v>
      </c>
      <c r="BA151" s="92">
        <f>SUM(BA141:BA150)</f>
        <v>0</v>
      </c>
      <c r="BB151" s="92">
        <f>SUM(BB141:BB150)</f>
        <v>3486560.2762551205</v>
      </c>
    </row>
    <row r="152" spans="1:54" x14ac:dyDescent="0.25">
      <c r="A152" s="101" t="s">
        <v>124</v>
      </c>
      <c r="B152" s="149" t="str">
        <f>B1</f>
        <v>Operating</v>
      </c>
      <c r="C152" s="149" t="str">
        <f>C1</f>
        <v>Weights</v>
      </c>
      <c r="D152" s="149" t="str">
        <f>D1</f>
        <v>SPED</v>
      </c>
      <c r="E152" s="149" t="str">
        <f>E1</f>
        <v>NSLP</v>
      </c>
      <c r="F152" s="149" t="str">
        <f>F1</f>
        <v>Horizon</v>
      </c>
      <c r="H152" s="149" t="str">
        <f>H1</f>
        <v>Operating</v>
      </c>
      <c r="I152" s="149" t="str">
        <f>I1</f>
        <v>Weights</v>
      </c>
      <c r="J152" s="149" t="str">
        <f>J1</f>
        <v>SPED</v>
      </c>
      <c r="K152" s="149" t="str">
        <f>K1</f>
        <v>NSLP</v>
      </c>
      <c r="L152" s="149" t="str">
        <f>L1</f>
        <v>Cadence</v>
      </c>
      <c r="N152" s="149" t="str">
        <f>N1</f>
        <v>Operating</v>
      </c>
      <c r="O152" s="149" t="str">
        <f>O1</f>
        <v>Weights</v>
      </c>
      <c r="P152" s="149" t="str">
        <f>P1</f>
        <v>SPED</v>
      </c>
      <c r="Q152" s="149" t="str">
        <f>Q1</f>
        <v>NSLP</v>
      </c>
      <c r="R152" s="149" t="str">
        <f>R1</f>
        <v>St. Rose</v>
      </c>
      <c r="T152" s="149" t="str">
        <f>T1</f>
        <v>Operating</v>
      </c>
      <c r="U152" s="149" t="str">
        <f>U1</f>
        <v>Weights</v>
      </c>
      <c r="V152" s="149" t="str">
        <f>V1</f>
        <v>SPED</v>
      </c>
      <c r="W152" s="149" t="str">
        <f>W1</f>
        <v>NSLP</v>
      </c>
      <c r="X152" s="149" t="str">
        <f>X1</f>
        <v>Inspirada</v>
      </c>
      <c r="Z152" s="149" t="str">
        <f>Z1</f>
        <v>Operating</v>
      </c>
      <c r="AA152" s="149" t="str">
        <f>AA1</f>
        <v>Weights</v>
      </c>
      <c r="AB152" s="149" t="str">
        <f>AB1</f>
        <v>SPED</v>
      </c>
      <c r="AC152" s="149" t="str">
        <f>AC1</f>
        <v>NSLP</v>
      </c>
      <c r="AD152" s="149" t="str">
        <f>AD1</f>
        <v>Sloan Canyon</v>
      </c>
      <c r="AF152" s="149" t="str">
        <f>AF1</f>
        <v>Operating</v>
      </c>
      <c r="AG152" s="149" t="str">
        <f>AG1</f>
        <v>Weights</v>
      </c>
      <c r="AH152" s="149" t="str">
        <f>AH1</f>
        <v>SPED</v>
      </c>
      <c r="AI152" s="149" t="str">
        <f>AI1</f>
        <v>NSLP</v>
      </c>
      <c r="AJ152" s="149" t="str">
        <f>AJ1</f>
        <v>Springs</v>
      </c>
      <c r="AL152" s="149" t="str">
        <f>AL1</f>
        <v>Operating</v>
      </c>
      <c r="AM152" s="149" t="str">
        <f>AM1</f>
        <v>Weights</v>
      </c>
      <c r="AN152" s="149" t="str">
        <f>AN1</f>
        <v>SPED</v>
      </c>
      <c r="AO152" s="149" t="str">
        <f>AO1</f>
        <v>NSLP</v>
      </c>
      <c r="AP152" s="149" t="str">
        <f>AP1</f>
        <v>System Wide</v>
      </c>
      <c r="AR152" s="149" t="str">
        <f>AR1</f>
        <v>Operating</v>
      </c>
      <c r="AS152" s="149" t="str">
        <f>AS1</f>
        <v>Weights</v>
      </c>
      <c r="AT152" s="149" t="str">
        <f>AT1</f>
        <v>SPED</v>
      </c>
      <c r="AU152" s="149" t="str">
        <f>AU1</f>
        <v>NSLP</v>
      </c>
      <c r="AV152" s="149" t="str">
        <f>AV1</f>
        <v>Virtual</v>
      </c>
      <c r="AX152" s="149" t="str">
        <f>AX1</f>
        <v>Operating</v>
      </c>
      <c r="AY152" s="149" t="str">
        <f>AY1</f>
        <v>Weights</v>
      </c>
      <c r="AZ152" s="149" t="str">
        <f>AZ1</f>
        <v>SPED</v>
      </c>
      <c r="BA152" s="149" t="str">
        <f>BA1</f>
        <v>NSLP</v>
      </c>
      <c r="BB152" s="149" t="str">
        <f>BB1</f>
        <v>Pinecrest System</v>
      </c>
    </row>
    <row r="153" spans="1:54" x14ac:dyDescent="0.25">
      <c r="A153" s="62" t="s">
        <v>125</v>
      </c>
      <c r="B153" s="80">
        <v>0</v>
      </c>
      <c r="C153" s="15">
        <f>'FY26'!C153*1.03</f>
        <v>9566.824885</v>
      </c>
      <c r="D153" s="80"/>
      <c r="E153" s="80"/>
      <c r="F153" s="80">
        <f>SUM(B153:E153)</f>
        <v>9566.824885</v>
      </c>
      <c r="H153" s="80">
        <v>0</v>
      </c>
      <c r="I153" s="15">
        <f>'FY26'!I153*1.03</f>
        <v>20259.158580000003</v>
      </c>
      <c r="J153" s="80"/>
      <c r="K153" s="80"/>
      <c r="L153" s="80">
        <f>SUM(H153:K153)</f>
        <v>20259.158580000003</v>
      </c>
      <c r="N153" s="80">
        <v>0</v>
      </c>
      <c r="O153" s="15">
        <f>'FY26'!O153*1.03</f>
        <v>13506.105720000003</v>
      </c>
      <c r="P153" s="80"/>
      <c r="Q153" s="80"/>
      <c r="R153" s="80">
        <f>SUM(N153:Q153)</f>
        <v>13506.105720000003</v>
      </c>
      <c r="T153" s="80">
        <v>0</v>
      </c>
      <c r="U153" s="15">
        <f>'FY26'!U153*1.03</f>
        <v>13506.105720000003</v>
      </c>
      <c r="V153" s="80"/>
      <c r="W153" s="80"/>
      <c r="X153" s="80">
        <f>SUM(T153:W153)</f>
        <v>13506.105720000003</v>
      </c>
      <c r="Z153" s="80">
        <v>0</v>
      </c>
      <c r="AA153" s="15">
        <f>'FY26'!AA153*1.03</f>
        <v>20259.158580000003</v>
      </c>
      <c r="AB153" s="80"/>
      <c r="AC153" s="80"/>
      <c r="AD153" s="80">
        <f>SUM(Z153:AC153)</f>
        <v>20259.158580000003</v>
      </c>
      <c r="AF153" s="80">
        <v>0</v>
      </c>
      <c r="AG153" s="15">
        <f>'FY26'!AG153*1.03</f>
        <v>12730.800000000001</v>
      </c>
      <c r="AH153" s="80"/>
      <c r="AI153" s="80"/>
      <c r="AJ153" s="80">
        <f>SUM(AF153:AI153)</f>
        <v>12730.800000000001</v>
      </c>
      <c r="AL153" s="80">
        <v>0</v>
      </c>
      <c r="AM153" s="80">
        <v>0</v>
      </c>
      <c r="AN153" s="80"/>
      <c r="AO153" s="80"/>
      <c r="AP153" s="80">
        <f>SUM(AL153:AO153)</f>
        <v>0</v>
      </c>
      <c r="AR153" s="80">
        <v>0</v>
      </c>
      <c r="AS153" s="80">
        <f>7500*1.06*1.03*1.03</f>
        <v>8434.1550000000007</v>
      </c>
      <c r="AT153" s="80"/>
      <c r="AU153" s="80"/>
      <c r="AV153" s="80">
        <f>SUM(AR153:AU153)</f>
        <v>8434.1550000000007</v>
      </c>
      <c r="AX153" s="7">
        <f>B153+H153+N153+T153+Z153+AF153+AL153+AR153</f>
        <v>0</v>
      </c>
      <c r="AY153" s="7">
        <f t="shared" ref="AY153:BA166" si="408">C153+I153+O153+U153+AA153+AG153+AM153+AS153</f>
        <v>98262.308485000016</v>
      </c>
      <c r="AZ153" s="7">
        <f t="shared" si="408"/>
        <v>0</v>
      </c>
      <c r="BA153" s="7">
        <f t="shared" si="408"/>
        <v>0</v>
      </c>
      <c r="BB153" s="80">
        <f>SUM(AX153:BA153)</f>
        <v>98262.308485000016</v>
      </c>
    </row>
    <row r="154" spans="1:54" x14ac:dyDescent="0.25">
      <c r="A154" s="62" t="s">
        <v>126</v>
      </c>
      <c r="B154" s="14">
        <v>0</v>
      </c>
      <c r="C154" s="142"/>
      <c r="D154" s="14">
        <f>320*B19</f>
        <v>299520</v>
      </c>
      <c r="E154" s="142"/>
      <c r="F154" s="80">
        <f t="shared" ref="F154" si="409">SUM(B154:E154)</f>
        <v>299520</v>
      </c>
      <c r="H154" s="14">
        <v>0</v>
      </c>
      <c r="I154" s="142"/>
      <c r="J154" s="14">
        <f>175*H19</f>
        <v>429450</v>
      </c>
      <c r="K154" s="142"/>
      <c r="L154" s="80">
        <f t="shared" ref="L154" si="410">SUM(H154:K154)</f>
        <v>429450</v>
      </c>
      <c r="N154" s="14">
        <v>0</v>
      </c>
      <c r="O154" s="142"/>
      <c r="P154" s="14">
        <f>170*N19</f>
        <v>172720</v>
      </c>
      <c r="Q154" s="142"/>
      <c r="R154" s="80">
        <f t="shared" ref="R154" si="411">SUM(N154:Q154)</f>
        <v>172720</v>
      </c>
      <c r="T154" s="14">
        <v>0</v>
      </c>
      <c r="U154" s="142"/>
      <c r="V154" s="14">
        <f>135*T19</f>
        <v>164025</v>
      </c>
      <c r="W154" s="142"/>
      <c r="X154" s="80">
        <f t="shared" ref="X154" si="412">SUM(T154:W154)</f>
        <v>164025</v>
      </c>
      <c r="Z154" s="14">
        <v>0</v>
      </c>
      <c r="AA154" s="142"/>
      <c r="AB154" s="14">
        <f>115*Z19</f>
        <v>279335</v>
      </c>
      <c r="AC154" s="142"/>
      <c r="AD154" s="80">
        <f t="shared" ref="AD154" si="413">SUM(Z154:AC154)</f>
        <v>279335</v>
      </c>
      <c r="AF154" s="14">
        <v>0</v>
      </c>
      <c r="AG154" s="142"/>
      <c r="AH154" s="360">
        <f>250*AF19</f>
        <v>270000</v>
      </c>
      <c r="AI154" s="142"/>
      <c r="AJ154" s="80">
        <f t="shared" ref="AJ154:AJ165" si="414">SUM(AF154:AI154)</f>
        <v>270000</v>
      </c>
      <c r="AL154" s="14">
        <v>0</v>
      </c>
      <c r="AM154" s="142"/>
      <c r="AN154" s="14">
        <f>105*AL19</f>
        <v>0</v>
      </c>
      <c r="AO154" s="142"/>
      <c r="AP154" s="80">
        <f t="shared" ref="AP154:AP165" si="415">SUM(AL154:AO154)</f>
        <v>0</v>
      </c>
      <c r="AR154" s="14">
        <v>0</v>
      </c>
      <c r="AS154" s="142"/>
      <c r="AT154" s="14">
        <f>270*AR19</f>
        <v>105300</v>
      </c>
      <c r="AU154" s="142"/>
      <c r="AV154" s="80">
        <f t="shared" ref="AV154:AV165" si="416">SUM(AR154:AU154)</f>
        <v>105300</v>
      </c>
      <c r="AX154" s="7">
        <f t="shared" ref="AX154:AX165" si="417">B154+H154+N154+T154+Z154+AF154+AL154+AR154</f>
        <v>0</v>
      </c>
      <c r="AY154" s="7">
        <f t="shared" si="408"/>
        <v>0</v>
      </c>
      <c r="AZ154" s="7">
        <f t="shared" si="408"/>
        <v>1720350</v>
      </c>
      <c r="BA154" s="7">
        <f t="shared" si="408"/>
        <v>0</v>
      </c>
      <c r="BB154" s="80">
        <f t="shared" ref="BB154:BB165" si="418">SUM(AX154:BA154)</f>
        <v>1720350</v>
      </c>
    </row>
    <row r="155" spans="1:54" x14ac:dyDescent="0.25">
      <c r="A155" s="62" t="s">
        <v>253</v>
      </c>
      <c r="B155" s="11">
        <v>0</v>
      </c>
      <c r="C155" s="142"/>
      <c r="D155" s="14"/>
      <c r="E155" s="142"/>
      <c r="F155" s="80">
        <f t="shared" ref="F155:F165" si="419">SUM(B155:E155)</f>
        <v>0</v>
      </c>
      <c r="H155" s="11">
        <v>0</v>
      </c>
      <c r="I155" s="142"/>
      <c r="J155" s="14"/>
      <c r="K155" s="142"/>
      <c r="L155" s="80">
        <f t="shared" ref="L155:L165" si="420">SUM(H155:K155)</f>
        <v>0</v>
      </c>
      <c r="N155" s="11">
        <v>0</v>
      </c>
      <c r="O155" s="142"/>
      <c r="P155" s="14"/>
      <c r="Q155" s="142"/>
      <c r="R155" s="80">
        <f t="shared" ref="R155:R165" si="421">SUM(N155:Q155)</f>
        <v>0</v>
      </c>
      <c r="T155" s="11">
        <v>0</v>
      </c>
      <c r="U155" s="142"/>
      <c r="V155" s="14"/>
      <c r="W155" s="142"/>
      <c r="X155" s="80">
        <f t="shared" ref="X155:X165" si="422">SUM(T155:W155)</f>
        <v>0</v>
      </c>
      <c r="Z155" s="11">
        <v>0</v>
      </c>
      <c r="AA155" s="142"/>
      <c r="AB155" s="14"/>
      <c r="AC155" s="142"/>
      <c r="AD155" s="80">
        <f t="shared" ref="AD155:AD165" si="423">SUM(Z155:AC155)</f>
        <v>0</v>
      </c>
      <c r="AF155" s="11">
        <v>0</v>
      </c>
      <c r="AG155" s="142"/>
      <c r="AH155" s="14"/>
      <c r="AI155" s="142"/>
      <c r="AJ155" s="80">
        <f t="shared" si="414"/>
        <v>0</v>
      </c>
      <c r="AL155" s="11">
        <v>0</v>
      </c>
      <c r="AM155" s="142"/>
      <c r="AN155" s="14"/>
      <c r="AO155" s="142"/>
      <c r="AP155" s="80">
        <f t="shared" si="415"/>
        <v>0</v>
      </c>
      <c r="AR155" s="11">
        <f>(120*10)*AR19</f>
        <v>468000</v>
      </c>
      <c r="AS155" s="142"/>
      <c r="AT155" s="14"/>
      <c r="AU155" s="142"/>
      <c r="AV155" s="80">
        <f t="shared" si="416"/>
        <v>468000</v>
      </c>
      <c r="AX155" s="7">
        <f t="shared" si="417"/>
        <v>468000</v>
      </c>
      <c r="AY155" s="7">
        <f t="shared" si="408"/>
        <v>0</v>
      </c>
      <c r="AZ155" s="7">
        <f t="shared" si="408"/>
        <v>0</v>
      </c>
      <c r="BA155" s="7">
        <f t="shared" si="408"/>
        <v>0</v>
      </c>
      <c r="BB155" s="80">
        <f t="shared" si="418"/>
        <v>468000</v>
      </c>
    </row>
    <row r="156" spans="1:54" x14ac:dyDescent="0.25">
      <c r="A156" s="62" t="s">
        <v>254</v>
      </c>
      <c r="B156" s="11">
        <v>0</v>
      </c>
      <c r="C156" s="142"/>
      <c r="D156" s="14"/>
      <c r="E156" s="142"/>
      <c r="F156" s="80">
        <f t="shared" si="419"/>
        <v>0</v>
      </c>
      <c r="H156" s="11">
        <v>0</v>
      </c>
      <c r="I156" s="142"/>
      <c r="J156" s="14"/>
      <c r="K156" s="142"/>
      <c r="L156" s="80">
        <f t="shared" si="420"/>
        <v>0</v>
      </c>
      <c r="N156" s="11">
        <v>0</v>
      </c>
      <c r="O156" s="142"/>
      <c r="P156" s="14"/>
      <c r="Q156" s="142"/>
      <c r="R156" s="80">
        <f t="shared" si="421"/>
        <v>0</v>
      </c>
      <c r="T156" s="11">
        <v>0</v>
      </c>
      <c r="U156" s="142"/>
      <c r="V156" s="14"/>
      <c r="W156" s="142"/>
      <c r="X156" s="80">
        <f t="shared" si="422"/>
        <v>0</v>
      </c>
      <c r="Z156" s="11">
        <v>0</v>
      </c>
      <c r="AA156" s="142"/>
      <c r="AB156" s="14"/>
      <c r="AC156" s="142"/>
      <c r="AD156" s="80">
        <f t="shared" si="423"/>
        <v>0</v>
      </c>
      <c r="AF156" s="11">
        <v>0</v>
      </c>
      <c r="AG156" s="142"/>
      <c r="AH156" s="14"/>
      <c r="AI156" s="142"/>
      <c r="AJ156" s="80">
        <f t="shared" si="414"/>
        <v>0</v>
      </c>
      <c r="AL156" s="11">
        <v>0</v>
      </c>
      <c r="AM156" s="142"/>
      <c r="AN156" s="14"/>
      <c r="AO156" s="142"/>
      <c r="AP156" s="80">
        <f t="shared" si="415"/>
        <v>0</v>
      </c>
      <c r="AR156" s="11">
        <f>(1500*AR19)</f>
        <v>585000</v>
      </c>
      <c r="AS156" s="142"/>
      <c r="AT156" s="14"/>
      <c r="AU156" s="142"/>
      <c r="AV156" s="80">
        <f t="shared" si="416"/>
        <v>585000</v>
      </c>
      <c r="AX156" s="7">
        <f t="shared" si="417"/>
        <v>585000</v>
      </c>
      <c r="AY156" s="7">
        <f t="shared" si="408"/>
        <v>0</v>
      </c>
      <c r="AZ156" s="7">
        <f t="shared" si="408"/>
        <v>0</v>
      </c>
      <c r="BA156" s="7">
        <f t="shared" si="408"/>
        <v>0</v>
      </c>
      <c r="BB156" s="80">
        <f t="shared" si="418"/>
        <v>585000</v>
      </c>
    </row>
    <row r="157" spans="1:54" x14ac:dyDescent="0.25">
      <c r="A157" s="62" t="s">
        <v>128</v>
      </c>
      <c r="B157" s="7">
        <f>(450*B19)</f>
        <v>421200</v>
      </c>
      <c r="C157" s="7"/>
      <c r="D157" s="7"/>
      <c r="E157" s="7"/>
      <c r="F157" s="80">
        <f t="shared" si="419"/>
        <v>421200</v>
      </c>
      <c r="H157" s="7">
        <f>(450*H19)</f>
        <v>1104300</v>
      </c>
      <c r="I157" s="7"/>
      <c r="J157" s="7"/>
      <c r="K157" s="7"/>
      <c r="L157" s="80">
        <f t="shared" si="420"/>
        <v>1104300</v>
      </c>
      <c r="N157" s="7">
        <f>(450*N19)</f>
        <v>457200</v>
      </c>
      <c r="O157" s="7"/>
      <c r="P157" s="7"/>
      <c r="Q157" s="7"/>
      <c r="R157" s="80">
        <f t="shared" si="421"/>
        <v>457200</v>
      </c>
      <c r="T157" s="7">
        <f>(450*T19)</f>
        <v>546750</v>
      </c>
      <c r="U157" s="7"/>
      <c r="V157" s="7"/>
      <c r="W157" s="7"/>
      <c r="X157" s="80">
        <f t="shared" si="422"/>
        <v>546750</v>
      </c>
      <c r="Z157" s="7">
        <f>(450*Z19)</f>
        <v>1093050</v>
      </c>
      <c r="AA157" s="7"/>
      <c r="AB157" s="7"/>
      <c r="AC157" s="7"/>
      <c r="AD157" s="80">
        <f t="shared" si="423"/>
        <v>1093050</v>
      </c>
      <c r="AF157" s="7">
        <f>(450*AF19)</f>
        <v>486000</v>
      </c>
      <c r="AG157" s="7"/>
      <c r="AH157" s="7"/>
      <c r="AI157" s="7"/>
      <c r="AJ157" s="80">
        <f t="shared" si="414"/>
        <v>486000</v>
      </c>
      <c r="AL157" s="7">
        <f>(450*AL19)</f>
        <v>0</v>
      </c>
      <c r="AM157" s="7"/>
      <c r="AN157" s="7"/>
      <c r="AO157" s="7"/>
      <c r="AP157" s="80">
        <f t="shared" si="415"/>
        <v>0</v>
      </c>
      <c r="AR157" s="7">
        <f>(450*AR19)</f>
        <v>175500</v>
      </c>
      <c r="AS157" s="7"/>
      <c r="AT157" s="7"/>
      <c r="AU157" s="7"/>
      <c r="AV157" s="80">
        <f t="shared" si="416"/>
        <v>175500</v>
      </c>
      <c r="AX157" s="7">
        <f t="shared" si="417"/>
        <v>4284000</v>
      </c>
      <c r="AY157" s="7">
        <f t="shared" si="408"/>
        <v>0</v>
      </c>
      <c r="AZ157" s="7">
        <f t="shared" si="408"/>
        <v>0</v>
      </c>
      <c r="BA157" s="7">
        <f t="shared" si="408"/>
        <v>0</v>
      </c>
      <c r="BB157" s="80">
        <f t="shared" si="418"/>
        <v>4284000</v>
      </c>
    </row>
    <row r="158" spans="1:54" x14ac:dyDescent="0.25">
      <c r="A158" s="62" t="s">
        <v>129</v>
      </c>
      <c r="B158" s="7">
        <f>(240*B66)+2000</f>
        <v>14120</v>
      </c>
      <c r="C158" s="7">
        <f>(240*C66)</f>
        <v>720</v>
      </c>
      <c r="D158" s="7">
        <f>(240*D66)</f>
        <v>2160</v>
      </c>
      <c r="E158" s="7">
        <f>(240*E66)</f>
        <v>240</v>
      </c>
      <c r="F158" s="80">
        <f t="shared" si="419"/>
        <v>17240</v>
      </c>
      <c r="H158" s="7">
        <f>(240*H66)+2000</f>
        <v>31760</v>
      </c>
      <c r="I158" s="7">
        <f>(240*I66)</f>
        <v>2880</v>
      </c>
      <c r="J158" s="7">
        <f>(240*J66)</f>
        <v>6960</v>
      </c>
      <c r="K158" s="7">
        <f>(240*K66)</f>
        <v>720</v>
      </c>
      <c r="L158" s="80">
        <f t="shared" si="420"/>
        <v>42320</v>
      </c>
      <c r="N158" s="7">
        <f>(240*N66)+2000</f>
        <v>14960</v>
      </c>
      <c r="O158" s="7">
        <f>(240*O66)</f>
        <v>1200</v>
      </c>
      <c r="P158" s="7">
        <f>(240*P66)</f>
        <v>1999.2</v>
      </c>
      <c r="Q158" s="7">
        <f>(240*Q66)</f>
        <v>240</v>
      </c>
      <c r="R158" s="80">
        <f t="shared" si="421"/>
        <v>18399.2</v>
      </c>
      <c r="T158" s="7">
        <f>(240*T66)+2000</f>
        <v>17960</v>
      </c>
      <c r="U158" s="7">
        <f>(240*U66)</f>
        <v>840</v>
      </c>
      <c r="V158" s="7">
        <f>(240*V66)</f>
        <v>3201.6</v>
      </c>
      <c r="W158" s="7">
        <f>(240*W66)</f>
        <v>240</v>
      </c>
      <c r="X158" s="80">
        <f t="shared" si="422"/>
        <v>22241.599999999999</v>
      </c>
      <c r="Z158" s="7">
        <f>(240*Z66)+2000</f>
        <v>30080</v>
      </c>
      <c r="AA158" s="7">
        <f>(240*AA66)</f>
        <v>1320</v>
      </c>
      <c r="AB158" s="7">
        <f>(240*AB66)</f>
        <v>5479.2</v>
      </c>
      <c r="AC158" s="7">
        <f>(240*AC66)</f>
        <v>480</v>
      </c>
      <c r="AD158" s="80">
        <f t="shared" si="423"/>
        <v>37359.199999999997</v>
      </c>
      <c r="AF158" s="7">
        <f>(240*AF66)+2000</f>
        <v>15320</v>
      </c>
      <c r="AG158" s="7">
        <f>(240*AG66)</f>
        <v>960</v>
      </c>
      <c r="AH158" s="7">
        <f>(240*AH66)</f>
        <v>2400</v>
      </c>
      <c r="AI158" s="7">
        <f>(240*AI66)</f>
        <v>240</v>
      </c>
      <c r="AJ158" s="80">
        <f t="shared" si="414"/>
        <v>18920</v>
      </c>
      <c r="AL158" s="7">
        <f>(240*AL66)+2000</f>
        <v>2720</v>
      </c>
      <c r="AM158" s="7">
        <f>(240*AM66)</f>
        <v>120</v>
      </c>
      <c r="AN158" s="7">
        <f>(240*AN66)</f>
        <v>0</v>
      </c>
      <c r="AO158" s="7">
        <f>(240*AO66)</f>
        <v>0</v>
      </c>
      <c r="AP158" s="80">
        <f t="shared" si="415"/>
        <v>2840</v>
      </c>
      <c r="AR158" s="7">
        <f>(240*AR66)+2000</f>
        <v>2240</v>
      </c>
      <c r="AS158" s="7">
        <f>(240*AS66)</f>
        <v>0</v>
      </c>
      <c r="AT158" s="7">
        <f>(240*AT66)</f>
        <v>480</v>
      </c>
      <c r="AU158" s="7">
        <f>(240*AU66)</f>
        <v>0</v>
      </c>
      <c r="AV158" s="80">
        <f t="shared" si="416"/>
        <v>2720</v>
      </c>
      <c r="AX158" s="7">
        <f t="shared" si="417"/>
        <v>129160</v>
      </c>
      <c r="AY158" s="7">
        <f t="shared" si="408"/>
        <v>8040</v>
      </c>
      <c r="AZ158" s="7">
        <f t="shared" si="408"/>
        <v>22680</v>
      </c>
      <c r="BA158" s="7">
        <f t="shared" si="408"/>
        <v>2160</v>
      </c>
      <c r="BB158" s="80">
        <f t="shared" si="418"/>
        <v>162040</v>
      </c>
    </row>
    <row r="159" spans="1:54" s="212" customFormat="1" x14ac:dyDescent="0.25">
      <c r="A159" s="62" t="s">
        <v>130</v>
      </c>
      <c r="B159" s="15">
        <f>'FY26'!B159*1.03</f>
        <v>12943.351315000002</v>
      </c>
      <c r="C159" s="15"/>
      <c r="D159" s="15"/>
      <c r="E159" s="15"/>
      <c r="F159" s="80">
        <f t="shared" si="419"/>
        <v>12943.351315000002</v>
      </c>
      <c r="G159" s="211"/>
      <c r="H159" s="15">
        <f>'FY26'!H159*1.03</f>
        <v>12943.351315000002</v>
      </c>
      <c r="I159" s="15"/>
      <c r="J159" s="15"/>
      <c r="K159" s="15"/>
      <c r="L159" s="80">
        <f t="shared" si="420"/>
        <v>12943.351315000002</v>
      </c>
      <c r="M159" s="211"/>
      <c r="N159" s="15">
        <f>'FY26'!N159*1.03</f>
        <v>12943.351315000002</v>
      </c>
      <c r="O159" s="15"/>
      <c r="P159" s="15"/>
      <c r="Q159" s="15"/>
      <c r="R159" s="80">
        <f t="shared" si="421"/>
        <v>12943.351315000002</v>
      </c>
      <c r="S159" s="211"/>
      <c r="T159" s="15">
        <f>'FY26'!T159*1.03</f>
        <v>12943.351315000002</v>
      </c>
      <c r="U159" s="15"/>
      <c r="V159" s="15"/>
      <c r="W159" s="15"/>
      <c r="X159" s="80">
        <f t="shared" si="422"/>
        <v>12943.351315000002</v>
      </c>
      <c r="Y159" s="211"/>
      <c r="Z159" s="15">
        <f>'FY26'!Z159*1.03</f>
        <v>12943.351315000002</v>
      </c>
      <c r="AA159" s="15"/>
      <c r="AB159" s="15"/>
      <c r="AC159" s="15"/>
      <c r="AD159" s="80">
        <f t="shared" si="423"/>
        <v>12943.351315000002</v>
      </c>
      <c r="AE159" s="211"/>
      <c r="AF159" s="7">
        <v>12943</v>
      </c>
      <c r="AG159" s="15"/>
      <c r="AH159" s="15"/>
      <c r="AI159" s="15"/>
      <c r="AJ159" s="80">
        <f t="shared" si="414"/>
        <v>12943</v>
      </c>
      <c r="AK159" s="211"/>
      <c r="AL159" s="15">
        <v>0</v>
      </c>
      <c r="AM159" s="15"/>
      <c r="AN159" s="15"/>
      <c r="AO159" s="15"/>
      <c r="AP159" s="80">
        <f t="shared" si="415"/>
        <v>0</v>
      </c>
      <c r="AQ159" s="211"/>
      <c r="AR159" s="7">
        <f>12500*1.12</f>
        <v>14000.000000000002</v>
      </c>
      <c r="AS159" s="7"/>
      <c r="AT159" s="7"/>
      <c r="AU159" s="7"/>
      <c r="AV159" s="80">
        <f t="shared" si="416"/>
        <v>14000.000000000002</v>
      </c>
      <c r="AX159" s="7">
        <f t="shared" si="417"/>
        <v>91659.756575000007</v>
      </c>
      <c r="AY159" s="7">
        <f t="shared" si="408"/>
        <v>0</v>
      </c>
      <c r="AZ159" s="7">
        <f t="shared" si="408"/>
        <v>0</v>
      </c>
      <c r="BA159" s="7">
        <f t="shared" si="408"/>
        <v>0</v>
      </c>
      <c r="BB159" s="80">
        <f t="shared" si="418"/>
        <v>91659.756575000007</v>
      </c>
    </row>
    <row r="160" spans="1:54" x14ac:dyDescent="0.25">
      <c r="A160" s="62" t="s">
        <v>131</v>
      </c>
      <c r="B160" s="7">
        <v>6000</v>
      </c>
      <c r="C160" s="7"/>
      <c r="D160" s="7"/>
      <c r="E160" s="7"/>
      <c r="F160" s="80">
        <f t="shared" si="419"/>
        <v>6000</v>
      </c>
      <c r="H160" s="7">
        <v>6000</v>
      </c>
      <c r="I160" s="7"/>
      <c r="J160" s="7"/>
      <c r="K160" s="7"/>
      <c r="L160" s="80">
        <f t="shared" si="420"/>
        <v>6000</v>
      </c>
      <c r="N160" s="7">
        <v>6000</v>
      </c>
      <c r="O160" s="7"/>
      <c r="P160" s="7"/>
      <c r="Q160" s="7"/>
      <c r="R160" s="80">
        <f t="shared" si="421"/>
        <v>6000</v>
      </c>
      <c r="T160" s="7">
        <v>6000</v>
      </c>
      <c r="U160" s="7"/>
      <c r="V160" s="7"/>
      <c r="W160" s="7"/>
      <c r="X160" s="80">
        <f t="shared" si="422"/>
        <v>6000</v>
      </c>
      <c r="Z160" s="7">
        <v>6000</v>
      </c>
      <c r="AA160" s="7"/>
      <c r="AB160" s="7"/>
      <c r="AC160" s="7"/>
      <c r="AD160" s="80">
        <f t="shared" si="423"/>
        <v>6000</v>
      </c>
      <c r="AF160" s="7">
        <v>6000</v>
      </c>
      <c r="AG160" s="7"/>
      <c r="AH160" s="7"/>
      <c r="AI160" s="7"/>
      <c r="AJ160" s="80">
        <f t="shared" si="414"/>
        <v>6000</v>
      </c>
      <c r="AL160" s="7">
        <v>0</v>
      </c>
      <c r="AM160" s="7"/>
      <c r="AN160" s="7"/>
      <c r="AO160" s="7"/>
      <c r="AP160" s="80">
        <f t="shared" si="415"/>
        <v>0</v>
      </c>
      <c r="AR160" s="7">
        <v>1500</v>
      </c>
      <c r="AS160" s="7"/>
      <c r="AT160" s="7"/>
      <c r="AU160" s="7"/>
      <c r="AV160" s="80">
        <f t="shared" si="416"/>
        <v>1500</v>
      </c>
      <c r="AX160" s="7">
        <f t="shared" si="417"/>
        <v>37500</v>
      </c>
      <c r="AY160" s="7">
        <f t="shared" si="408"/>
        <v>0</v>
      </c>
      <c r="AZ160" s="7">
        <f t="shared" si="408"/>
        <v>0</v>
      </c>
      <c r="BA160" s="7">
        <f t="shared" si="408"/>
        <v>0</v>
      </c>
      <c r="BB160" s="80">
        <f t="shared" si="418"/>
        <v>37500</v>
      </c>
    </row>
    <row r="161" spans="1:54" x14ac:dyDescent="0.25">
      <c r="A161" s="62" t="s">
        <v>132</v>
      </c>
      <c r="B161" s="7">
        <f>45*B19</f>
        <v>42120</v>
      </c>
      <c r="C161" s="7"/>
      <c r="D161" s="7"/>
      <c r="E161" s="7"/>
      <c r="F161" s="80">
        <f t="shared" si="419"/>
        <v>42120</v>
      </c>
      <c r="H161" s="7">
        <f>45*H19</f>
        <v>110430</v>
      </c>
      <c r="I161" s="7"/>
      <c r="J161" s="7"/>
      <c r="K161" s="7"/>
      <c r="L161" s="80">
        <f t="shared" si="420"/>
        <v>110430</v>
      </c>
      <c r="N161" s="7">
        <f>45*N19</f>
        <v>45720</v>
      </c>
      <c r="O161" s="7"/>
      <c r="P161" s="7"/>
      <c r="Q161" s="7"/>
      <c r="R161" s="80">
        <f t="shared" si="421"/>
        <v>45720</v>
      </c>
      <c r="T161" s="7">
        <f>45*T19</f>
        <v>54675</v>
      </c>
      <c r="U161" s="7"/>
      <c r="V161" s="7"/>
      <c r="W161" s="7"/>
      <c r="X161" s="80">
        <f t="shared" si="422"/>
        <v>54675</v>
      </c>
      <c r="Z161" s="7">
        <f>45*Z19</f>
        <v>109305</v>
      </c>
      <c r="AA161" s="7"/>
      <c r="AB161" s="7"/>
      <c r="AC161" s="7"/>
      <c r="AD161" s="80">
        <f t="shared" si="423"/>
        <v>109305</v>
      </c>
      <c r="AF161" s="7">
        <f>45*AF19</f>
        <v>48600</v>
      </c>
      <c r="AG161" s="7"/>
      <c r="AH161" s="7"/>
      <c r="AI161" s="7"/>
      <c r="AJ161" s="80">
        <f t="shared" si="414"/>
        <v>48600</v>
      </c>
      <c r="AL161" s="7">
        <f>42*AL19</f>
        <v>0</v>
      </c>
      <c r="AM161" s="7"/>
      <c r="AN161" s="7"/>
      <c r="AO161" s="7"/>
      <c r="AP161" s="80">
        <f t="shared" si="415"/>
        <v>0</v>
      </c>
      <c r="AR161" s="7">
        <f>42*AR19</f>
        <v>16380</v>
      </c>
      <c r="AS161" s="7"/>
      <c r="AT161" s="7"/>
      <c r="AU161" s="7"/>
      <c r="AV161" s="80">
        <f t="shared" si="416"/>
        <v>16380</v>
      </c>
      <c r="AX161" s="7">
        <f t="shared" si="417"/>
        <v>427230</v>
      </c>
      <c r="AY161" s="7">
        <f t="shared" si="408"/>
        <v>0</v>
      </c>
      <c r="AZ161" s="7">
        <f t="shared" si="408"/>
        <v>0</v>
      </c>
      <c r="BA161" s="7">
        <f t="shared" si="408"/>
        <v>0</v>
      </c>
      <c r="BB161" s="80">
        <f t="shared" si="418"/>
        <v>427230</v>
      </c>
    </row>
    <row r="162" spans="1:54" x14ac:dyDescent="0.25">
      <c r="A162" s="62" t="s">
        <v>133</v>
      </c>
      <c r="B162" s="7">
        <v>5000</v>
      </c>
      <c r="C162" s="7"/>
      <c r="D162" s="7"/>
      <c r="E162" s="7"/>
      <c r="F162" s="80">
        <f t="shared" si="419"/>
        <v>5000</v>
      </c>
      <c r="H162" s="7">
        <v>9000</v>
      </c>
      <c r="I162" s="7"/>
      <c r="J162" s="7"/>
      <c r="K162" s="7"/>
      <c r="L162" s="80">
        <f t="shared" si="420"/>
        <v>9000</v>
      </c>
      <c r="N162" s="7">
        <v>7500</v>
      </c>
      <c r="O162" s="7"/>
      <c r="P162" s="7"/>
      <c r="Q162" s="7"/>
      <c r="R162" s="80">
        <f t="shared" si="421"/>
        <v>7500</v>
      </c>
      <c r="T162" s="7">
        <v>7500</v>
      </c>
      <c r="U162" s="7"/>
      <c r="V162" s="7"/>
      <c r="W162" s="7"/>
      <c r="X162" s="80">
        <f t="shared" si="422"/>
        <v>7500</v>
      </c>
      <c r="Z162" s="7">
        <v>12500</v>
      </c>
      <c r="AA162" s="7"/>
      <c r="AB162" s="7"/>
      <c r="AC162" s="7"/>
      <c r="AD162" s="80">
        <f t="shared" si="423"/>
        <v>12500</v>
      </c>
      <c r="AF162" s="7">
        <v>12500</v>
      </c>
      <c r="AG162" s="7"/>
      <c r="AH162" s="7"/>
      <c r="AI162" s="7"/>
      <c r="AJ162" s="80">
        <f t="shared" si="414"/>
        <v>12500</v>
      </c>
      <c r="AL162" s="7">
        <v>0</v>
      </c>
      <c r="AM162" s="7"/>
      <c r="AN162" s="7"/>
      <c r="AO162" s="7"/>
      <c r="AP162" s="80">
        <f t="shared" si="415"/>
        <v>0</v>
      </c>
      <c r="AR162" s="7">
        <v>13000</v>
      </c>
      <c r="AS162" s="7"/>
      <c r="AT162" s="7"/>
      <c r="AU162" s="7"/>
      <c r="AV162" s="80">
        <f t="shared" si="416"/>
        <v>13000</v>
      </c>
      <c r="AX162" s="7">
        <f t="shared" si="417"/>
        <v>67000</v>
      </c>
      <c r="AY162" s="7">
        <f t="shared" si="408"/>
        <v>0</v>
      </c>
      <c r="AZ162" s="7">
        <f t="shared" si="408"/>
        <v>0</v>
      </c>
      <c r="BA162" s="7">
        <f t="shared" si="408"/>
        <v>0</v>
      </c>
      <c r="BB162" s="80">
        <f t="shared" si="418"/>
        <v>67000</v>
      </c>
    </row>
    <row r="163" spans="1:54" x14ac:dyDescent="0.25">
      <c r="A163" s="62" t="s">
        <v>134</v>
      </c>
      <c r="B163" s="7">
        <f>(B87+B88)*0.0125</f>
        <v>89852.43619379864</v>
      </c>
      <c r="C163" s="7"/>
      <c r="D163" s="7"/>
      <c r="E163" s="7"/>
      <c r="F163" s="80">
        <f t="shared" si="419"/>
        <v>89852.43619379864</v>
      </c>
      <c r="H163" s="7">
        <f>(H87+H88)*0.0125</f>
        <v>235574.65643117722</v>
      </c>
      <c r="I163" s="7"/>
      <c r="J163" s="7"/>
      <c r="K163" s="7"/>
      <c r="L163" s="80">
        <f t="shared" si="420"/>
        <v>235574.65643117722</v>
      </c>
      <c r="N163" s="7">
        <f>(N87+N88)*0.0125</f>
        <v>97532.131594978011</v>
      </c>
      <c r="O163" s="7"/>
      <c r="P163" s="7"/>
      <c r="Q163" s="7"/>
      <c r="R163" s="80">
        <f t="shared" si="421"/>
        <v>97532.131594978011</v>
      </c>
      <c r="T163" s="7">
        <f>(T87+T88)*0.0125</f>
        <v>116635.37390541169</v>
      </c>
      <c r="U163" s="7"/>
      <c r="V163" s="7"/>
      <c r="W163" s="7"/>
      <c r="X163" s="80">
        <f t="shared" si="422"/>
        <v>116635.37390541169</v>
      </c>
      <c r="Z163" s="7">
        <f>(Z87+Z88)*0.0125</f>
        <v>233174.75161830863</v>
      </c>
      <c r="AA163" s="7"/>
      <c r="AB163" s="7"/>
      <c r="AC163" s="7"/>
      <c r="AD163" s="80">
        <f t="shared" si="423"/>
        <v>233174.75161830863</v>
      </c>
      <c r="AF163" s="7">
        <f>(AF87+AF88)*0.0125</f>
        <v>103675.88791592151</v>
      </c>
      <c r="AG163" s="7"/>
      <c r="AH163" s="7"/>
      <c r="AI163" s="7"/>
      <c r="AJ163" s="80">
        <f t="shared" si="414"/>
        <v>103675.88791592151</v>
      </c>
      <c r="AL163" s="7">
        <f>(AL87+AL88)*0.0125</f>
        <v>0</v>
      </c>
      <c r="AM163" s="7"/>
      <c r="AN163" s="7"/>
      <c r="AO163" s="7"/>
      <c r="AP163" s="80">
        <f t="shared" si="415"/>
        <v>0</v>
      </c>
      <c r="AR163" s="7">
        <f>(AR87+AR88)*0.0125</f>
        <v>36562.5</v>
      </c>
      <c r="AS163" s="7"/>
      <c r="AT163" s="7"/>
      <c r="AU163" s="7"/>
      <c r="AV163" s="80">
        <f t="shared" si="416"/>
        <v>36562.5</v>
      </c>
      <c r="AX163" s="7">
        <f t="shared" si="417"/>
        <v>913007.73765959567</v>
      </c>
      <c r="AY163" s="7">
        <f t="shared" si="408"/>
        <v>0</v>
      </c>
      <c r="AZ163" s="7">
        <f t="shared" si="408"/>
        <v>0</v>
      </c>
      <c r="BA163" s="7">
        <f t="shared" si="408"/>
        <v>0</v>
      </c>
      <c r="BB163" s="80">
        <f t="shared" si="418"/>
        <v>913007.73765959567</v>
      </c>
    </row>
    <row r="164" spans="1:54" x14ac:dyDescent="0.25">
      <c r="A164" s="62" t="s">
        <v>135</v>
      </c>
      <c r="B164" s="7">
        <f>(B87+B88)*0.005</f>
        <v>35940.974477519456</v>
      </c>
      <c r="C164" s="7"/>
      <c r="D164" s="7"/>
      <c r="E164" s="7"/>
      <c r="F164" s="80">
        <f t="shared" si="419"/>
        <v>35940.974477519456</v>
      </c>
      <c r="H164" s="7">
        <f>(H87+H88)*0.005</f>
        <v>94229.862572470884</v>
      </c>
      <c r="I164" s="7"/>
      <c r="J164" s="7"/>
      <c r="K164" s="7"/>
      <c r="L164" s="80">
        <f t="shared" si="420"/>
        <v>94229.862572470884</v>
      </c>
      <c r="N164" s="7">
        <f>(N87+N88)*0.005</f>
        <v>39012.8526379912</v>
      </c>
      <c r="O164" s="7"/>
      <c r="P164" s="7"/>
      <c r="Q164" s="7"/>
      <c r="R164" s="80">
        <f t="shared" si="421"/>
        <v>39012.8526379912</v>
      </c>
      <c r="T164" s="7">
        <f>(T87+T88)*0.005</f>
        <v>46654.149562164675</v>
      </c>
      <c r="U164" s="7"/>
      <c r="V164" s="7"/>
      <c r="W164" s="7"/>
      <c r="X164" s="80">
        <f t="shared" si="422"/>
        <v>46654.149562164675</v>
      </c>
      <c r="Z164" s="7">
        <f>(Z87+Z88)*0.005</f>
        <v>93269.900647323448</v>
      </c>
      <c r="AA164" s="7"/>
      <c r="AB164" s="7"/>
      <c r="AC164" s="7"/>
      <c r="AD164" s="80">
        <f t="shared" si="423"/>
        <v>93269.900647323448</v>
      </c>
      <c r="AF164" s="7">
        <f>(AF87+AF88)*0.005</f>
        <v>41470.355166368601</v>
      </c>
      <c r="AG164" s="7"/>
      <c r="AH164" s="7"/>
      <c r="AI164" s="7"/>
      <c r="AJ164" s="80">
        <f t="shared" si="414"/>
        <v>41470.355166368601</v>
      </c>
      <c r="AL164" s="7">
        <f>(AL87+AL88)*0.005</f>
        <v>0</v>
      </c>
      <c r="AM164" s="7"/>
      <c r="AN164" s="7"/>
      <c r="AO164" s="7"/>
      <c r="AP164" s="80">
        <f t="shared" si="415"/>
        <v>0</v>
      </c>
      <c r="AR164" s="7">
        <f>(AR87+AR88)*0.005</f>
        <v>14625</v>
      </c>
      <c r="AS164" s="7"/>
      <c r="AT164" s="7"/>
      <c r="AU164" s="7"/>
      <c r="AV164" s="80">
        <f t="shared" si="416"/>
        <v>14625</v>
      </c>
      <c r="AX164" s="7">
        <f t="shared" si="417"/>
        <v>365203.09506383823</v>
      </c>
      <c r="AY164" s="7">
        <f t="shared" si="408"/>
        <v>0</v>
      </c>
      <c r="AZ164" s="7">
        <f t="shared" si="408"/>
        <v>0</v>
      </c>
      <c r="BA164" s="7">
        <f t="shared" si="408"/>
        <v>0</v>
      </c>
      <c r="BB164" s="80">
        <f t="shared" si="418"/>
        <v>365203.09506383823</v>
      </c>
    </row>
    <row r="165" spans="1:54" x14ac:dyDescent="0.25">
      <c r="A165" s="62" t="s">
        <v>136</v>
      </c>
      <c r="B165" s="7">
        <f>(B87+B88)*0.005</f>
        <v>35940.974477519456</v>
      </c>
      <c r="C165" s="7"/>
      <c r="D165" s="7"/>
      <c r="E165" s="7"/>
      <c r="F165" s="80">
        <f t="shared" si="419"/>
        <v>35940.974477519456</v>
      </c>
      <c r="H165" s="7">
        <f>(H87+H88)*0.005</f>
        <v>94229.862572470884</v>
      </c>
      <c r="I165" s="7"/>
      <c r="J165" s="7"/>
      <c r="K165" s="7"/>
      <c r="L165" s="80">
        <f t="shared" si="420"/>
        <v>94229.862572470884</v>
      </c>
      <c r="N165" s="7">
        <f>(N87+N88)*0.005</f>
        <v>39012.8526379912</v>
      </c>
      <c r="O165" s="7"/>
      <c r="P165" s="7"/>
      <c r="Q165" s="7"/>
      <c r="R165" s="80">
        <f t="shared" si="421"/>
        <v>39012.8526379912</v>
      </c>
      <c r="T165" s="7">
        <f>(T87+T88)*0.005</f>
        <v>46654.149562164675</v>
      </c>
      <c r="U165" s="7"/>
      <c r="V165" s="7"/>
      <c r="W165" s="7"/>
      <c r="X165" s="80">
        <f t="shared" si="422"/>
        <v>46654.149562164675</v>
      </c>
      <c r="Z165" s="7">
        <f>(Z87+Z88)*0.005</f>
        <v>93269.900647323448</v>
      </c>
      <c r="AA165" s="7"/>
      <c r="AB165" s="7"/>
      <c r="AC165" s="7"/>
      <c r="AD165" s="80">
        <f t="shared" si="423"/>
        <v>93269.900647323448</v>
      </c>
      <c r="AF165" s="7">
        <f>(AF87+AF88)*0.005</f>
        <v>41470.355166368601</v>
      </c>
      <c r="AG165" s="7"/>
      <c r="AH165" s="7"/>
      <c r="AI165" s="7"/>
      <c r="AJ165" s="80">
        <f t="shared" si="414"/>
        <v>41470.355166368601</v>
      </c>
      <c r="AL165" s="7">
        <f>(AL87+AL88)*0.005</f>
        <v>0</v>
      </c>
      <c r="AM165" s="7"/>
      <c r="AN165" s="7"/>
      <c r="AO165" s="7"/>
      <c r="AP165" s="80">
        <f t="shared" si="415"/>
        <v>0</v>
      </c>
      <c r="AR165" s="7">
        <f>(AR87+AR88)*0.005</f>
        <v>14625</v>
      </c>
      <c r="AS165" s="7"/>
      <c r="AT165" s="7"/>
      <c r="AU165" s="7"/>
      <c r="AV165" s="80">
        <f t="shared" si="416"/>
        <v>14625</v>
      </c>
      <c r="AX165" s="7">
        <f t="shared" si="417"/>
        <v>365203.09506383823</v>
      </c>
      <c r="AY165" s="7">
        <f t="shared" si="408"/>
        <v>0</v>
      </c>
      <c r="AZ165" s="7">
        <f t="shared" si="408"/>
        <v>0</v>
      </c>
      <c r="BA165" s="7">
        <f t="shared" si="408"/>
        <v>0</v>
      </c>
      <c r="BB165" s="80">
        <f t="shared" si="418"/>
        <v>365203.09506383823</v>
      </c>
    </row>
    <row r="166" spans="1:54" ht="15.75" thickBot="1" x14ac:dyDescent="0.3">
      <c r="A166" s="62" t="s">
        <v>137</v>
      </c>
      <c r="B166" s="81"/>
      <c r="C166" s="81"/>
      <c r="D166" s="81"/>
      <c r="E166" s="81"/>
      <c r="F166" s="81"/>
      <c r="H166" s="81"/>
      <c r="I166" s="81"/>
      <c r="J166" s="81"/>
      <c r="K166" s="81"/>
      <c r="L166" s="81"/>
      <c r="N166" s="81"/>
      <c r="O166" s="81"/>
      <c r="P166" s="81"/>
      <c r="Q166" s="81"/>
      <c r="R166" s="81"/>
      <c r="T166" s="81"/>
      <c r="U166" s="81"/>
      <c r="V166" s="81"/>
      <c r="W166" s="81"/>
      <c r="X166" s="81"/>
      <c r="Z166" s="81"/>
      <c r="AA166" s="81"/>
      <c r="AB166" s="81"/>
      <c r="AC166" s="81"/>
      <c r="AD166" s="81"/>
      <c r="AF166" s="81"/>
      <c r="AG166" s="81"/>
      <c r="AH166" s="81"/>
      <c r="AI166" s="81"/>
      <c r="AJ166" s="81"/>
      <c r="AL166" s="81"/>
      <c r="AM166" s="81"/>
      <c r="AN166" s="81"/>
      <c r="AO166" s="81"/>
      <c r="AP166" s="81"/>
      <c r="AR166" s="81"/>
      <c r="AS166" s="81"/>
      <c r="AT166" s="81"/>
      <c r="AU166" s="81"/>
      <c r="AV166" s="81"/>
      <c r="AX166" s="7">
        <f>B166+H166+N166+T166+Z166+AF166+AL166+AR166</f>
        <v>0</v>
      </c>
      <c r="AY166" s="7">
        <f t="shared" si="408"/>
        <v>0</v>
      </c>
      <c r="AZ166" s="7">
        <f t="shared" si="408"/>
        <v>0</v>
      </c>
      <c r="BA166" s="7">
        <f t="shared" si="408"/>
        <v>0</v>
      </c>
      <c r="BB166" s="81"/>
    </row>
    <row r="167" spans="1:54" ht="15.75" thickBot="1" x14ac:dyDescent="0.3">
      <c r="A167" s="95" t="s">
        <v>138</v>
      </c>
      <c r="B167" s="92">
        <f>SUM(B153:B166)</f>
        <v>663117.73646383756</v>
      </c>
      <c r="C167" s="92">
        <f>SUM(C153:C166)</f>
        <v>10286.824885</v>
      </c>
      <c r="D167" s="92">
        <f>SUM(D153:D166)</f>
        <v>301680</v>
      </c>
      <c r="E167" s="92">
        <f t="shared" ref="E167:F167" si="424">SUM(E153:E166)</f>
        <v>240</v>
      </c>
      <c r="F167" s="92">
        <f t="shared" si="424"/>
        <v>975324.56134883757</v>
      </c>
      <c r="H167" s="92">
        <f>SUM(H153:H166)</f>
        <v>1698467.7328911191</v>
      </c>
      <c r="I167" s="92">
        <f>SUM(I153:I166)</f>
        <v>23139.158580000003</v>
      </c>
      <c r="J167" s="92">
        <f>SUM(J153:J166)</f>
        <v>436410</v>
      </c>
      <c r="K167" s="92">
        <f t="shared" ref="K167:L167" si="425">SUM(K153:K166)</f>
        <v>720</v>
      </c>
      <c r="L167" s="92">
        <f t="shared" si="425"/>
        <v>2158736.8914711191</v>
      </c>
      <c r="N167" s="92">
        <f>SUM(N153:N166)</f>
        <v>719881.1881859604</v>
      </c>
      <c r="O167" s="92">
        <f>SUM(O153:O166)</f>
        <v>14706.105720000003</v>
      </c>
      <c r="P167" s="92">
        <f>SUM(P153:P166)</f>
        <v>174719.2</v>
      </c>
      <c r="Q167" s="92">
        <f t="shared" ref="Q167:R167" si="426">SUM(Q153:Q166)</f>
        <v>240</v>
      </c>
      <c r="R167" s="92">
        <f t="shared" si="426"/>
        <v>909546.49390596035</v>
      </c>
      <c r="T167" s="92">
        <f>SUM(T153:T166)</f>
        <v>855772.02434474102</v>
      </c>
      <c r="U167" s="92">
        <f>SUM(U153:U166)</f>
        <v>14346.105720000003</v>
      </c>
      <c r="V167" s="92">
        <f>SUM(V153:V166)</f>
        <v>167226.6</v>
      </c>
      <c r="W167" s="92">
        <f t="shared" ref="W167:X167" si="427">SUM(W153:W166)</f>
        <v>240</v>
      </c>
      <c r="X167" s="92">
        <f t="shared" si="427"/>
        <v>1037584.730064741</v>
      </c>
      <c r="Z167" s="92">
        <f>SUM(Z153:Z166)</f>
        <v>1683592.9042279555</v>
      </c>
      <c r="AA167" s="92">
        <f>SUM(AA153:AA166)</f>
        <v>21579.158580000003</v>
      </c>
      <c r="AB167" s="92">
        <f>SUM(AB153:AB166)</f>
        <v>284814.2</v>
      </c>
      <c r="AC167" s="92">
        <f t="shared" ref="AC167:AD167" si="428">SUM(AC153:AC166)</f>
        <v>480</v>
      </c>
      <c r="AD167" s="92">
        <f t="shared" si="428"/>
        <v>1990466.2628079555</v>
      </c>
      <c r="AF167" s="92">
        <f>SUM(AF153:AF166)</f>
        <v>767979.59824865882</v>
      </c>
      <c r="AG167" s="92">
        <f>SUM(AG153:AG166)</f>
        <v>13690.800000000001</v>
      </c>
      <c r="AH167" s="92">
        <f>SUM(AH153:AH166)</f>
        <v>272400</v>
      </c>
      <c r="AI167" s="92">
        <f t="shared" ref="AI167:AJ167" si="429">SUM(AI153:AI166)</f>
        <v>240</v>
      </c>
      <c r="AJ167" s="92">
        <f t="shared" si="429"/>
        <v>1054310.3982486587</v>
      </c>
      <c r="AL167" s="92">
        <f>SUM(AL153:AL166)</f>
        <v>2720</v>
      </c>
      <c r="AM167" s="92">
        <f>SUM(AM153:AM166)</f>
        <v>120</v>
      </c>
      <c r="AN167" s="92">
        <f>SUM(AN153:AN166)</f>
        <v>0</v>
      </c>
      <c r="AO167" s="92">
        <f t="shared" ref="AO167:AP167" si="430">SUM(AO153:AO166)</f>
        <v>0</v>
      </c>
      <c r="AP167" s="92">
        <f t="shared" si="430"/>
        <v>2840</v>
      </c>
      <c r="AR167" s="92">
        <f>SUM(AR153:AR166)</f>
        <v>1341432.5</v>
      </c>
      <c r="AS167" s="92">
        <f>SUM(AS153:AS166)</f>
        <v>8434.1550000000007</v>
      </c>
      <c r="AT167" s="92">
        <f>SUM(AT153:AT166)</f>
        <v>105780</v>
      </c>
      <c r="AU167" s="92">
        <f t="shared" ref="AU167:AV167" si="431">SUM(AU153:AU166)</f>
        <v>0</v>
      </c>
      <c r="AV167" s="92">
        <f t="shared" si="431"/>
        <v>1455646.655</v>
      </c>
      <c r="AX167" s="92">
        <f>SUM(AX153:AX166)</f>
        <v>7732963.6843622718</v>
      </c>
      <c r="AY167" s="92">
        <f>SUM(AY153:AY166)</f>
        <v>106302.30848500002</v>
      </c>
      <c r="AZ167" s="92">
        <f>SUM(AZ153:AZ166)</f>
        <v>1743030</v>
      </c>
      <c r="BA167" s="92">
        <f t="shared" ref="BA167:BB167" si="432">SUM(BA153:BA166)</f>
        <v>2160</v>
      </c>
      <c r="BB167" s="92">
        <f t="shared" si="432"/>
        <v>9584455.9928472731</v>
      </c>
    </row>
    <row r="168" spans="1:54" x14ac:dyDescent="0.25">
      <c r="A168" s="101" t="s">
        <v>139</v>
      </c>
      <c r="B168" s="149" t="str">
        <f>B152</f>
        <v>Operating</v>
      </c>
      <c r="C168" s="149" t="str">
        <f>C152</f>
        <v>Weights</v>
      </c>
      <c r="D168" s="149" t="str">
        <f>D152</f>
        <v>SPED</v>
      </c>
      <c r="E168" s="149" t="str">
        <f t="shared" ref="E168:F168" si="433">E152</f>
        <v>NSLP</v>
      </c>
      <c r="F168" s="149" t="str">
        <f t="shared" si="433"/>
        <v>Horizon</v>
      </c>
      <c r="H168" s="149" t="str">
        <f>H152</f>
        <v>Operating</v>
      </c>
      <c r="I168" s="149" t="str">
        <f>I152</f>
        <v>Weights</v>
      </c>
      <c r="J168" s="149" t="str">
        <f>J152</f>
        <v>SPED</v>
      </c>
      <c r="K168" s="149" t="str">
        <f t="shared" ref="K168:L168" si="434">K152</f>
        <v>NSLP</v>
      </c>
      <c r="L168" s="149" t="str">
        <f t="shared" si="434"/>
        <v>Cadence</v>
      </c>
      <c r="N168" s="149" t="str">
        <f>N152</f>
        <v>Operating</v>
      </c>
      <c r="O168" s="149" t="str">
        <f>O152</f>
        <v>Weights</v>
      </c>
      <c r="P168" s="149" t="str">
        <f>P152</f>
        <v>SPED</v>
      </c>
      <c r="Q168" s="149" t="str">
        <f t="shared" ref="Q168:R168" si="435">Q152</f>
        <v>NSLP</v>
      </c>
      <c r="R168" s="149" t="str">
        <f t="shared" si="435"/>
        <v>St. Rose</v>
      </c>
      <c r="T168" s="149" t="str">
        <f>T152</f>
        <v>Operating</v>
      </c>
      <c r="U168" s="149" t="str">
        <f>U152</f>
        <v>Weights</v>
      </c>
      <c r="V168" s="149" t="str">
        <f>V152</f>
        <v>SPED</v>
      </c>
      <c r="W168" s="149" t="str">
        <f t="shared" ref="W168:X168" si="436">W152</f>
        <v>NSLP</v>
      </c>
      <c r="X168" s="149" t="str">
        <f t="shared" si="436"/>
        <v>Inspirada</v>
      </c>
      <c r="Z168" s="149" t="str">
        <f>Z152</f>
        <v>Operating</v>
      </c>
      <c r="AA168" s="149" t="str">
        <f>AA152</f>
        <v>Weights</v>
      </c>
      <c r="AB168" s="149" t="str">
        <f>AB152</f>
        <v>SPED</v>
      </c>
      <c r="AC168" s="149" t="str">
        <f t="shared" ref="AC168:AD168" si="437">AC152</f>
        <v>NSLP</v>
      </c>
      <c r="AD168" s="149" t="str">
        <f t="shared" si="437"/>
        <v>Sloan Canyon</v>
      </c>
      <c r="AF168" s="149" t="str">
        <f>AF152</f>
        <v>Operating</v>
      </c>
      <c r="AG168" s="149" t="str">
        <f>AG152</f>
        <v>Weights</v>
      </c>
      <c r="AH168" s="149" t="str">
        <f>AH152</f>
        <v>SPED</v>
      </c>
      <c r="AI168" s="149" t="str">
        <f t="shared" ref="AI168:AJ168" si="438">AI152</f>
        <v>NSLP</v>
      </c>
      <c r="AJ168" s="149" t="str">
        <f t="shared" si="438"/>
        <v>Springs</v>
      </c>
      <c r="AL168" s="149" t="str">
        <f>AL152</f>
        <v>Operating</v>
      </c>
      <c r="AM168" s="149" t="str">
        <f>AM152</f>
        <v>Weights</v>
      </c>
      <c r="AN168" s="149" t="str">
        <f>AN152</f>
        <v>SPED</v>
      </c>
      <c r="AO168" s="149" t="str">
        <f t="shared" ref="AO168:AP168" si="439">AO152</f>
        <v>NSLP</v>
      </c>
      <c r="AP168" s="149" t="str">
        <f t="shared" si="439"/>
        <v>System Wide</v>
      </c>
      <c r="AR168" s="149" t="str">
        <f>AR152</f>
        <v>Operating</v>
      </c>
      <c r="AS168" s="149" t="str">
        <f>AS152</f>
        <v>Weights</v>
      </c>
      <c r="AT168" s="149" t="str">
        <f>AT152</f>
        <v>SPED</v>
      </c>
      <c r="AU168" s="149" t="str">
        <f t="shared" ref="AU168:AV168" si="440">AU152</f>
        <v>NSLP</v>
      </c>
      <c r="AV168" s="149" t="str">
        <f t="shared" si="440"/>
        <v>Virtual</v>
      </c>
      <c r="AX168" s="149" t="str">
        <f>AX152</f>
        <v>Operating</v>
      </c>
      <c r="AY168" s="149" t="str">
        <f>AY152</f>
        <v>Weights</v>
      </c>
      <c r="AZ168" s="149" t="str">
        <f>AZ152</f>
        <v>SPED</v>
      </c>
      <c r="BA168" s="149" t="str">
        <f t="shared" ref="BA168:BB168" si="441">BA152</f>
        <v>NSLP</v>
      </c>
      <c r="BB168" s="149" t="str">
        <f t="shared" si="441"/>
        <v>Pinecrest System</v>
      </c>
    </row>
    <row r="169" spans="1:54" x14ac:dyDescent="0.25">
      <c r="A169" s="62" t="s">
        <v>140</v>
      </c>
      <c r="B169" s="15">
        <f>'FY26'!B169*1.03</f>
        <v>6063.6787138750005</v>
      </c>
      <c r="C169" s="7"/>
      <c r="D169" s="7"/>
      <c r="E169" s="7"/>
      <c r="F169" s="7">
        <f t="shared" ref="F169:F174" si="442">SUM(B169:E169)</f>
        <v>6063.6787138750005</v>
      </c>
      <c r="H169" s="15">
        <f>'FY26'!H169*1.03</f>
        <v>9285.4476825000002</v>
      </c>
      <c r="I169" s="7"/>
      <c r="J169" s="7"/>
      <c r="K169" s="7"/>
      <c r="L169" s="7">
        <f t="shared" ref="L169:L174" si="443">SUM(H169:K169)</f>
        <v>9285.4476825000002</v>
      </c>
      <c r="N169" s="15">
        <f>'FY26'!N169*1.03</f>
        <v>4220.6580374999994</v>
      </c>
      <c r="O169" s="7"/>
      <c r="P169" s="7"/>
      <c r="Q169" s="7"/>
      <c r="R169" s="7">
        <f t="shared" ref="R169:R174" si="444">SUM(N169:Q169)</f>
        <v>4220.6580374999994</v>
      </c>
      <c r="T169" s="15">
        <f>'FY26'!T169*1.03</f>
        <v>6010.2170454000006</v>
      </c>
      <c r="U169" s="7"/>
      <c r="V169" s="7"/>
      <c r="W169" s="7"/>
      <c r="X169" s="7">
        <f t="shared" ref="X169:X174" si="445">SUM(T169:W169)</f>
        <v>6010.2170454000006</v>
      </c>
      <c r="Z169" s="15">
        <f>'FY26'!Z169*1.03</f>
        <v>5064.7896450000007</v>
      </c>
      <c r="AA169" s="7"/>
      <c r="AB169" s="7"/>
      <c r="AC169" s="7"/>
      <c r="AD169" s="7">
        <f t="shared" ref="AD169:AD174" si="446">SUM(Z169:AC169)</f>
        <v>5064.7896450000007</v>
      </c>
      <c r="AF169" s="15">
        <f>'FY26'!AF169*1.03</f>
        <v>6556.362000000001</v>
      </c>
      <c r="AG169" s="7"/>
      <c r="AH169" s="7"/>
      <c r="AI169" s="7"/>
      <c r="AJ169" s="7">
        <f t="shared" ref="AJ169:AJ175" si="447">SUM(AF169:AI169)</f>
        <v>6556.362000000001</v>
      </c>
      <c r="AL169" s="7">
        <v>0</v>
      </c>
      <c r="AM169" s="7"/>
      <c r="AN169" s="7"/>
      <c r="AO169" s="7"/>
      <c r="AP169" s="7">
        <f t="shared" ref="AP169:AP175" si="448">SUM(AL169:AO169)</f>
        <v>0</v>
      </c>
      <c r="AR169" s="7">
        <v>0</v>
      </c>
      <c r="AS169" s="7"/>
      <c r="AT169" s="7"/>
      <c r="AU169" s="7"/>
      <c r="AV169" s="7">
        <f t="shared" ref="AV169:AV175" si="449">SUM(AR169:AU169)</f>
        <v>0</v>
      </c>
      <c r="AX169" s="7">
        <f>B169+H169+N169+T169+Z169+AF169+AL169+AR169</f>
        <v>37201.153124275006</v>
      </c>
      <c r="AY169" s="7">
        <f t="shared" ref="AY169:BA175" si="450">C169+I169+O169+U169+AA169+AG169+AM169+AS169</f>
        <v>0</v>
      </c>
      <c r="AZ169" s="7">
        <f t="shared" si="450"/>
        <v>0</v>
      </c>
      <c r="BA169" s="7">
        <f t="shared" si="450"/>
        <v>0</v>
      </c>
      <c r="BB169" s="7">
        <f t="shared" ref="BB169:BB175" si="451">SUM(AX169:BA169)</f>
        <v>37201.153124275006</v>
      </c>
    </row>
    <row r="170" spans="1:54" x14ac:dyDescent="0.25">
      <c r="A170" s="62" t="s">
        <v>141</v>
      </c>
      <c r="B170" s="15">
        <f>'FY26'!B170*1.03</f>
        <v>14181.411006000002</v>
      </c>
      <c r="C170" s="7"/>
      <c r="D170" s="7"/>
      <c r="E170" s="7"/>
      <c r="F170" s="7">
        <f t="shared" si="442"/>
        <v>14181.411006000002</v>
      </c>
      <c r="H170" s="15">
        <f>'FY26'!H170*1.03</f>
        <v>18678.944210760001</v>
      </c>
      <c r="I170" s="7"/>
      <c r="J170" s="7"/>
      <c r="K170" s="7"/>
      <c r="L170" s="7">
        <f t="shared" si="443"/>
        <v>18678.944210760001</v>
      </c>
      <c r="N170" s="15">
        <f>'FY26'!N170*1.03</f>
        <v>16427.926590760002</v>
      </c>
      <c r="O170" s="7"/>
      <c r="P170" s="7"/>
      <c r="Q170" s="7"/>
      <c r="R170" s="7">
        <f t="shared" si="444"/>
        <v>16427.926590760002</v>
      </c>
      <c r="T170" s="15">
        <f>'FY26'!T170*1.03</f>
        <v>16427.926590760002</v>
      </c>
      <c r="U170" s="7"/>
      <c r="V170" s="7"/>
      <c r="W170" s="7"/>
      <c r="X170" s="7">
        <f t="shared" si="445"/>
        <v>16427.926590760002</v>
      </c>
      <c r="Z170" s="15">
        <f>'FY26'!Z170*1.03</f>
        <v>18116.189805760001</v>
      </c>
      <c r="AA170" s="7"/>
      <c r="AB170" s="7"/>
      <c r="AC170" s="7"/>
      <c r="AD170" s="7">
        <f t="shared" si="446"/>
        <v>18116.189805760001</v>
      </c>
      <c r="AF170" s="15">
        <f>'FY26'!AF170*1.03</f>
        <v>9834.5430000000015</v>
      </c>
      <c r="AG170" s="7"/>
      <c r="AH170" s="7"/>
      <c r="AI170" s="7"/>
      <c r="AJ170" s="7">
        <f t="shared" si="447"/>
        <v>9834.5430000000015</v>
      </c>
      <c r="AL170" s="7">
        <v>0</v>
      </c>
      <c r="AM170" s="7"/>
      <c r="AN170" s="7"/>
      <c r="AO170" s="7"/>
      <c r="AP170" s="7">
        <f t="shared" si="448"/>
        <v>0</v>
      </c>
      <c r="AR170" s="7">
        <v>0</v>
      </c>
      <c r="AS170" s="7"/>
      <c r="AT170" s="7"/>
      <c r="AU170" s="7"/>
      <c r="AV170" s="7">
        <f t="shared" si="449"/>
        <v>0</v>
      </c>
      <c r="AX170" s="7">
        <f t="shared" ref="AX170:AX175" si="452">B170+H170+N170+T170+Z170+AF170+AL170+AR170</f>
        <v>93666.94120404002</v>
      </c>
      <c r="AY170" s="7">
        <f t="shared" si="450"/>
        <v>0</v>
      </c>
      <c r="AZ170" s="7">
        <f t="shared" si="450"/>
        <v>0</v>
      </c>
      <c r="BA170" s="7">
        <f t="shared" si="450"/>
        <v>0</v>
      </c>
      <c r="BB170" s="7">
        <f t="shared" si="451"/>
        <v>93666.94120404002</v>
      </c>
    </row>
    <row r="171" spans="1:54" x14ac:dyDescent="0.25">
      <c r="A171" s="62" t="s">
        <v>142</v>
      </c>
      <c r="B171" s="7">
        <v>0</v>
      </c>
      <c r="C171" s="7"/>
      <c r="D171" s="7"/>
      <c r="E171" s="7"/>
      <c r="F171" s="7">
        <f t="shared" si="442"/>
        <v>0</v>
      </c>
      <c r="H171" s="7">
        <v>0</v>
      </c>
      <c r="I171" s="7"/>
      <c r="J171" s="7"/>
      <c r="K171" s="7"/>
      <c r="L171" s="7">
        <f t="shared" si="443"/>
        <v>0</v>
      </c>
      <c r="N171" s="7">
        <v>0</v>
      </c>
      <c r="O171" s="7"/>
      <c r="P171" s="7"/>
      <c r="Q171" s="7"/>
      <c r="R171" s="7">
        <f t="shared" si="444"/>
        <v>0</v>
      </c>
      <c r="T171" s="7">
        <v>0</v>
      </c>
      <c r="U171" s="7"/>
      <c r="V171" s="7"/>
      <c r="W171" s="7"/>
      <c r="X171" s="7">
        <f t="shared" si="445"/>
        <v>0</v>
      </c>
      <c r="Z171" s="7">
        <v>0</v>
      </c>
      <c r="AA171" s="7"/>
      <c r="AB171" s="7"/>
      <c r="AC171" s="7"/>
      <c r="AD171" s="7">
        <f t="shared" si="446"/>
        <v>0</v>
      </c>
      <c r="AF171" s="7">
        <v>0</v>
      </c>
      <c r="AG171" s="7"/>
      <c r="AH171" s="7"/>
      <c r="AI171" s="7"/>
      <c r="AJ171" s="7">
        <f t="shared" si="447"/>
        <v>0</v>
      </c>
      <c r="AL171" s="7">
        <v>0</v>
      </c>
      <c r="AM171" s="7"/>
      <c r="AN171" s="7"/>
      <c r="AO171" s="7"/>
      <c r="AP171" s="7">
        <f t="shared" si="448"/>
        <v>0</v>
      </c>
      <c r="AR171" s="7">
        <v>0</v>
      </c>
      <c r="AS171" s="7"/>
      <c r="AT171" s="7"/>
      <c r="AU171" s="7"/>
      <c r="AV171" s="7">
        <f t="shared" si="449"/>
        <v>0</v>
      </c>
      <c r="AX171" s="7">
        <f t="shared" si="452"/>
        <v>0</v>
      </c>
      <c r="AY171" s="7">
        <f t="shared" si="450"/>
        <v>0</v>
      </c>
      <c r="AZ171" s="7">
        <f t="shared" si="450"/>
        <v>0</v>
      </c>
      <c r="BA171" s="7">
        <f t="shared" si="450"/>
        <v>0</v>
      </c>
      <c r="BB171" s="7">
        <f t="shared" si="451"/>
        <v>0</v>
      </c>
    </row>
    <row r="172" spans="1:54" x14ac:dyDescent="0.25">
      <c r="A172" s="62" t="s">
        <v>143</v>
      </c>
      <c r="B172" s="7">
        <v>1000</v>
      </c>
      <c r="C172" s="7"/>
      <c r="D172" s="7"/>
      <c r="E172" s="7"/>
      <c r="F172" s="7">
        <f t="shared" si="442"/>
        <v>1000</v>
      </c>
      <c r="H172" s="7">
        <v>1300</v>
      </c>
      <c r="I172" s="7"/>
      <c r="J172" s="7"/>
      <c r="K172" s="7"/>
      <c r="L172" s="7">
        <f t="shared" si="443"/>
        <v>1300</v>
      </c>
      <c r="N172" s="7">
        <v>1000</v>
      </c>
      <c r="O172" s="7"/>
      <c r="P172" s="7"/>
      <c r="Q172" s="7"/>
      <c r="R172" s="7">
        <f t="shared" si="444"/>
        <v>1000</v>
      </c>
      <c r="T172" s="7">
        <v>1100</v>
      </c>
      <c r="U172" s="7"/>
      <c r="V172" s="7"/>
      <c r="W172" s="7"/>
      <c r="X172" s="7">
        <f t="shared" si="445"/>
        <v>1100</v>
      </c>
      <c r="Z172" s="7">
        <v>1300</v>
      </c>
      <c r="AA172" s="7"/>
      <c r="AB172" s="7"/>
      <c r="AC172" s="7"/>
      <c r="AD172" s="7">
        <f t="shared" si="446"/>
        <v>1300</v>
      </c>
      <c r="AF172" s="7">
        <v>1250</v>
      </c>
      <c r="AG172" s="7"/>
      <c r="AH172" s="7"/>
      <c r="AI172" s="7"/>
      <c r="AJ172" s="7">
        <f t="shared" si="447"/>
        <v>1250</v>
      </c>
      <c r="AL172" s="7">
        <v>0</v>
      </c>
      <c r="AM172" s="7"/>
      <c r="AN172" s="7"/>
      <c r="AO172" s="7"/>
      <c r="AP172" s="7">
        <f t="shared" si="448"/>
        <v>0</v>
      </c>
      <c r="AR172" s="7">
        <v>3100</v>
      </c>
      <c r="AS172" s="7"/>
      <c r="AT172" s="7"/>
      <c r="AU172" s="7"/>
      <c r="AV172" s="7">
        <f t="shared" si="449"/>
        <v>3100</v>
      </c>
      <c r="AX172" s="7">
        <f t="shared" si="452"/>
        <v>10050</v>
      </c>
      <c r="AY172" s="7">
        <f t="shared" si="450"/>
        <v>0</v>
      </c>
      <c r="AZ172" s="7">
        <f t="shared" si="450"/>
        <v>0</v>
      </c>
      <c r="BA172" s="7">
        <f t="shared" si="450"/>
        <v>0</v>
      </c>
      <c r="BB172" s="7">
        <f t="shared" si="451"/>
        <v>10050</v>
      </c>
    </row>
    <row r="173" spans="1:54" x14ac:dyDescent="0.25">
      <c r="A173" s="62" t="s">
        <v>144</v>
      </c>
      <c r="B173" s="15">
        <f>'FY26'!B173*1.03</f>
        <v>5627.5440500000004</v>
      </c>
      <c r="C173" s="7"/>
      <c r="D173" s="7"/>
      <c r="E173" s="7"/>
      <c r="F173" s="7">
        <f t="shared" si="442"/>
        <v>5627.5440500000004</v>
      </c>
      <c r="H173" s="15">
        <f>'FY26'!H173*1.03</f>
        <v>5627.5440500000004</v>
      </c>
      <c r="I173" s="7"/>
      <c r="J173" s="7"/>
      <c r="K173" s="7"/>
      <c r="L173" s="7">
        <f t="shared" si="443"/>
        <v>5627.5440500000004</v>
      </c>
      <c r="N173" s="15">
        <f>'FY26'!N173*1.03</f>
        <v>5627.5440500000004</v>
      </c>
      <c r="O173" s="7"/>
      <c r="P173" s="7"/>
      <c r="Q173" s="7"/>
      <c r="R173" s="7">
        <f t="shared" si="444"/>
        <v>5627.5440500000004</v>
      </c>
      <c r="T173" s="15">
        <f>'FY26'!T173*1.03</f>
        <v>5627.5440500000004</v>
      </c>
      <c r="U173" s="7"/>
      <c r="V173" s="7"/>
      <c r="W173" s="7"/>
      <c r="X173" s="7">
        <f t="shared" si="445"/>
        <v>5627.5440500000004</v>
      </c>
      <c r="Z173" s="15">
        <f>'FY26'!Z173*1.03</f>
        <v>5627.5440500000004</v>
      </c>
      <c r="AA173" s="7"/>
      <c r="AB173" s="7"/>
      <c r="AC173" s="7"/>
      <c r="AD173" s="7">
        <f t="shared" si="446"/>
        <v>5627.5440500000004</v>
      </c>
      <c r="AF173" s="15">
        <f>'FY26'!AF173*1.03</f>
        <v>4370.9080000000004</v>
      </c>
      <c r="AG173" s="7"/>
      <c r="AH173" s="7"/>
      <c r="AI173" s="7"/>
      <c r="AJ173" s="7">
        <f t="shared" si="447"/>
        <v>4370.9080000000004</v>
      </c>
      <c r="AL173" s="7">
        <v>0</v>
      </c>
      <c r="AM173" s="7"/>
      <c r="AN173" s="7"/>
      <c r="AO173" s="7"/>
      <c r="AP173" s="7">
        <f t="shared" si="448"/>
        <v>0</v>
      </c>
      <c r="AR173" s="7">
        <v>4700</v>
      </c>
      <c r="AS173" s="7"/>
      <c r="AT173" s="7"/>
      <c r="AU173" s="7"/>
      <c r="AV173" s="7">
        <f t="shared" si="449"/>
        <v>4700</v>
      </c>
      <c r="AX173" s="7">
        <f t="shared" si="452"/>
        <v>37208.628250000002</v>
      </c>
      <c r="AY173" s="7">
        <f t="shared" si="450"/>
        <v>0</v>
      </c>
      <c r="AZ173" s="7">
        <f t="shared" si="450"/>
        <v>0</v>
      </c>
      <c r="BA173" s="7">
        <f t="shared" si="450"/>
        <v>0</v>
      </c>
      <c r="BB173" s="7">
        <f t="shared" si="451"/>
        <v>37208.628250000002</v>
      </c>
    </row>
    <row r="174" spans="1:54" x14ac:dyDescent="0.25">
      <c r="A174" s="62" t="s">
        <v>145</v>
      </c>
      <c r="B174" s="15">
        <f>'FY26'!B174*1.04</f>
        <v>32756.039680000002</v>
      </c>
      <c r="C174" s="7"/>
      <c r="D174" s="7"/>
      <c r="E174" s="7"/>
      <c r="F174" s="7">
        <f t="shared" si="442"/>
        <v>32756.039680000002</v>
      </c>
      <c r="H174" s="15">
        <f>'FY26'!H174*1.04</f>
        <v>71595.343871999998</v>
      </c>
      <c r="I174" s="7"/>
      <c r="J174" s="7"/>
      <c r="K174" s="7"/>
      <c r="L174" s="7">
        <f t="shared" si="443"/>
        <v>71595.343871999998</v>
      </c>
      <c r="N174" s="15">
        <f>'FY26'!N174*1.04</f>
        <v>37435.473920000011</v>
      </c>
      <c r="O174" s="7"/>
      <c r="P174" s="7"/>
      <c r="Q174" s="7"/>
      <c r="R174" s="7">
        <f t="shared" si="444"/>
        <v>37435.473920000011</v>
      </c>
      <c r="T174" s="15">
        <f>'FY26'!T174*1.04</f>
        <v>37435.473920000011</v>
      </c>
      <c r="U174" s="7"/>
      <c r="V174" s="7"/>
      <c r="W174" s="7"/>
      <c r="X174" s="7">
        <f t="shared" si="445"/>
        <v>37435.473920000011</v>
      </c>
      <c r="Z174" s="15">
        <f>'FY26'!Z174*1.04</f>
        <v>67266.867200000008</v>
      </c>
      <c r="AA174" s="7"/>
      <c r="AB174" s="7"/>
      <c r="AC174" s="7"/>
      <c r="AD174" s="7">
        <f t="shared" si="446"/>
        <v>67266.867200000008</v>
      </c>
      <c r="AF174" s="15">
        <f>'FY26'!AF174*1.04</f>
        <v>33421.440000000002</v>
      </c>
      <c r="AG174" s="7"/>
      <c r="AH174" s="7"/>
      <c r="AI174" s="7"/>
      <c r="AJ174" s="7">
        <f t="shared" si="447"/>
        <v>33421.440000000002</v>
      </c>
      <c r="AL174" s="7">
        <v>0</v>
      </c>
      <c r="AM174" s="7"/>
      <c r="AN174" s="7"/>
      <c r="AO174" s="7"/>
      <c r="AP174" s="7">
        <f t="shared" si="448"/>
        <v>0</v>
      </c>
      <c r="AR174" s="15">
        <v>0</v>
      </c>
      <c r="AS174" s="7"/>
      <c r="AT174" s="7"/>
      <c r="AU174" s="7"/>
      <c r="AV174" s="7">
        <f t="shared" si="449"/>
        <v>0</v>
      </c>
      <c r="AX174" s="7">
        <f t="shared" si="452"/>
        <v>279910.638592</v>
      </c>
      <c r="AY174" s="7">
        <f t="shared" si="450"/>
        <v>0</v>
      </c>
      <c r="AZ174" s="7">
        <f t="shared" si="450"/>
        <v>0</v>
      </c>
      <c r="BA174" s="7">
        <f t="shared" si="450"/>
        <v>0</v>
      </c>
      <c r="BB174" s="7">
        <f t="shared" si="451"/>
        <v>279910.638592</v>
      </c>
    </row>
    <row r="175" spans="1:54" ht="15.75" thickBot="1" x14ac:dyDescent="0.3">
      <c r="A175" s="62" t="s">
        <v>146</v>
      </c>
      <c r="B175" s="7">
        <f>2500+(2*B19)</f>
        <v>4372</v>
      </c>
      <c r="C175" s="7"/>
      <c r="D175" s="7"/>
      <c r="E175" s="7"/>
      <c r="F175" s="7">
        <f t="shared" ref="F175" si="453">SUM(B175:E175)</f>
        <v>4372</v>
      </c>
      <c r="H175" s="7">
        <f>2500+(2*H19)</f>
        <v>7408</v>
      </c>
      <c r="I175" s="7"/>
      <c r="J175" s="7"/>
      <c r="K175" s="7"/>
      <c r="L175" s="7">
        <f t="shared" ref="L175" si="454">SUM(H175:K175)</f>
        <v>7408</v>
      </c>
      <c r="N175" s="7">
        <f>2500+(2*N19)</f>
        <v>4532</v>
      </c>
      <c r="O175" s="7"/>
      <c r="P175" s="7"/>
      <c r="Q175" s="7"/>
      <c r="R175" s="7">
        <f t="shared" ref="R175" si="455">SUM(N175:Q175)</f>
        <v>4532</v>
      </c>
      <c r="T175" s="7">
        <f>2500+(2*T19)</f>
        <v>4930</v>
      </c>
      <c r="U175" s="7"/>
      <c r="V175" s="7"/>
      <c r="W175" s="7"/>
      <c r="X175" s="7">
        <f t="shared" ref="X175" si="456">SUM(T175:W175)</f>
        <v>4930</v>
      </c>
      <c r="Z175" s="7">
        <f>2500+(2*Z19)</f>
        <v>7358</v>
      </c>
      <c r="AA175" s="7"/>
      <c r="AB175" s="7"/>
      <c r="AC175" s="7"/>
      <c r="AD175" s="7">
        <f t="shared" ref="AD175" si="457">SUM(Z175:AC175)</f>
        <v>7358</v>
      </c>
      <c r="AF175" s="7">
        <f>2500+(2*AF19)</f>
        <v>4660</v>
      </c>
      <c r="AG175" s="7"/>
      <c r="AH175" s="7"/>
      <c r="AI175" s="7"/>
      <c r="AJ175" s="7">
        <f t="shared" si="447"/>
        <v>4660</v>
      </c>
      <c r="AL175" s="7">
        <v>0</v>
      </c>
      <c r="AM175" s="7"/>
      <c r="AN175" s="7"/>
      <c r="AO175" s="7"/>
      <c r="AP175" s="7">
        <f t="shared" si="448"/>
        <v>0</v>
      </c>
      <c r="AR175" s="7">
        <v>2750</v>
      </c>
      <c r="AS175" s="7"/>
      <c r="AT175" s="7"/>
      <c r="AU175" s="7"/>
      <c r="AV175" s="7">
        <f t="shared" si="449"/>
        <v>2750</v>
      </c>
      <c r="AX175" s="7">
        <f t="shared" si="452"/>
        <v>36010</v>
      </c>
      <c r="AY175" s="7">
        <f t="shared" si="450"/>
        <v>0</v>
      </c>
      <c r="AZ175" s="7">
        <f t="shared" si="450"/>
        <v>0</v>
      </c>
      <c r="BA175" s="7">
        <f t="shared" si="450"/>
        <v>0</v>
      </c>
      <c r="BB175" s="7">
        <f t="shared" si="451"/>
        <v>36010</v>
      </c>
    </row>
    <row r="176" spans="1:54" ht="15.75" thickBot="1" x14ac:dyDescent="0.3">
      <c r="A176" s="95" t="s">
        <v>147</v>
      </c>
      <c r="B176" s="92">
        <f>SUM(B169:B175)</f>
        <v>64000.673449875001</v>
      </c>
      <c r="C176" s="92">
        <f>SUM(C169:C175)</f>
        <v>0</v>
      </c>
      <c r="D176" s="92">
        <f t="shared" ref="D176:F176" si="458">SUM(D169:D175)</f>
        <v>0</v>
      </c>
      <c r="E176" s="92">
        <f t="shared" si="458"/>
        <v>0</v>
      </c>
      <c r="F176" s="92">
        <f t="shared" si="458"/>
        <v>64000.673449875001</v>
      </c>
      <c r="H176" s="92">
        <f>SUM(H169:H175)</f>
        <v>113895.27981526</v>
      </c>
      <c r="I176" s="92">
        <f>SUM(I169:I175)</f>
        <v>0</v>
      </c>
      <c r="J176" s="92">
        <f t="shared" ref="J176:L176" si="459">SUM(J169:J175)</f>
        <v>0</v>
      </c>
      <c r="K176" s="92">
        <f t="shared" si="459"/>
        <v>0</v>
      </c>
      <c r="L176" s="92">
        <f t="shared" si="459"/>
        <v>113895.27981526</v>
      </c>
      <c r="N176" s="92">
        <f>SUM(N169:N175)</f>
        <v>69243.602598260011</v>
      </c>
      <c r="O176" s="92">
        <f>SUM(O169:O175)</f>
        <v>0</v>
      </c>
      <c r="P176" s="92">
        <f t="shared" ref="P176:R176" si="460">SUM(P169:P175)</f>
        <v>0</v>
      </c>
      <c r="Q176" s="92">
        <f t="shared" si="460"/>
        <v>0</v>
      </c>
      <c r="R176" s="92">
        <f t="shared" si="460"/>
        <v>69243.602598260011</v>
      </c>
      <c r="T176" s="92">
        <f>SUM(T169:T175)</f>
        <v>71531.161606160022</v>
      </c>
      <c r="U176" s="92">
        <f>SUM(U169:U175)</f>
        <v>0</v>
      </c>
      <c r="V176" s="92">
        <f t="shared" ref="V176:X176" si="461">SUM(V169:V175)</f>
        <v>0</v>
      </c>
      <c r="W176" s="92">
        <f t="shared" si="461"/>
        <v>0</v>
      </c>
      <c r="X176" s="92">
        <f t="shared" si="461"/>
        <v>71531.161606160022</v>
      </c>
      <c r="Z176" s="92">
        <f>SUM(Z169:Z175)</f>
        <v>104733.39070076001</v>
      </c>
      <c r="AA176" s="92">
        <f>SUM(AA169:AA175)</f>
        <v>0</v>
      </c>
      <c r="AB176" s="92">
        <f t="shared" ref="AB176:AD176" si="462">SUM(AB169:AB175)</f>
        <v>0</v>
      </c>
      <c r="AC176" s="92">
        <f t="shared" si="462"/>
        <v>0</v>
      </c>
      <c r="AD176" s="92">
        <f t="shared" si="462"/>
        <v>104733.39070076001</v>
      </c>
      <c r="AF176" s="92">
        <f>SUM(AF169:AF175)</f>
        <v>60093.253000000004</v>
      </c>
      <c r="AG176" s="92">
        <f>SUM(AG169:AG175)</f>
        <v>0</v>
      </c>
      <c r="AH176" s="92">
        <f t="shared" ref="AH176:AJ176" si="463">SUM(AH169:AH175)</f>
        <v>0</v>
      </c>
      <c r="AI176" s="92">
        <f t="shared" si="463"/>
        <v>0</v>
      </c>
      <c r="AJ176" s="92">
        <f t="shared" si="463"/>
        <v>60093.253000000004</v>
      </c>
      <c r="AL176" s="92">
        <f>SUM(AL169:AL175)</f>
        <v>0</v>
      </c>
      <c r="AM176" s="92">
        <f>SUM(AM169:AM175)</f>
        <v>0</v>
      </c>
      <c r="AN176" s="92">
        <f t="shared" ref="AN176:AP176" si="464">SUM(AN169:AN175)</f>
        <v>0</v>
      </c>
      <c r="AO176" s="92">
        <f t="shared" si="464"/>
        <v>0</v>
      </c>
      <c r="AP176" s="92">
        <f t="shared" si="464"/>
        <v>0</v>
      </c>
      <c r="AR176" s="92">
        <f>SUM(AR169:AR175)</f>
        <v>10550</v>
      </c>
      <c r="AS176" s="92">
        <f>SUM(AS169:AS175)</f>
        <v>0</v>
      </c>
      <c r="AT176" s="92">
        <f t="shared" ref="AT176:AV176" si="465">SUM(AT169:AT175)</f>
        <v>0</v>
      </c>
      <c r="AU176" s="92">
        <f t="shared" si="465"/>
        <v>0</v>
      </c>
      <c r="AV176" s="92">
        <f t="shared" si="465"/>
        <v>10550</v>
      </c>
      <c r="AX176" s="92">
        <f>SUM(AX169:AX175)</f>
        <v>494047.36117031507</v>
      </c>
      <c r="AY176" s="92">
        <f>SUM(AY169:AY175)</f>
        <v>0</v>
      </c>
      <c r="AZ176" s="92">
        <f t="shared" ref="AZ176:BB176" si="466">SUM(AZ169:AZ175)</f>
        <v>0</v>
      </c>
      <c r="BA176" s="92">
        <f t="shared" si="466"/>
        <v>0</v>
      </c>
      <c r="BB176" s="92">
        <f t="shared" si="466"/>
        <v>494047.36117031507</v>
      </c>
    </row>
    <row r="177" spans="1:54" x14ac:dyDescent="0.25">
      <c r="A177" s="101" t="s">
        <v>148</v>
      </c>
      <c r="B177" s="96"/>
      <c r="C177" s="96"/>
      <c r="D177" s="96"/>
      <c r="E177" s="96"/>
      <c r="F177" s="96"/>
      <c r="H177" s="96"/>
      <c r="I177" s="96"/>
      <c r="J177" s="96"/>
      <c r="K177" s="96"/>
      <c r="L177" s="96"/>
      <c r="N177" s="96"/>
      <c r="O177" s="96"/>
      <c r="P177" s="96"/>
      <c r="Q177" s="96"/>
      <c r="R177" s="96"/>
      <c r="T177" s="96"/>
      <c r="U177" s="96"/>
      <c r="V177" s="96"/>
      <c r="W177" s="96"/>
      <c r="X177" s="96"/>
      <c r="Z177" s="96"/>
      <c r="AA177" s="96"/>
      <c r="AB177" s="96"/>
      <c r="AC177" s="96"/>
      <c r="AD177" s="96"/>
      <c r="AF177" s="96"/>
      <c r="AG177" s="96"/>
      <c r="AH177" s="96"/>
      <c r="AI177" s="96"/>
      <c r="AJ177" s="96"/>
      <c r="AL177" s="96"/>
      <c r="AM177" s="96"/>
      <c r="AN177" s="96"/>
      <c r="AO177" s="96"/>
      <c r="AP177" s="96"/>
      <c r="AR177" s="96"/>
      <c r="AS177" s="96"/>
      <c r="AT177" s="96"/>
      <c r="AU177" s="96"/>
      <c r="AV177" s="96"/>
      <c r="AX177" s="96"/>
      <c r="AY177" s="96"/>
      <c r="AZ177" s="96"/>
      <c r="BA177" s="96"/>
      <c r="BB177" s="96"/>
    </row>
    <row r="178" spans="1:54" x14ac:dyDescent="0.25">
      <c r="A178" s="62" t="s">
        <v>149</v>
      </c>
      <c r="B178" s="15">
        <f>'FY26'!B178*1.06</f>
        <v>14581.608888000002</v>
      </c>
      <c r="C178" s="15"/>
      <c r="D178" s="15"/>
      <c r="E178" s="15"/>
      <c r="F178" s="15">
        <f>SUM(B178:E178)</f>
        <v>14581.608888000002</v>
      </c>
      <c r="H178" s="15">
        <f>'FY26'!H178*1.06</f>
        <v>35412.478728000009</v>
      </c>
      <c r="I178" s="15"/>
      <c r="J178" s="15"/>
      <c r="K178" s="15"/>
      <c r="L178" s="15">
        <f>SUM(H178:K178)</f>
        <v>35412.478728000009</v>
      </c>
      <c r="N178" s="15">
        <f>'FY26'!N178*1.06</f>
        <v>14581.608888000002</v>
      </c>
      <c r="O178" s="15"/>
      <c r="P178" s="15"/>
      <c r="Q178" s="15"/>
      <c r="R178" s="15">
        <f>SUM(N178:Q178)</f>
        <v>14581.608888000002</v>
      </c>
      <c r="T178" s="15">
        <f>'FY26'!T178*1.06</f>
        <v>15970.333544000005</v>
      </c>
      <c r="U178" s="15"/>
      <c r="V178" s="15"/>
      <c r="W178" s="15"/>
      <c r="X178" s="15">
        <f>SUM(T178:W178)</f>
        <v>15970.333544000005</v>
      </c>
      <c r="Z178" s="15">
        <f>'FY26'!Z178*1.06</f>
        <v>22913.956824000001</v>
      </c>
      <c r="AA178" s="15"/>
      <c r="AB178" s="15"/>
      <c r="AC178" s="15"/>
      <c r="AD178" s="15">
        <f>SUM(Z178:AC178)</f>
        <v>22913.956824000001</v>
      </c>
      <c r="AF178" s="15">
        <f>'FY26'!AF178*1.06</f>
        <v>11910.16</v>
      </c>
      <c r="AG178" s="15"/>
      <c r="AH178" s="15"/>
      <c r="AI178" s="15"/>
      <c r="AJ178" s="15">
        <f>SUM(AF178:AI178)</f>
        <v>11910.16</v>
      </c>
      <c r="AL178" s="15">
        <v>0</v>
      </c>
      <c r="AM178" s="15"/>
      <c r="AN178" s="15"/>
      <c r="AO178" s="15"/>
      <c r="AP178" s="15">
        <f>SUM(AL178:AO178)</f>
        <v>0</v>
      </c>
      <c r="AR178" s="15"/>
      <c r="AS178" s="15"/>
      <c r="AT178" s="15"/>
      <c r="AU178" s="15"/>
      <c r="AV178" s="15">
        <f>SUM(AR178:AU178)</f>
        <v>0</v>
      </c>
      <c r="AX178" s="7">
        <f>B178+H178+N178+T178+Z178+AF178+AL178+AR178</f>
        <v>115370.14687200001</v>
      </c>
      <c r="AY178" s="7">
        <f t="shared" ref="AY178:BA180" si="467">C178+I178+O178+U178+AA178+AG178+AM178+AS178</f>
        <v>0</v>
      </c>
      <c r="AZ178" s="7">
        <f t="shared" si="467"/>
        <v>0</v>
      </c>
      <c r="BA178" s="7">
        <f t="shared" si="467"/>
        <v>0</v>
      </c>
      <c r="BB178" s="15">
        <f>SUM(AX178:BA178)</f>
        <v>115370.14687200001</v>
      </c>
    </row>
    <row r="179" spans="1:54" x14ac:dyDescent="0.25">
      <c r="A179" s="62" t="s">
        <v>150</v>
      </c>
      <c r="B179" s="15">
        <f>'FY26'!B179*1.06</f>
        <v>8332.3479360000019</v>
      </c>
      <c r="C179" s="7"/>
      <c r="D179" s="7"/>
      <c r="E179" s="7"/>
      <c r="F179" s="15">
        <f>SUM(B179:E179)</f>
        <v>8332.3479360000019</v>
      </c>
      <c r="H179" s="15">
        <f>'FY26'!H179*1.06</f>
        <v>15275.971216000005</v>
      </c>
      <c r="I179" s="7"/>
      <c r="J179" s="7"/>
      <c r="K179" s="7"/>
      <c r="L179" s="15">
        <f>SUM(H179:K179)</f>
        <v>15275.971216000005</v>
      </c>
      <c r="N179" s="15">
        <f>'FY26'!N179*1.06</f>
        <v>9721.0725920000059</v>
      </c>
      <c r="O179" s="7"/>
      <c r="P179" s="7"/>
      <c r="Q179" s="7"/>
      <c r="R179" s="15">
        <f>SUM(N179:Q179)</f>
        <v>9721.0725920000059</v>
      </c>
      <c r="T179" s="15">
        <f>'FY26'!T179*1.06</f>
        <v>9721.0725920000059</v>
      </c>
      <c r="U179" s="7"/>
      <c r="V179" s="7"/>
      <c r="W179" s="7"/>
      <c r="X179" s="15">
        <f>SUM(T179:W179)</f>
        <v>9721.0725920000059</v>
      </c>
      <c r="Z179" s="15">
        <f>'FY26'!Z179*1.06</f>
        <v>16664.695872000004</v>
      </c>
      <c r="AA179" s="7"/>
      <c r="AB179" s="7"/>
      <c r="AC179" s="7"/>
      <c r="AD179" s="15">
        <f>SUM(Z179:AC179)</f>
        <v>16664.695872000004</v>
      </c>
      <c r="AF179" s="15">
        <f>'FY26'!AF179*1.06</f>
        <v>8337.112000000001</v>
      </c>
      <c r="AG179" s="7"/>
      <c r="AH179" s="7"/>
      <c r="AI179" s="7"/>
      <c r="AJ179" s="15">
        <f>SUM(AF179:AI179)</f>
        <v>8337.112000000001</v>
      </c>
      <c r="AL179" s="15">
        <v>0</v>
      </c>
      <c r="AM179" s="7"/>
      <c r="AN179" s="7"/>
      <c r="AO179" s="7"/>
      <c r="AP179" s="15">
        <f>SUM(AL179:AO179)</f>
        <v>0</v>
      </c>
      <c r="AR179" s="7">
        <f>7500*1.05*1.1*1.1*1.1</f>
        <v>10481.625</v>
      </c>
      <c r="AS179" s="7"/>
      <c r="AT179" s="7"/>
      <c r="AU179" s="7"/>
      <c r="AV179" s="15">
        <f>SUM(AR179:AU179)</f>
        <v>10481.625</v>
      </c>
      <c r="AX179" s="7">
        <f t="shared" ref="AX179:AX180" si="468">B179+H179+N179+T179+Z179+AF179+AL179+AR179</f>
        <v>78533.897208000024</v>
      </c>
      <c r="AY179" s="7">
        <f t="shared" si="467"/>
        <v>0</v>
      </c>
      <c r="AZ179" s="7">
        <f t="shared" si="467"/>
        <v>0</v>
      </c>
      <c r="BA179" s="7">
        <f t="shared" si="467"/>
        <v>0</v>
      </c>
      <c r="BB179" s="15">
        <f>SUM(AX179:BA179)</f>
        <v>78533.897208000024</v>
      </c>
    </row>
    <row r="180" spans="1:54" ht="15.75" thickBot="1" x14ac:dyDescent="0.3">
      <c r="A180" s="62" t="s">
        <v>151</v>
      </c>
      <c r="B180" s="15">
        <f>'FY26'!B180*1.06</f>
        <v>17359.058200000003</v>
      </c>
      <c r="C180" s="7"/>
      <c r="D180" s="7"/>
      <c r="E180" s="7"/>
      <c r="F180" s="15">
        <f>SUM(B180:E180)</f>
        <v>17359.058200000003</v>
      </c>
      <c r="H180" s="15">
        <f>'FY26'!H180*1.06</f>
        <v>45133.551320000013</v>
      </c>
      <c r="I180" s="7"/>
      <c r="J180" s="7"/>
      <c r="K180" s="7"/>
      <c r="L180" s="15">
        <f>SUM(H180:K180)</f>
        <v>45133.551320000013</v>
      </c>
      <c r="N180" s="15">
        <f>'FY26'!N180*1.06</f>
        <v>22219.594496000002</v>
      </c>
      <c r="O180" s="7"/>
      <c r="P180" s="7"/>
      <c r="Q180" s="7"/>
      <c r="R180" s="15">
        <f>SUM(N180:Q180)</f>
        <v>22219.594496000002</v>
      </c>
      <c r="T180" s="15">
        <f>'FY26'!T180*1.06</f>
        <v>29163.217776000005</v>
      </c>
      <c r="U180" s="7"/>
      <c r="V180" s="7"/>
      <c r="W180" s="7"/>
      <c r="X180" s="15">
        <f>SUM(T180:W180)</f>
        <v>29163.217776000005</v>
      </c>
      <c r="Z180" s="15">
        <f>'FY26'!Z180*1.06</f>
        <v>39578.652696000012</v>
      </c>
      <c r="AA180" s="7"/>
      <c r="AB180" s="7"/>
      <c r="AC180" s="7"/>
      <c r="AD180" s="15">
        <f>SUM(Z180:AC180)</f>
        <v>39578.652696000012</v>
      </c>
      <c r="AF180" s="15">
        <f>'FY26'!AF180*1.06</f>
        <v>15483.208000000002</v>
      </c>
      <c r="AG180" s="7"/>
      <c r="AH180" s="7"/>
      <c r="AI180" s="7"/>
      <c r="AJ180" s="15">
        <f>SUM(AF180:AI180)</f>
        <v>15483.208000000002</v>
      </c>
      <c r="AL180" s="15">
        <v>0</v>
      </c>
      <c r="AM180" s="7"/>
      <c r="AN180" s="7"/>
      <c r="AO180" s="7"/>
      <c r="AP180" s="15">
        <f>SUM(AL180:AO180)</f>
        <v>0</v>
      </c>
      <c r="AR180" s="7">
        <f>5500*1.05*1.1*1.1*1.1</f>
        <v>7686.5250000000024</v>
      </c>
      <c r="AS180" s="7"/>
      <c r="AT180" s="7"/>
      <c r="AU180" s="7"/>
      <c r="AV180" s="15">
        <f>SUM(AR180:AU180)</f>
        <v>7686.5250000000024</v>
      </c>
      <c r="AX180" s="7">
        <f t="shared" si="468"/>
        <v>176623.80748800005</v>
      </c>
      <c r="AY180" s="7">
        <f t="shared" si="467"/>
        <v>0</v>
      </c>
      <c r="AZ180" s="7">
        <f t="shared" si="467"/>
        <v>0</v>
      </c>
      <c r="BA180" s="7">
        <f t="shared" si="467"/>
        <v>0</v>
      </c>
      <c r="BB180" s="15">
        <f>SUM(AX180:BA180)</f>
        <v>176623.80748800005</v>
      </c>
    </row>
    <row r="181" spans="1:54" ht="15.75" thickBot="1" x14ac:dyDescent="0.3">
      <c r="A181" s="95" t="s">
        <v>152</v>
      </c>
      <c r="B181" s="92">
        <f>SUM(B178:B180)</f>
        <v>40273.015024000008</v>
      </c>
      <c r="C181" s="92">
        <f>SUM(C178:C180)</f>
        <v>0</v>
      </c>
      <c r="D181" s="92">
        <f t="shared" ref="D181:F181" si="469">SUM(D178:D180)</f>
        <v>0</v>
      </c>
      <c r="E181" s="92">
        <f t="shared" si="469"/>
        <v>0</v>
      </c>
      <c r="F181" s="92">
        <f t="shared" si="469"/>
        <v>40273.015024000008</v>
      </c>
      <c r="H181" s="92">
        <f>SUM(H178:H180)</f>
        <v>95822.00126400002</v>
      </c>
      <c r="I181" s="92">
        <f>SUM(I178:I180)</f>
        <v>0</v>
      </c>
      <c r="J181" s="92">
        <f t="shared" ref="J181:L181" si="470">SUM(J178:J180)</f>
        <v>0</v>
      </c>
      <c r="K181" s="92">
        <f t="shared" si="470"/>
        <v>0</v>
      </c>
      <c r="L181" s="92">
        <f t="shared" si="470"/>
        <v>95822.00126400002</v>
      </c>
      <c r="N181" s="92">
        <f>SUM(N178:N180)</f>
        <v>46522.275976000004</v>
      </c>
      <c r="O181" s="92">
        <f>SUM(O178:O180)</f>
        <v>0</v>
      </c>
      <c r="P181" s="92">
        <f t="shared" ref="P181:R181" si="471">SUM(P178:P180)</f>
        <v>0</v>
      </c>
      <c r="Q181" s="92">
        <f t="shared" si="471"/>
        <v>0</v>
      </c>
      <c r="R181" s="92">
        <f t="shared" si="471"/>
        <v>46522.275976000004</v>
      </c>
      <c r="T181" s="92">
        <f>SUM(T178:T180)</f>
        <v>54854.623912000017</v>
      </c>
      <c r="U181" s="92">
        <f>SUM(U178:U180)</f>
        <v>0</v>
      </c>
      <c r="V181" s="92">
        <f t="shared" ref="V181:X181" si="472">SUM(V178:V180)</f>
        <v>0</v>
      </c>
      <c r="W181" s="92">
        <f t="shared" si="472"/>
        <v>0</v>
      </c>
      <c r="X181" s="92">
        <f t="shared" si="472"/>
        <v>54854.623912000017</v>
      </c>
      <c r="Z181" s="92">
        <f>SUM(Z178:Z180)</f>
        <v>79157.305392000009</v>
      </c>
      <c r="AA181" s="92">
        <f>SUM(AA178:AA180)</f>
        <v>0</v>
      </c>
      <c r="AB181" s="92">
        <f t="shared" ref="AB181:AD181" si="473">SUM(AB178:AB180)</f>
        <v>0</v>
      </c>
      <c r="AC181" s="92">
        <f t="shared" si="473"/>
        <v>0</v>
      </c>
      <c r="AD181" s="92">
        <f t="shared" si="473"/>
        <v>79157.305392000009</v>
      </c>
      <c r="AF181" s="92">
        <f>SUM(AF178:AF180)</f>
        <v>35730.480000000003</v>
      </c>
      <c r="AG181" s="92">
        <f>SUM(AG178:AG180)</f>
        <v>0</v>
      </c>
      <c r="AH181" s="92">
        <f t="shared" ref="AH181:AJ181" si="474">SUM(AH178:AH180)</f>
        <v>0</v>
      </c>
      <c r="AI181" s="92">
        <f t="shared" si="474"/>
        <v>0</v>
      </c>
      <c r="AJ181" s="92">
        <f t="shared" si="474"/>
        <v>35730.480000000003</v>
      </c>
      <c r="AL181" s="92">
        <f>SUM(AL178:AL180)</f>
        <v>0</v>
      </c>
      <c r="AM181" s="92">
        <f>SUM(AM178:AM180)</f>
        <v>0</v>
      </c>
      <c r="AN181" s="92">
        <f t="shared" ref="AN181:AP181" si="475">SUM(AN178:AN180)</f>
        <v>0</v>
      </c>
      <c r="AO181" s="92">
        <f t="shared" si="475"/>
        <v>0</v>
      </c>
      <c r="AP181" s="92">
        <f t="shared" si="475"/>
        <v>0</v>
      </c>
      <c r="AR181" s="92">
        <f>SUM(AR178:AR180)</f>
        <v>18168.150000000001</v>
      </c>
      <c r="AS181" s="92">
        <f>SUM(AS178:AS180)</f>
        <v>0</v>
      </c>
      <c r="AT181" s="92">
        <f t="shared" ref="AT181:AV181" si="476">SUM(AT178:AT180)</f>
        <v>0</v>
      </c>
      <c r="AU181" s="92">
        <f t="shared" si="476"/>
        <v>0</v>
      </c>
      <c r="AV181" s="92">
        <f t="shared" si="476"/>
        <v>18168.150000000001</v>
      </c>
      <c r="AX181" s="92">
        <f>SUM(AX178:AX180)</f>
        <v>370527.85156800004</v>
      </c>
      <c r="AY181" s="92">
        <f>SUM(AY178:AY180)</f>
        <v>0</v>
      </c>
      <c r="AZ181" s="92">
        <f t="shared" ref="AZ181:BB181" si="477">SUM(AZ178:AZ180)</f>
        <v>0</v>
      </c>
      <c r="BA181" s="92">
        <f t="shared" si="477"/>
        <v>0</v>
      </c>
      <c r="BB181" s="92">
        <f t="shared" si="477"/>
        <v>370527.85156800004</v>
      </c>
    </row>
    <row r="182" spans="1:54" x14ac:dyDescent="0.25">
      <c r="A182" s="101" t="s">
        <v>153</v>
      </c>
      <c r="B182" s="96" t="str">
        <f>B1</f>
        <v>Operating</v>
      </c>
      <c r="C182" s="96" t="str">
        <f>C1</f>
        <v>Weights</v>
      </c>
      <c r="D182" s="96" t="str">
        <f>D1</f>
        <v>SPED</v>
      </c>
      <c r="E182" s="96" t="str">
        <f>E1</f>
        <v>NSLP</v>
      </c>
      <c r="F182" s="96" t="str">
        <f>F1</f>
        <v>Horizon</v>
      </c>
      <c r="H182" s="96" t="str">
        <f>H1</f>
        <v>Operating</v>
      </c>
      <c r="I182" s="96" t="str">
        <f>I1</f>
        <v>Weights</v>
      </c>
      <c r="J182" s="96" t="str">
        <f>J1</f>
        <v>SPED</v>
      </c>
      <c r="K182" s="96" t="str">
        <f>K1</f>
        <v>NSLP</v>
      </c>
      <c r="L182" s="96" t="str">
        <f>L1</f>
        <v>Cadence</v>
      </c>
      <c r="N182" s="96" t="str">
        <f>N1</f>
        <v>Operating</v>
      </c>
      <c r="O182" s="96" t="str">
        <f>O1</f>
        <v>Weights</v>
      </c>
      <c r="P182" s="96" t="str">
        <f>P1</f>
        <v>SPED</v>
      </c>
      <c r="Q182" s="96" t="str">
        <f>Q1</f>
        <v>NSLP</v>
      </c>
      <c r="R182" s="96" t="str">
        <f>R1</f>
        <v>St. Rose</v>
      </c>
      <c r="T182" s="96" t="str">
        <f>T1</f>
        <v>Operating</v>
      </c>
      <c r="U182" s="96" t="str">
        <f>U1</f>
        <v>Weights</v>
      </c>
      <c r="V182" s="96" t="str">
        <f>V1</f>
        <v>SPED</v>
      </c>
      <c r="W182" s="96" t="str">
        <f>W1</f>
        <v>NSLP</v>
      </c>
      <c r="X182" s="96" t="str">
        <f>X1</f>
        <v>Inspirada</v>
      </c>
      <c r="Z182" s="96" t="str">
        <f>Z1</f>
        <v>Operating</v>
      </c>
      <c r="AA182" s="96" t="str">
        <f>AA1</f>
        <v>Weights</v>
      </c>
      <c r="AB182" s="96" t="str">
        <f>AB1</f>
        <v>SPED</v>
      </c>
      <c r="AC182" s="96" t="str">
        <f>AC1</f>
        <v>NSLP</v>
      </c>
      <c r="AD182" s="96" t="str">
        <f>AD1</f>
        <v>Sloan Canyon</v>
      </c>
      <c r="AF182" s="96" t="str">
        <f>AF1</f>
        <v>Operating</v>
      </c>
      <c r="AG182" s="96" t="str">
        <f>AG1</f>
        <v>Weights</v>
      </c>
      <c r="AH182" s="96" t="str">
        <f>AH1</f>
        <v>SPED</v>
      </c>
      <c r="AI182" s="96" t="str">
        <f>AI1</f>
        <v>NSLP</v>
      </c>
      <c r="AJ182" s="96" t="str">
        <f>AJ1</f>
        <v>Springs</v>
      </c>
      <c r="AL182" s="96" t="str">
        <f>AL1</f>
        <v>Operating</v>
      </c>
      <c r="AM182" s="96" t="str">
        <f>AM1</f>
        <v>Weights</v>
      </c>
      <c r="AN182" s="96" t="str">
        <f>AN1</f>
        <v>SPED</v>
      </c>
      <c r="AO182" s="96" t="str">
        <f>AO1</f>
        <v>NSLP</v>
      </c>
      <c r="AP182" s="96" t="str">
        <f>AP1</f>
        <v>System Wide</v>
      </c>
      <c r="AR182" s="96" t="str">
        <f>AR1</f>
        <v>Operating</v>
      </c>
      <c r="AS182" s="96" t="str">
        <f>AS1</f>
        <v>Weights</v>
      </c>
      <c r="AT182" s="96" t="str">
        <f>AT1</f>
        <v>SPED</v>
      </c>
      <c r="AU182" s="96" t="str">
        <f>AU1</f>
        <v>NSLP</v>
      </c>
      <c r="AV182" s="96" t="str">
        <f>AV1</f>
        <v>Virtual</v>
      </c>
      <c r="AX182" s="96" t="str">
        <f>AX1</f>
        <v>Operating</v>
      </c>
      <c r="AY182" s="96" t="str">
        <f>AY1</f>
        <v>Weights</v>
      </c>
      <c r="AZ182" s="96" t="str">
        <f>AZ1</f>
        <v>SPED</v>
      </c>
      <c r="BA182" s="96" t="str">
        <f>BA1</f>
        <v>NSLP</v>
      </c>
      <c r="BB182" s="96" t="str">
        <f>BB1</f>
        <v>Pinecrest System</v>
      </c>
    </row>
    <row r="183" spans="1:54" x14ac:dyDescent="0.25">
      <c r="A183" s="62" t="s">
        <v>154</v>
      </c>
      <c r="B183" s="14">
        <f>(($C$19*B25)*3.56*180)</f>
        <v>0</v>
      </c>
      <c r="C183" s="142"/>
      <c r="D183" s="142"/>
      <c r="E183" s="14">
        <f>((B19*E25)*3.15*180)+1200</f>
        <v>202870.56</v>
      </c>
      <c r="F183" s="14">
        <f t="shared" ref="F183:F191" si="478">SUM(B183:E183)</f>
        <v>202870.56</v>
      </c>
      <c r="H183" s="14">
        <f>(($C$19*H25)*3.56*180)</f>
        <v>0</v>
      </c>
      <c r="I183" s="142"/>
      <c r="J183" s="142"/>
      <c r="K183" s="14">
        <f>((H19*K25)*3.1*180)+1200</f>
        <v>548932.80000000005</v>
      </c>
      <c r="L183" s="14">
        <f t="shared" ref="L183:L191" si="479">SUM(H183:K183)</f>
        <v>548932.80000000005</v>
      </c>
      <c r="N183" s="14">
        <f>(($C$19*N25)*3.56*180)</f>
        <v>0</v>
      </c>
      <c r="O183" s="142"/>
      <c r="P183" s="142"/>
      <c r="Q183" s="14">
        <f>((N19*Q25)*3.1*180)+1200</f>
        <v>171278.40000000002</v>
      </c>
      <c r="R183" s="14">
        <f t="shared" ref="R183:R191" si="480">SUM(N183:Q183)</f>
        <v>171278.40000000002</v>
      </c>
      <c r="T183" s="14">
        <f>(($C$19*T25)*3.56*180)</f>
        <v>0</v>
      </c>
      <c r="U183" s="142"/>
      <c r="V183" s="142"/>
      <c r="W183" s="14">
        <f>((T19*W25)*3.1*180)+1200</f>
        <v>102895.5</v>
      </c>
      <c r="X183" s="14">
        <f t="shared" ref="X183:X191" si="481">SUM(T183:W183)</f>
        <v>102895.5</v>
      </c>
      <c r="Z183" s="14">
        <f>(($C$19*Z25)*3.56*180)</f>
        <v>0</v>
      </c>
      <c r="AA183" s="142"/>
      <c r="AB183" s="142"/>
      <c r="AC183" s="14">
        <f>((Z19*AC25)*3.1*180)+1200</f>
        <v>326491.67999999993</v>
      </c>
      <c r="AD183" s="14">
        <f t="shared" ref="AD183:AD191" si="482">SUM(Z183:AC183)</f>
        <v>326491.67999999993</v>
      </c>
      <c r="AF183" s="14">
        <f>(($C$19*AF25)*3.56*180)</f>
        <v>0</v>
      </c>
      <c r="AG183" s="142"/>
      <c r="AH183" s="142"/>
      <c r="AI183" s="360">
        <f>((AF19*AI25)*3.3*180)+1200</f>
        <v>411772.8</v>
      </c>
      <c r="AJ183" s="14">
        <f t="shared" ref="AJ183:AJ191" si="483">SUM(AF183:AI183)</f>
        <v>411772.8</v>
      </c>
      <c r="AL183" s="14">
        <v>0</v>
      </c>
      <c r="AM183" s="142"/>
      <c r="AN183" s="142"/>
      <c r="AO183" s="14">
        <v>0</v>
      </c>
      <c r="AP183" s="14">
        <f t="shared" ref="AP183:AP191" si="484">SUM(AL183:AO183)</f>
        <v>0</v>
      </c>
      <c r="AR183" s="14">
        <f>(($C$19*AR25)*3.56*180)</f>
        <v>0</v>
      </c>
      <c r="AS183" s="142"/>
      <c r="AT183" s="142"/>
      <c r="AU183" s="14">
        <f>(AR19*AU25)*3.2*180+3700</f>
        <v>93556.000000000015</v>
      </c>
      <c r="AV183" s="14">
        <f t="shared" ref="AV183:AV191" si="485">SUM(AR183:AU183)</f>
        <v>93556.000000000015</v>
      </c>
      <c r="AX183" s="7">
        <f>B183+H183+N183+T183+Z183+AF183+AL183+AR183</f>
        <v>0</v>
      </c>
      <c r="AY183" s="7">
        <f t="shared" ref="AY183:BA191" si="486">C183+I183+O183+U183+AA183+AG183+AM183+AS183</f>
        <v>0</v>
      </c>
      <c r="AZ183" s="7">
        <f t="shared" si="486"/>
        <v>0</v>
      </c>
      <c r="BA183" s="7">
        <f t="shared" si="486"/>
        <v>1857797.74</v>
      </c>
      <c r="BB183" s="14">
        <f t="shared" ref="BB183:BB191" si="487">SUM(AX183:BA183)</f>
        <v>1857797.74</v>
      </c>
    </row>
    <row r="184" spans="1:54" x14ac:dyDescent="0.25">
      <c r="A184" s="62" t="s">
        <v>155</v>
      </c>
      <c r="B184" s="7">
        <v>5000</v>
      </c>
      <c r="C184" s="7"/>
      <c r="D184" s="7"/>
      <c r="E184" s="7"/>
      <c r="F184" s="14">
        <f t="shared" si="478"/>
        <v>5000</v>
      </c>
      <c r="H184" s="7">
        <v>5000</v>
      </c>
      <c r="I184" s="7"/>
      <c r="J184" s="7"/>
      <c r="K184" s="7"/>
      <c r="L184" s="14">
        <f t="shared" si="479"/>
        <v>5000</v>
      </c>
      <c r="N184" s="7">
        <v>5000</v>
      </c>
      <c r="O184" s="7"/>
      <c r="P184" s="7"/>
      <c r="Q184" s="7"/>
      <c r="R184" s="14">
        <f t="shared" si="480"/>
        <v>5000</v>
      </c>
      <c r="T184" s="7">
        <v>5000</v>
      </c>
      <c r="U184" s="7"/>
      <c r="V184" s="7"/>
      <c r="W184" s="7"/>
      <c r="X184" s="14">
        <f t="shared" si="481"/>
        <v>5000</v>
      </c>
      <c r="Z184" s="7">
        <v>5000</v>
      </c>
      <c r="AA184" s="7"/>
      <c r="AB184" s="7"/>
      <c r="AC184" s="7"/>
      <c r="AD184" s="14">
        <f t="shared" si="482"/>
        <v>5000</v>
      </c>
      <c r="AF184" s="7">
        <v>5000</v>
      </c>
      <c r="AG184" s="7"/>
      <c r="AH184" s="7"/>
      <c r="AI184" s="7"/>
      <c r="AJ184" s="14">
        <f t="shared" si="483"/>
        <v>5000</v>
      </c>
      <c r="AL184" s="14">
        <v>0</v>
      </c>
      <c r="AM184" s="7"/>
      <c r="AN184" s="7"/>
      <c r="AO184" s="7"/>
      <c r="AP184" s="14">
        <f t="shared" si="484"/>
        <v>0</v>
      </c>
      <c r="AR184" s="7">
        <v>1000</v>
      </c>
      <c r="AS184" s="7"/>
      <c r="AT184" s="7"/>
      <c r="AU184" s="7"/>
      <c r="AV184" s="14">
        <f t="shared" si="485"/>
        <v>1000</v>
      </c>
      <c r="AX184" s="7">
        <f t="shared" ref="AX184:AX191" si="488">B184+H184+N184+T184+Z184+AF184+AL184+AR184</f>
        <v>31000</v>
      </c>
      <c r="AY184" s="7">
        <f t="shared" si="486"/>
        <v>0</v>
      </c>
      <c r="AZ184" s="7">
        <f t="shared" si="486"/>
        <v>0</v>
      </c>
      <c r="BA184" s="7">
        <f t="shared" si="486"/>
        <v>0</v>
      </c>
      <c r="BB184" s="14">
        <f t="shared" si="487"/>
        <v>31000</v>
      </c>
    </row>
    <row r="185" spans="1:54" x14ac:dyDescent="0.25">
      <c r="A185" s="62" t="s">
        <v>156</v>
      </c>
      <c r="B185" s="7">
        <v>2000</v>
      </c>
      <c r="C185" s="7"/>
      <c r="D185" s="7"/>
      <c r="E185" s="7"/>
      <c r="F185" s="14">
        <f t="shared" si="478"/>
        <v>2000</v>
      </c>
      <c r="H185" s="7">
        <v>3000</v>
      </c>
      <c r="I185" s="7"/>
      <c r="J185" s="7"/>
      <c r="K185" s="7"/>
      <c r="L185" s="14">
        <f t="shared" si="479"/>
        <v>3000</v>
      </c>
      <c r="N185" s="7">
        <v>2100</v>
      </c>
      <c r="O185" s="7"/>
      <c r="P185" s="7"/>
      <c r="Q185" s="7"/>
      <c r="R185" s="14">
        <f t="shared" si="480"/>
        <v>2100</v>
      </c>
      <c r="T185" s="7">
        <v>2100</v>
      </c>
      <c r="U185" s="7"/>
      <c r="V185" s="7"/>
      <c r="W185" s="7"/>
      <c r="X185" s="14">
        <f t="shared" si="481"/>
        <v>2100</v>
      </c>
      <c r="Z185" s="7">
        <v>3000</v>
      </c>
      <c r="AA185" s="7"/>
      <c r="AB185" s="7"/>
      <c r="AC185" s="7"/>
      <c r="AD185" s="14">
        <f t="shared" si="482"/>
        <v>3000</v>
      </c>
      <c r="AF185" s="7">
        <v>3000</v>
      </c>
      <c r="AG185" s="7"/>
      <c r="AH185" s="7"/>
      <c r="AI185" s="7"/>
      <c r="AJ185" s="14">
        <f t="shared" si="483"/>
        <v>3000</v>
      </c>
      <c r="AL185" s="14">
        <v>0</v>
      </c>
      <c r="AM185" s="7"/>
      <c r="AN185" s="7"/>
      <c r="AO185" s="7"/>
      <c r="AP185" s="14">
        <f t="shared" si="484"/>
        <v>0</v>
      </c>
      <c r="AR185" s="7">
        <v>0</v>
      </c>
      <c r="AS185" s="7"/>
      <c r="AT185" s="7"/>
      <c r="AU185" s="7"/>
      <c r="AV185" s="14">
        <f t="shared" si="485"/>
        <v>0</v>
      </c>
      <c r="AX185" s="7">
        <f t="shared" si="488"/>
        <v>15200</v>
      </c>
      <c r="AY185" s="7">
        <f t="shared" si="486"/>
        <v>0</v>
      </c>
      <c r="AZ185" s="7">
        <f t="shared" si="486"/>
        <v>0</v>
      </c>
      <c r="BA185" s="7">
        <f t="shared" si="486"/>
        <v>0</v>
      </c>
      <c r="BB185" s="14">
        <f t="shared" si="487"/>
        <v>15200</v>
      </c>
    </row>
    <row r="186" spans="1:54" x14ac:dyDescent="0.25">
      <c r="A186" s="62" t="s">
        <v>157</v>
      </c>
      <c r="B186" s="7">
        <v>540</v>
      </c>
      <c r="C186" s="7"/>
      <c r="D186" s="7"/>
      <c r="E186" s="7"/>
      <c r="F186" s="14">
        <f t="shared" si="478"/>
        <v>540</v>
      </c>
      <c r="H186" s="7">
        <v>1350</v>
      </c>
      <c r="I186" s="7"/>
      <c r="J186" s="7"/>
      <c r="K186" s="7"/>
      <c r="L186" s="14">
        <f t="shared" si="479"/>
        <v>1350</v>
      </c>
      <c r="N186" s="7">
        <v>900</v>
      </c>
      <c r="O186" s="7"/>
      <c r="P186" s="7"/>
      <c r="Q186" s="7"/>
      <c r="R186" s="14">
        <f t="shared" si="480"/>
        <v>900</v>
      </c>
      <c r="T186" s="7">
        <v>900</v>
      </c>
      <c r="U186" s="7"/>
      <c r="V186" s="7"/>
      <c r="W186" s="7"/>
      <c r="X186" s="14">
        <f t="shared" si="481"/>
        <v>900</v>
      </c>
      <c r="Z186" s="7">
        <v>1350</v>
      </c>
      <c r="AA186" s="7"/>
      <c r="AB186" s="7"/>
      <c r="AC186" s="7"/>
      <c r="AD186" s="14">
        <f t="shared" si="482"/>
        <v>1350</v>
      </c>
      <c r="AF186" s="7">
        <v>1350</v>
      </c>
      <c r="AG186" s="7"/>
      <c r="AH186" s="7"/>
      <c r="AI186" s="7"/>
      <c r="AJ186" s="14">
        <f t="shared" si="483"/>
        <v>1350</v>
      </c>
      <c r="AL186" s="14">
        <v>0</v>
      </c>
      <c r="AM186" s="7"/>
      <c r="AN186" s="7"/>
      <c r="AO186" s="7"/>
      <c r="AP186" s="14">
        <f t="shared" si="484"/>
        <v>0</v>
      </c>
      <c r="AR186" s="7">
        <f>60*10</f>
        <v>600</v>
      </c>
      <c r="AS186" s="7"/>
      <c r="AT186" s="7"/>
      <c r="AU186" s="7"/>
      <c r="AV186" s="14">
        <f t="shared" si="485"/>
        <v>600</v>
      </c>
      <c r="AX186" s="7">
        <f t="shared" si="488"/>
        <v>6990</v>
      </c>
      <c r="AY186" s="7">
        <f t="shared" si="486"/>
        <v>0</v>
      </c>
      <c r="AZ186" s="7">
        <f t="shared" si="486"/>
        <v>0</v>
      </c>
      <c r="BA186" s="7">
        <f t="shared" si="486"/>
        <v>0</v>
      </c>
      <c r="BB186" s="14">
        <f t="shared" si="487"/>
        <v>6990</v>
      </c>
    </row>
    <row r="187" spans="1:54" x14ac:dyDescent="0.25">
      <c r="A187" s="62" t="s">
        <v>158</v>
      </c>
      <c r="B187" s="15">
        <v>12700</v>
      </c>
      <c r="C187" s="15"/>
      <c r="D187" s="15"/>
      <c r="E187" s="15"/>
      <c r="F187" s="14">
        <f t="shared" si="478"/>
        <v>12700</v>
      </c>
      <c r="H187" s="15">
        <v>12000</v>
      </c>
      <c r="I187" s="15"/>
      <c r="J187" s="15"/>
      <c r="K187" s="15"/>
      <c r="L187" s="14">
        <f t="shared" si="479"/>
        <v>12000</v>
      </c>
      <c r="N187" s="15">
        <v>12000</v>
      </c>
      <c r="O187" s="15"/>
      <c r="P187" s="15"/>
      <c r="Q187" s="15"/>
      <c r="R187" s="14">
        <f t="shared" si="480"/>
        <v>12000</v>
      </c>
      <c r="T187" s="15">
        <v>12000</v>
      </c>
      <c r="U187" s="15"/>
      <c r="V187" s="15"/>
      <c r="W187" s="15"/>
      <c r="X187" s="14">
        <f t="shared" si="481"/>
        <v>12000</v>
      </c>
      <c r="Z187" s="15">
        <v>12000</v>
      </c>
      <c r="AA187" s="15"/>
      <c r="AB187" s="15"/>
      <c r="AC187" s="15"/>
      <c r="AD187" s="14">
        <f t="shared" si="482"/>
        <v>12000</v>
      </c>
      <c r="AF187" s="15">
        <v>12000</v>
      </c>
      <c r="AG187" s="15"/>
      <c r="AH187" s="15"/>
      <c r="AI187" s="15"/>
      <c r="AJ187" s="14">
        <f t="shared" si="483"/>
        <v>12000</v>
      </c>
      <c r="AL187" s="14">
        <v>0</v>
      </c>
      <c r="AM187" s="15"/>
      <c r="AN187" s="15"/>
      <c r="AO187" s="15"/>
      <c r="AP187" s="14">
        <f t="shared" si="484"/>
        <v>0</v>
      </c>
      <c r="AR187" s="15">
        <v>10000</v>
      </c>
      <c r="AS187" s="15"/>
      <c r="AT187" s="15"/>
      <c r="AU187" s="15"/>
      <c r="AV187" s="14">
        <f t="shared" si="485"/>
        <v>10000</v>
      </c>
      <c r="AX187" s="7">
        <f t="shared" si="488"/>
        <v>82700</v>
      </c>
      <c r="AY187" s="7">
        <f t="shared" si="486"/>
        <v>0</v>
      </c>
      <c r="AZ187" s="7">
        <f t="shared" si="486"/>
        <v>0</v>
      </c>
      <c r="BA187" s="7">
        <f t="shared" si="486"/>
        <v>0</v>
      </c>
      <c r="BB187" s="14">
        <f t="shared" si="487"/>
        <v>82700</v>
      </c>
    </row>
    <row r="188" spans="1:54" x14ac:dyDescent="0.25">
      <c r="A188" s="62" t="s">
        <v>159</v>
      </c>
      <c r="B188" s="15">
        <v>0</v>
      </c>
      <c r="C188" s="148"/>
      <c r="D188" s="148"/>
      <c r="E188" s="148"/>
      <c r="F188" s="14">
        <f t="shared" si="478"/>
        <v>0</v>
      </c>
      <c r="H188" s="15">
        <v>0</v>
      </c>
      <c r="I188" s="148"/>
      <c r="J188" s="148"/>
      <c r="K188" s="148"/>
      <c r="L188" s="14">
        <f t="shared" si="479"/>
        <v>0</v>
      </c>
      <c r="N188" s="15">
        <v>0</v>
      </c>
      <c r="O188" s="148"/>
      <c r="P188" s="148"/>
      <c r="Q188" s="148"/>
      <c r="R188" s="14">
        <f t="shared" si="480"/>
        <v>0</v>
      </c>
      <c r="T188" s="15">
        <v>0</v>
      </c>
      <c r="U188" s="148"/>
      <c r="V188" s="148"/>
      <c r="W188" s="148"/>
      <c r="X188" s="14">
        <f t="shared" si="481"/>
        <v>0</v>
      </c>
      <c r="Z188" s="15">
        <v>0</v>
      </c>
      <c r="AA188" s="148"/>
      <c r="AB188" s="148"/>
      <c r="AC188" s="148"/>
      <c r="AD188" s="14">
        <f t="shared" si="482"/>
        <v>0</v>
      </c>
      <c r="AF188" s="15">
        <v>0</v>
      </c>
      <c r="AG188" s="148"/>
      <c r="AH188" s="148"/>
      <c r="AI188" s="148"/>
      <c r="AJ188" s="14">
        <f t="shared" si="483"/>
        <v>0</v>
      </c>
      <c r="AL188" s="14">
        <v>0</v>
      </c>
      <c r="AM188" s="148"/>
      <c r="AN188" s="148"/>
      <c r="AO188" s="148"/>
      <c r="AP188" s="14">
        <f t="shared" si="484"/>
        <v>0</v>
      </c>
      <c r="AR188" s="15">
        <v>0</v>
      </c>
      <c r="AS188" s="148"/>
      <c r="AT188" s="148"/>
      <c r="AU188" s="148"/>
      <c r="AV188" s="14">
        <f t="shared" si="485"/>
        <v>0</v>
      </c>
      <c r="AX188" s="7">
        <f t="shared" si="488"/>
        <v>0</v>
      </c>
      <c r="AY188" s="7">
        <f t="shared" si="486"/>
        <v>0</v>
      </c>
      <c r="AZ188" s="7">
        <f t="shared" si="486"/>
        <v>0</v>
      </c>
      <c r="BA188" s="7">
        <f t="shared" si="486"/>
        <v>0</v>
      </c>
      <c r="BB188" s="14">
        <f t="shared" si="487"/>
        <v>0</v>
      </c>
    </row>
    <row r="189" spans="1:54" x14ac:dyDescent="0.25">
      <c r="A189" s="62" t="s">
        <v>160</v>
      </c>
      <c r="B189" s="15">
        <v>0</v>
      </c>
      <c r="C189" s="15"/>
      <c r="D189" s="15"/>
      <c r="E189" s="15"/>
      <c r="F189" s="14">
        <f t="shared" si="478"/>
        <v>0</v>
      </c>
      <c r="H189" s="15">
        <v>0</v>
      </c>
      <c r="I189" s="15"/>
      <c r="J189" s="15"/>
      <c r="K189" s="15"/>
      <c r="L189" s="14">
        <f t="shared" si="479"/>
        <v>0</v>
      </c>
      <c r="N189" s="15">
        <v>0</v>
      </c>
      <c r="O189" s="15"/>
      <c r="P189" s="15"/>
      <c r="Q189" s="15"/>
      <c r="R189" s="14">
        <f t="shared" si="480"/>
        <v>0</v>
      </c>
      <c r="T189" s="15">
        <v>0</v>
      </c>
      <c r="U189" s="15"/>
      <c r="V189" s="15"/>
      <c r="W189" s="15"/>
      <c r="X189" s="14">
        <f t="shared" si="481"/>
        <v>0</v>
      </c>
      <c r="Z189" s="15">
        <v>0</v>
      </c>
      <c r="AA189" s="15"/>
      <c r="AB189" s="15"/>
      <c r="AC189" s="15"/>
      <c r="AD189" s="14">
        <f t="shared" si="482"/>
        <v>0</v>
      </c>
      <c r="AF189" s="15">
        <v>0</v>
      </c>
      <c r="AG189" s="15"/>
      <c r="AH189" s="15"/>
      <c r="AI189" s="15"/>
      <c r="AJ189" s="14">
        <f t="shared" si="483"/>
        <v>0</v>
      </c>
      <c r="AL189" s="14">
        <v>0</v>
      </c>
      <c r="AM189" s="15"/>
      <c r="AN189" s="15"/>
      <c r="AO189" s="15"/>
      <c r="AP189" s="14">
        <f t="shared" si="484"/>
        <v>0</v>
      </c>
      <c r="AR189" s="15">
        <v>0</v>
      </c>
      <c r="AS189" s="15"/>
      <c r="AT189" s="15"/>
      <c r="AU189" s="15"/>
      <c r="AV189" s="14">
        <f t="shared" si="485"/>
        <v>0</v>
      </c>
      <c r="AX189" s="7">
        <f t="shared" si="488"/>
        <v>0</v>
      </c>
      <c r="AY189" s="7">
        <f t="shared" si="486"/>
        <v>0</v>
      </c>
      <c r="AZ189" s="7">
        <f t="shared" si="486"/>
        <v>0</v>
      </c>
      <c r="BA189" s="7">
        <f t="shared" si="486"/>
        <v>0</v>
      </c>
      <c r="BB189" s="14">
        <f t="shared" si="487"/>
        <v>0</v>
      </c>
    </row>
    <row r="190" spans="1:54" x14ac:dyDescent="0.25">
      <c r="A190" s="62" t="s">
        <v>161</v>
      </c>
      <c r="B190" s="15">
        <v>0</v>
      </c>
      <c r="C190" s="15"/>
      <c r="D190" s="15"/>
      <c r="E190" s="15"/>
      <c r="F190" s="14">
        <f t="shared" si="478"/>
        <v>0</v>
      </c>
      <c r="H190" s="15">
        <f>'FY26'!H190+1000</f>
        <v>19000</v>
      </c>
      <c r="I190" s="15"/>
      <c r="J190" s="15"/>
      <c r="K190" s="15"/>
      <c r="L190" s="14">
        <f t="shared" si="479"/>
        <v>19000</v>
      </c>
      <c r="N190" s="15">
        <v>0</v>
      </c>
      <c r="O190" s="15"/>
      <c r="P190" s="15"/>
      <c r="Q190" s="15"/>
      <c r="R190" s="14">
        <f t="shared" si="480"/>
        <v>0</v>
      </c>
      <c r="T190" s="15">
        <v>0</v>
      </c>
      <c r="U190" s="15"/>
      <c r="V190" s="15"/>
      <c r="W190" s="15"/>
      <c r="X190" s="14">
        <f t="shared" si="481"/>
        <v>0</v>
      </c>
      <c r="Z190" s="15">
        <f>'FY26'!Z190+1000</f>
        <v>19000</v>
      </c>
      <c r="AA190" s="15"/>
      <c r="AB190" s="15"/>
      <c r="AC190" s="15"/>
      <c r="AD190" s="14">
        <f t="shared" si="482"/>
        <v>19000</v>
      </c>
      <c r="AF190" s="7">
        <v>0</v>
      </c>
      <c r="AG190" s="15"/>
      <c r="AH190" s="15"/>
      <c r="AI190" s="15"/>
      <c r="AJ190" s="14">
        <f t="shared" si="483"/>
        <v>0</v>
      </c>
      <c r="AL190" s="14">
        <v>0</v>
      </c>
      <c r="AM190" s="15"/>
      <c r="AN190" s="15"/>
      <c r="AO190" s="15"/>
      <c r="AP190" s="14">
        <f t="shared" si="484"/>
        <v>0</v>
      </c>
      <c r="AR190" s="15">
        <v>0</v>
      </c>
      <c r="AS190" s="15"/>
      <c r="AT190" s="15"/>
      <c r="AU190" s="15"/>
      <c r="AV190" s="14">
        <f t="shared" si="485"/>
        <v>0</v>
      </c>
      <c r="AX190" s="7">
        <f t="shared" si="488"/>
        <v>38000</v>
      </c>
      <c r="AY190" s="7">
        <f t="shared" si="486"/>
        <v>0</v>
      </c>
      <c r="AZ190" s="7">
        <f t="shared" si="486"/>
        <v>0</v>
      </c>
      <c r="BA190" s="7">
        <f t="shared" si="486"/>
        <v>0</v>
      </c>
      <c r="BB190" s="14">
        <f t="shared" si="487"/>
        <v>38000</v>
      </c>
    </row>
    <row r="191" spans="1:54" ht="15.75" thickBot="1" x14ac:dyDescent="0.3">
      <c r="A191" s="62" t="s">
        <v>162</v>
      </c>
      <c r="B191" s="7">
        <v>1000</v>
      </c>
      <c r="C191" s="7"/>
      <c r="D191" s="7"/>
      <c r="E191" s="7"/>
      <c r="F191" s="14">
        <f t="shared" si="478"/>
        <v>1000</v>
      </c>
      <c r="H191" s="7">
        <v>3000</v>
      </c>
      <c r="I191" s="7"/>
      <c r="J191" s="7"/>
      <c r="K191" s="7"/>
      <c r="L191" s="14">
        <f t="shared" si="479"/>
        <v>3000</v>
      </c>
      <c r="N191" s="7">
        <v>2000</v>
      </c>
      <c r="O191" s="7"/>
      <c r="P191" s="7"/>
      <c r="Q191" s="7"/>
      <c r="R191" s="14">
        <f t="shared" si="480"/>
        <v>2000</v>
      </c>
      <c r="T191" s="7">
        <v>2000</v>
      </c>
      <c r="U191" s="7"/>
      <c r="V191" s="7"/>
      <c r="W191" s="7"/>
      <c r="X191" s="14">
        <f t="shared" si="481"/>
        <v>2000</v>
      </c>
      <c r="Z191" s="7">
        <v>2000</v>
      </c>
      <c r="AA191" s="7"/>
      <c r="AB191" s="7"/>
      <c r="AC191" s="7"/>
      <c r="AD191" s="14">
        <f t="shared" si="482"/>
        <v>2000</v>
      </c>
      <c r="AF191" s="7">
        <v>2000</v>
      </c>
      <c r="AG191" s="7"/>
      <c r="AH191" s="7"/>
      <c r="AI191" s="7"/>
      <c r="AJ191" s="14">
        <f t="shared" si="483"/>
        <v>2000</v>
      </c>
      <c r="AL191" s="14">
        <v>0</v>
      </c>
      <c r="AM191" s="7"/>
      <c r="AN191" s="7"/>
      <c r="AO191" s="7"/>
      <c r="AP191" s="14">
        <f t="shared" si="484"/>
        <v>0</v>
      </c>
      <c r="AR191" s="7">
        <v>2500</v>
      </c>
      <c r="AS191" s="7"/>
      <c r="AT191" s="7"/>
      <c r="AU191" s="7"/>
      <c r="AV191" s="14">
        <f t="shared" si="485"/>
        <v>2500</v>
      </c>
      <c r="AX191" s="7">
        <f t="shared" si="488"/>
        <v>14500</v>
      </c>
      <c r="AY191" s="7">
        <f t="shared" si="486"/>
        <v>0</v>
      </c>
      <c r="AZ191" s="7">
        <f t="shared" si="486"/>
        <v>0</v>
      </c>
      <c r="BA191" s="7">
        <f t="shared" si="486"/>
        <v>0</v>
      </c>
      <c r="BB191" s="14">
        <f t="shared" si="487"/>
        <v>14500</v>
      </c>
    </row>
    <row r="192" spans="1:54" ht="15.75" thickBot="1" x14ac:dyDescent="0.3">
      <c r="A192" s="95" t="s">
        <v>163</v>
      </c>
      <c r="B192" s="92">
        <f>SUM(B183:B191)</f>
        <v>21240</v>
      </c>
      <c r="C192" s="92">
        <f>SUM(C183:C191)</f>
        <v>0</v>
      </c>
      <c r="D192" s="92">
        <f t="shared" ref="D192:F192" si="489">SUM(D183:D191)</f>
        <v>0</v>
      </c>
      <c r="E192" s="92">
        <f t="shared" si="489"/>
        <v>202870.56</v>
      </c>
      <c r="F192" s="92">
        <f t="shared" si="489"/>
        <v>224110.56</v>
      </c>
      <c r="H192" s="92">
        <f>SUM(H183:H191)</f>
        <v>43350</v>
      </c>
      <c r="I192" s="92">
        <f>SUM(I183:I191)</f>
        <v>0</v>
      </c>
      <c r="J192" s="92">
        <f t="shared" ref="J192:L192" si="490">SUM(J183:J191)</f>
        <v>0</v>
      </c>
      <c r="K192" s="92">
        <f t="shared" si="490"/>
        <v>548932.80000000005</v>
      </c>
      <c r="L192" s="92">
        <f t="shared" si="490"/>
        <v>592282.80000000005</v>
      </c>
      <c r="N192" s="92">
        <f>SUM(N183:N191)</f>
        <v>22000</v>
      </c>
      <c r="O192" s="92">
        <f>SUM(O183:O191)</f>
        <v>0</v>
      </c>
      <c r="P192" s="92">
        <f t="shared" ref="P192:R192" si="491">SUM(P183:P191)</f>
        <v>0</v>
      </c>
      <c r="Q192" s="92">
        <f t="shared" si="491"/>
        <v>171278.40000000002</v>
      </c>
      <c r="R192" s="92">
        <f t="shared" si="491"/>
        <v>193278.40000000002</v>
      </c>
      <c r="T192" s="92">
        <f>SUM(T183:T191)</f>
        <v>22000</v>
      </c>
      <c r="U192" s="92">
        <f>SUM(U183:U191)</f>
        <v>0</v>
      </c>
      <c r="V192" s="92">
        <f t="shared" ref="V192:X192" si="492">SUM(V183:V191)</f>
        <v>0</v>
      </c>
      <c r="W192" s="92">
        <f t="shared" si="492"/>
        <v>102895.5</v>
      </c>
      <c r="X192" s="92">
        <f t="shared" si="492"/>
        <v>124895.5</v>
      </c>
      <c r="Z192" s="92">
        <f>SUM(Z183:Z191)</f>
        <v>42350</v>
      </c>
      <c r="AA192" s="92">
        <f>SUM(AA183:AA191)</f>
        <v>0</v>
      </c>
      <c r="AB192" s="92">
        <f t="shared" ref="AB192:AD192" si="493">SUM(AB183:AB191)</f>
        <v>0</v>
      </c>
      <c r="AC192" s="92">
        <f t="shared" si="493"/>
        <v>326491.67999999993</v>
      </c>
      <c r="AD192" s="92">
        <f t="shared" si="493"/>
        <v>368841.67999999993</v>
      </c>
      <c r="AF192" s="92">
        <f>SUM(AF183:AF191)</f>
        <v>23350</v>
      </c>
      <c r="AG192" s="92">
        <f>SUM(AG183:AG191)</f>
        <v>0</v>
      </c>
      <c r="AH192" s="92">
        <f t="shared" ref="AH192:AJ192" si="494">SUM(AH183:AH191)</f>
        <v>0</v>
      </c>
      <c r="AI192" s="92">
        <f t="shared" si="494"/>
        <v>411772.8</v>
      </c>
      <c r="AJ192" s="92">
        <f t="shared" si="494"/>
        <v>435122.8</v>
      </c>
      <c r="AL192" s="92">
        <f>SUM(AL183:AL191)</f>
        <v>0</v>
      </c>
      <c r="AM192" s="92">
        <f>SUM(AM183:AM191)</f>
        <v>0</v>
      </c>
      <c r="AN192" s="92">
        <f t="shared" ref="AN192:AP192" si="495">SUM(AN183:AN191)</f>
        <v>0</v>
      </c>
      <c r="AO192" s="92">
        <f t="shared" si="495"/>
        <v>0</v>
      </c>
      <c r="AP192" s="92">
        <f t="shared" si="495"/>
        <v>0</v>
      </c>
      <c r="AR192" s="92">
        <f>SUM(AR183:AR191)</f>
        <v>14100</v>
      </c>
      <c r="AS192" s="92">
        <f>SUM(AS183:AS191)</f>
        <v>0</v>
      </c>
      <c r="AT192" s="92">
        <f t="shared" ref="AT192:AV192" si="496">SUM(AT183:AT191)</f>
        <v>0</v>
      </c>
      <c r="AU192" s="92">
        <f t="shared" si="496"/>
        <v>93556.000000000015</v>
      </c>
      <c r="AV192" s="92">
        <f t="shared" si="496"/>
        <v>107656.00000000001</v>
      </c>
      <c r="AX192" s="92">
        <f>SUM(AX183:AX191)</f>
        <v>188390</v>
      </c>
      <c r="AY192" s="92">
        <f>SUM(AY183:AY191)</f>
        <v>0</v>
      </c>
      <c r="AZ192" s="92">
        <f t="shared" ref="AZ192:BB192" si="497">SUM(AZ183:AZ191)</f>
        <v>0</v>
      </c>
      <c r="BA192" s="92">
        <f t="shared" si="497"/>
        <v>1857797.74</v>
      </c>
      <c r="BB192" s="92">
        <f t="shared" si="497"/>
        <v>2046187.74</v>
      </c>
    </row>
    <row r="193" spans="1:54" x14ac:dyDescent="0.25">
      <c r="A193" s="101" t="s">
        <v>164</v>
      </c>
      <c r="B193" s="77" t="str">
        <f>B182</f>
        <v>Operating</v>
      </c>
      <c r="C193" s="77" t="str">
        <f>C182</f>
        <v>Weights</v>
      </c>
      <c r="D193" s="77" t="str">
        <f>D182</f>
        <v>SPED</v>
      </c>
      <c r="E193" s="77" t="str">
        <f t="shared" ref="E193:F193" si="498">E182</f>
        <v>NSLP</v>
      </c>
      <c r="F193" s="77" t="str">
        <f t="shared" si="498"/>
        <v>Horizon</v>
      </c>
      <c r="H193" s="77" t="str">
        <f>H182</f>
        <v>Operating</v>
      </c>
      <c r="I193" s="77" t="str">
        <f>I182</f>
        <v>Weights</v>
      </c>
      <c r="J193" s="77" t="str">
        <f>J182</f>
        <v>SPED</v>
      </c>
      <c r="K193" s="77" t="str">
        <f t="shared" ref="K193:L193" si="499">K182</f>
        <v>NSLP</v>
      </c>
      <c r="L193" s="77" t="str">
        <f t="shared" si="499"/>
        <v>Cadence</v>
      </c>
      <c r="N193" s="77" t="str">
        <f>N182</f>
        <v>Operating</v>
      </c>
      <c r="O193" s="77" t="str">
        <f>O182</f>
        <v>Weights</v>
      </c>
      <c r="P193" s="77" t="str">
        <f>P182</f>
        <v>SPED</v>
      </c>
      <c r="Q193" s="77" t="str">
        <f t="shared" ref="Q193:R193" si="500">Q182</f>
        <v>NSLP</v>
      </c>
      <c r="R193" s="77" t="str">
        <f t="shared" si="500"/>
        <v>St. Rose</v>
      </c>
      <c r="T193" s="77" t="str">
        <f>T182</f>
        <v>Operating</v>
      </c>
      <c r="U193" s="77" t="str">
        <f>U182</f>
        <v>Weights</v>
      </c>
      <c r="V193" s="77" t="str">
        <f>V182</f>
        <v>SPED</v>
      </c>
      <c r="W193" s="77" t="str">
        <f t="shared" ref="W193:X193" si="501">W182</f>
        <v>NSLP</v>
      </c>
      <c r="X193" s="77" t="str">
        <f t="shared" si="501"/>
        <v>Inspirada</v>
      </c>
      <c r="Z193" s="77" t="str">
        <f>Z182</f>
        <v>Operating</v>
      </c>
      <c r="AA193" s="77" t="str">
        <f>AA182</f>
        <v>Weights</v>
      </c>
      <c r="AB193" s="77" t="str">
        <f>AB182</f>
        <v>SPED</v>
      </c>
      <c r="AC193" s="77" t="str">
        <f t="shared" ref="AC193:AD193" si="502">AC182</f>
        <v>NSLP</v>
      </c>
      <c r="AD193" s="77" t="str">
        <f t="shared" si="502"/>
        <v>Sloan Canyon</v>
      </c>
      <c r="AF193" s="77" t="str">
        <f>AF182</f>
        <v>Operating</v>
      </c>
      <c r="AG193" s="77" t="str">
        <f>AG182</f>
        <v>Weights</v>
      </c>
      <c r="AH193" s="77" t="str">
        <f>AH182</f>
        <v>SPED</v>
      </c>
      <c r="AI193" s="77" t="str">
        <f t="shared" ref="AI193:AJ193" si="503">AI182</f>
        <v>NSLP</v>
      </c>
      <c r="AJ193" s="77" t="str">
        <f t="shared" si="503"/>
        <v>Springs</v>
      </c>
      <c r="AL193" s="77" t="str">
        <f>AL182</f>
        <v>Operating</v>
      </c>
      <c r="AM193" s="77" t="str">
        <f>AM182</f>
        <v>Weights</v>
      </c>
      <c r="AN193" s="77" t="str">
        <f>AN182</f>
        <v>SPED</v>
      </c>
      <c r="AO193" s="77" t="str">
        <f t="shared" ref="AO193:AP193" si="504">AO182</f>
        <v>NSLP</v>
      </c>
      <c r="AP193" s="77" t="str">
        <f t="shared" si="504"/>
        <v>System Wide</v>
      </c>
      <c r="AR193" s="77" t="str">
        <f>AR182</f>
        <v>Operating</v>
      </c>
      <c r="AS193" s="77" t="str">
        <f>AS182</f>
        <v>Weights</v>
      </c>
      <c r="AT193" s="77" t="str">
        <f>AT182</f>
        <v>SPED</v>
      </c>
      <c r="AU193" s="77" t="str">
        <f t="shared" ref="AU193:AV193" si="505">AU182</f>
        <v>NSLP</v>
      </c>
      <c r="AV193" s="77" t="str">
        <f t="shared" si="505"/>
        <v>Virtual</v>
      </c>
      <c r="AX193" s="77" t="str">
        <f>AX182</f>
        <v>Operating</v>
      </c>
      <c r="AY193" s="77" t="str">
        <f>AY182</f>
        <v>Weights</v>
      </c>
      <c r="AZ193" s="77" t="str">
        <f>AZ182</f>
        <v>SPED</v>
      </c>
      <c r="BA193" s="77" t="str">
        <f t="shared" ref="BA193:BB193" si="506">BA182</f>
        <v>NSLP</v>
      </c>
      <c r="BB193" s="77" t="str">
        <f t="shared" si="506"/>
        <v>Pinecrest System</v>
      </c>
    </row>
    <row r="194" spans="1:54" x14ac:dyDescent="0.25">
      <c r="A194" s="62" t="s">
        <v>165</v>
      </c>
      <c r="B194" s="15">
        <f>'FY26'!B194*1.03</f>
        <v>92516.824182000011</v>
      </c>
      <c r="C194" s="61"/>
      <c r="D194" s="61"/>
      <c r="E194" s="61"/>
      <c r="F194" s="61">
        <f t="shared" ref="F194:F204" si="507">SUM(B194:E194)</f>
        <v>92516.824182000011</v>
      </c>
      <c r="H194" s="15">
        <f>'FY26'!H194*1.03</f>
        <v>240858.88534000001</v>
      </c>
      <c r="I194" s="61"/>
      <c r="J194" s="61"/>
      <c r="K194" s="61"/>
      <c r="L194" s="61">
        <f t="shared" ref="L194:L204" si="508">SUM(H194:K194)</f>
        <v>240858.88534000001</v>
      </c>
      <c r="N194" s="15">
        <f>'FY26'!N194*1.03</f>
        <v>68881.139171999996</v>
      </c>
      <c r="O194" s="61"/>
      <c r="P194" s="61"/>
      <c r="Q194" s="61"/>
      <c r="R194" s="61">
        <f t="shared" ref="R194:R204" si="509">SUM(N194:Q194)</f>
        <v>68881.139171999996</v>
      </c>
      <c r="T194" s="15">
        <f>'FY26'!T194*1.03</f>
        <v>82724.897535000026</v>
      </c>
      <c r="U194" s="61"/>
      <c r="V194" s="61"/>
      <c r="W194" s="61"/>
      <c r="X194" s="61">
        <f t="shared" ref="X194:X204" si="510">SUM(T194:W194)</f>
        <v>82724.897535000026</v>
      </c>
      <c r="Z194" s="15">
        <f>'FY26'!Z194*1.02</f>
        <v>235004.51160000003</v>
      </c>
      <c r="AA194" s="61"/>
      <c r="AB194" s="61"/>
      <c r="AC194" s="61"/>
      <c r="AD194" s="61">
        <f t="shared" ref="AD194:AD204" si="511">SUM(Z194:AC194)</f>
        <v>235004.51160000003</v>
      </c>
      <c r="AF194" s="15">
        <f>'FY26'!AF194*1.02</f>
        <v>82774.224000000002</v>
      </c>
      <c r="AG194" s="61"/>
      <c r="AH194" s="61"/>
      <c r="AI194" s="61"/>
      <c r="AJ194" s="61">
        <f t="shared" ref="AJ194:AJ204" si="512">SUM(AF194:AI194)</f>
        <v>82774.224000000002</v>
      </c>
      <c r="AL194" s="61">
        <v>0</v>
      </c>
      <c r="AM194" s="61"/>
      <c r="AN194" s="61"/>
      <c r="AO194" s="61"/>
      <c r="AP194" s="61">
        <f t="shared" ref="AP194:AP204" si="513">SUM(AL194:AO194)</f>
        <v>0</v>
      </c>
      <c r="AR194" s="61">
        <v>0</v>
      </c>
      <c r="AS194" s="61"/>
      <c r="AT194" s="61"/>
      <c r="AU194" s="61"/>
      <c r="AV194" s="61">
        <f t="shared" ref="AV194:AV204" si="514">SUM(AR194:AU194)</f>
        <v>0</v>
      </c>
      <c r="AX194" s="7">
        <f>B194+H194+N194+T194+Z194+AF194+AL194+AR194</f>
        <v>802760.48182900005</v>
      </c>
      <c r="AY194" s="7">
        <f t="shared" ref="AY194:BA204" si="515">C194+I194+O194+U194+AA194+AG194+AM194+AS194</f>
        <v>0</v>
      </c>
      <c r="AZ194" s="7">
        <f t="shared" si="515"/>
        <v>0</v>
      </c>
      <c r="BA194" s="7">
        <f t="shared" si="515"/>
        <v>0</v>
      </c>
      <c r="BB194" s="61">
        <f t="shared" ref="BB194:BB204" si="516">SUM(AX194:BA194)</f>
        <v>802760.48182900005</v>
      </c>
    </row>
    <row r="195" spans="1:54" x14ac:dyDescent="0.25">
      <c r="A195" s="62" t="s">
        <v>166</v>
      </c>
      <c r="B195" s="15">
        <f>'FY26'!B195*1.03</f>
        <v>6010.2170454000006</v>
      </c>
      <c r="C195" s="15"/>
      <c r="D195" s="15"/>
      <c r="E195" s="15"/>
      <c r="F195" s="61">
        <f t="shared" si="507"/>
        <v>6010.2170454000006</v>
      </c>
      <c r="H195" s="15">
        <f>'FY26'!H195*1.03</f>
        <v>0</v>
      </c>
      <c r="I195" s="15"/>
      <c r="J195" s="15"/>
      <c r="K195" s="15"/>
      <c r="L195" s="61">
        <f t="shared" si="508"/>
        <v>0</v>
      </c>
      <c r="N195" s="15">
        <f>'FY26'!N195*1.03</f>
        <v>0</v>
      </c>
      <c r="O195" s="15"/>
      <c r="P195" s="15"/>
      <c r="Q195" s="15"/>
      <c r="R195" s="61">
        <f t="shared" si="509"/>
        <v>0</v>
      </c>
      <c r="T195" s="15">
        <f>'FY26'!T195*1.03</f>
        <v>0</v>
      </c>
      <c r="U195" s="15"/>
      <c r="V195" s="15"/>
      <c r="W195" s="15"/>
      <c r="X195" s="61">
        <f t="shared" si="510"/>
        <v>0</v>
      </c>
      <c r="Z195" s="15">
        <f>'FY26'!Z195*1.02</f>
        <v>0</v>
      </c>
      <c r="AA195" s="15"/>
      <c r="AB195" s="15"/>
      <c r="AC195" s="15"/>
      <c r="AD195" s="61">
        <f t="shared" si="511"/>
        <v>0</v>
      </c>
      <c r="AF195" s="15">
        <f>'FY26'!AF195*1.02</f>
        <v>0</v>
      </c>
      <c r="AG195" s="15"/>
      <c r="AH195" s="15"/>
      <c r="AI195" s="15"/>
      <c r="AJ195" s="61">
        <f t="shared" si="512"/>
        <v>0</v>
      </c>
      <c r="AL195" s="61">
        <v>0</v>
      </c>
      <c r="AM195" s="15"/>
      <c r="AN195" s="15"/>
      <c r="AO195" s="15"/>
      <c r="AP195" s="61">
        <f t="shared" si="513"/>
        <v>0</v>
      </c>
      <c r="AR195" s="61">
        <v>0</v>
      </c>
      <c r="AS195" s="15"/>
      <c r="AT195" s="15"/>
      <c r="AU195" s="15"/>
      <c r="AV195" s="61">
        <f t="shared" si="514"/>
        <v>0</v>
      </c>
      <c r="AX195" s="7">
        <f t="shared" ref="AX195:AX204" si="517">B195+H195+N195+T195+Z195+AF195+AL195+AR195</f>
        <v>6010.2170454000006</v>
      </c>
      <c r="AY195" s="7">
        <f t="shared" si="515"/>
        <v>0</v>
      </c>
      <c r="AZ195" s="7">
        <f t="shared" si="515"/>
        <v>0</v>
      </c>
      <c r="BA195" s="7">
        <f t="shared" si="515"/>
        <v>0</v>
      </c>
      <c r="BB195" s="61">
        <f t="shared" si="516"/>
        <v>6010.2170454000006</v>
      </c>
    </row>
    <row r="196" spans="1:54" x14ac:dyDescent="0.25">
      <c r="A196" s="62" t="s">
        <v>167</v>
      </c>
      <c r="B196" s="15">
        <f>'FY26'!B196*1.03</f>
        <v>25323.948225000004</v>
      </c>
      <c r="C196" s="7"/>
      <c r="D196" s="7"/>
      <c r="E196" s="7"/>
      <c r="F196" s="61">
        <f t="shared" si="507"/>
        <v>25323.948225000004</v>
      </c>
      <c r="H196" s="15">
        <f>'FY26'!H196*1.03</f>
        <v>42274.110903600005</v>
      </c>
      <c r="I196" s="7"/>
      <c r="J196" s="7"/>
      <c r="K196" s="7"/>
      <c r="L196" s="61">
        <f t="shared" si="508"/>
        <v>42274.110903600005</v>
      </c>
      <c r="N196" s="15">
        <f>'FY26'!N196*1.03</f>
        <v>20259.158580000003</v>
      </c>
      <c r="O196" s="7"/>
      <c r="P196" s="7"/>
      <c r="Q196" s="7"/>
      <c r="R196" s="61">
        <f t="shared" si="509"/>
        <v>20259.158580000003</v>
      </c>
      <c r="T196" s="15">
        <f>'FY26'!T196*1.03</f>
        <v>18233.242722000003</v>
      </c>
      <c r="U196" s="7"/>
      <c r="V196" s="7"/>
      <c r="W196" s="7"/>
      <c r="X196" s="61">
        <f t="shared" si="510"/>
        <v>18233.242722000003</v>
      </c>
      <c r="Z196" s="15">
        <f>'FY26'!Z196*1.02</f>
        <v>41054.741654400001</v>
      </c>
      <c r="AA196" s="7"/>
      <c r="AB196" s="7"/>
      <c r="AC196" s="7"/>
      <c r="AD196" s="61">
        <f t="shared" si="511"/>
        <v>41054.741654400001</v>
      </c>
      <c r="AF196" s="15">
        <f>'FY26'!AF196*1.02</f>
        <v>21648.643199999999</v>
      </c>
      <c r="AG196" s="7"/>
      <c r="AH196" s="7"/>
      <c r="AI196" s="7"/>
      <c r="AJ196" s="61">
        <f t="shared" si="512"/>
        <v>21648.643199999999</v>
      </c>
      <c r="AL196" s="61">
        <v>0</v>
      </c>
      <c r="AM196" s="7"/>
      <c r="AN196" s="7"/>
      <c r="AO196" s="7"/>
      <c r="AP196" s="61">
        <f t="shared" si="513"/>
        <v>0</v>
      </c>
      <c r="AR196" s="61">
        <v>0</v>
      </c>
      <c r="AS196" s="7"/>
      <c r="AT196" s="7"/>
      <c r="AU196" s="7"/>
      <c r="AV196" s="61">
        <f t="shared" si="514"/>
        <v>0</v>
      </c>
      <c r="AX196" s="7">
        <f t="shared" si="517"/>
        <v>168793.84528499999</v>
      </c>
      <c r="AY196" s="7">
        <f t="shared" si="515"/>
        <v>0</v>
      </c>
      <c r="AZ196" s="7">
        <f t="shared" si="515"/>
        <v>0</v>
      </c>
      <c r="BA196" s="7">
        <f t="shared" si="515"/>
        <v>0</v>
      </c>
      <c r="BB196" s="61">
        <f t="shared" si="516"/>
        <v>168793.84528499999</v>
      </c>
    </row>
    <row r="197" spans="1:54" x14ac:dyDescent="0.25">
      <c r="A197" s="62" t="s">
        <v>168</v>
      </c>
      <c r="B197" s="15">
        <f>'FY26'!B197*1.03</f>
        <v>17355.345850200003</v>
      </c>
      <c r="C197" s="7"/>
      <c r="D197" s="7"/>
      <c r="E197" s="7"/>
      <c r="F197" s="61">
        <f t="shared" si="507"/>
        <v>17355.345850200003</v>
      </c>
      <c r="H197" s="15">
        <f>'FY26'!H197*1.03</f>
        <v>54024.422880000013</v>
      </c>
      <c r="I197" s="7"/>
      <c r="J197" s="7"/>
      <c r="K197" s="7"/>
      <c r="L197" s="61">
        <f t="shared" si="508"/>
        <v>54024.422880000013</v>
      </c>
      <c r="N197" s="15">
        <f>'FY26'!N197*1.03</f>
        <v>16207.326864000002</v>
      </c>
      <c r="O197" s="7"/>
      <c r="P197" s="7"/>
      <c r="Q197" s="7"/>
      <c r="R197" s="61">
        <f t="shared" si="509"/>
        <v>16207.326864000002</v>
      </c>
      <c r="T197" s="15">
        <f>'FY26'!T197*1.03</f>
        <v>33089.959014</v>
      </c>
      <c r="U197" s="7"/>
      <c r="V197" s="7"/>
      <c r="W197" s="7"/>
      <c r="X197" s="61">
        <f t="shared" si="510"/>
        <v>33089.959014</v>
      </c>
      <c r="Z197" s="15">
        <f>'FY26'!Z197*1.02</f>
        <v>52466.123520000008</v>
      </c>
      <c r="AA197" s="7"/>
      <c r="AB197" s="7"/>
      <c r="AC197" s="7"/>
      <c r="AD197" s="61">
        <f t="shared" si="511"/>
        <v>52466.123520000008</v>
      </c>
      <c r="AF197" s="15">
        <f>'FY26'!AF197*1.02</f>
        <v>12734.496000000001</v>
      </c>
      <c r="AG197" s="7"/>
      <c r="AH197" s="7"/>
      <c r="AI197" s="7"/>
      <c r="AJ197" s="61">
        <f t="shared" si="512"/>
        <v>12734.496000000001</v>
      </c>
      <c r="AL197" s="61">
        <v>0</v>
      </c>
      <c r="AM197" s="7"/>
      <c r="AN197" s="7"/>
      <c r="AO197" s="7"/>
      <c r="AP197" s="61">
        <f t="shared" si="513"/>
        <v>0</v>
      </c>
      <c r="AR197" s="61">
        <v>0</v>
      </c>
      <c r="AS197" s="7"/>
      <c r="AT197" s="7"/>
      <c r="AU197" s="7"/>
      <c r="AV197" s="61">
        <f t="shared" si="514"/>
        <v>0</v>
      </c>
      <c r="AX197" s="7">
        <f t="shared" si="517"/>
        <v>185877.67412820001</v>
      </c>
      <c r="AY197" s="7">
        <f t="shared" si="515"/>
        <v>0</v>
      </c>
      <c r="AZ197" s="7">
        <f t="shared" si="515"/>
        <v>0</v>
      </c>
      <c r="BA197" s="7">
        <f t="shared" si="515"/>
        <v>0</v>
      </c>
      <c r="BB197" s="61">
        <f t="shared" si="516"/>
        <v>185877.67412820001</v>
      </c>
    </row>
    <row r="198" spans="1:54" x14ac:dyDescent="0.25">
      <c r="A198" s="62" t="s">
        <v>169</v>
      </c>
      <c r="B198" s="15">
        <f>'FY26'!B198*1.03</f>
        <v>7315.8072650000004</v>
      </c>
      <c r="C198" s="7"/>
      <c r="D198" s="7"/>
      <c r="E198" s="7"/>
      <c r="F198" s="61">
        <f t="shared" si="507"/>
        <v>7315.8072650000004</v>
      </c>
      <c r="H198" s="15">
        <f>'FY26'!H198*1.03</f>
        <v>23072.930605000001</v>
      </c>
      <c r="I198" s="7"/>
      <c r="J198" s="7"/>
      <c r="K198" s="7"/>
      <c r="L198" s="61">
        <f t="shared" si="508"/>
        <v>23072.930605000001</v>
      </c>
      <c r="N198" s="15">
        <f>'FY26'!N198*1.03</f>
        <v>7878.56167</v>
      </c>
      <c r="O198" s="7"/>
      <c r="P198" s="7"/>
      <c r="Q198" s="7"/>
      <c r="R198" s="61">
        <f t="shared" si="509"/>
        <v>7878.56167</v>
      </c>
      <c r="T198" s="15">
        <f>'FY26'!T198*1.03</f>
        <v>9566.824885</v>
      </c>
      <c r="U198" s="7"/>
      <c r="V198" s="7"/>
      <c r="W198" s="7"/>
      <c r="X198" s="61">
        <f t="shared" si="510"/>
        <v>9566.824885</v>
      </c>
      <c r="Z198" s="15">
        <f>'FY26'!Z198*1.02</f>
        <v>21860.884800000003</v>
      </c>
      <c r="AA198" s="7"/>
      <c r="AB198" s="7"/>
      <c r="AC198" s="7"/>
      <c r="AD198" s="61">
        <f t="shared" si="511"/>
        <v>21860.884800000003</v>
      </c>
      <c r="AF198" s="15">
        <f>'FY26'!AF198*1.02</f>
        <v>6367.2480000000005</v>
      </c>
      <c r="AG198" s="7"/>
      <c r="AH198" s="7"/>
      <c r="AI198" s="7"/>
      <c r="AJ198" s="61">
        <f t="shared" si="512"/>
        <v>6367.2480000000005</v>
      </c>
      <c r="AL198" s="61">
        <v>0</v>
      </c>
      <c r="AM198" s="7"/>
      <c r="AN198" s="7"/>
      <c r="AO198" s="7"/>
      <c r="AP198" s="61">
        <f t="shared" si="513"/>
        <v>0</v>
      </c>
      <c r="AR198" s="61">
        <v>0</v>
      </c>
      <c r="AS198" s="7"/>
      <c r="AT198" s="7"/>
      <c r="AU198" s="7"/>
      <c r="AV198" s="61">
        <f t="shared" si="514"/>
        <v>0</v>
      </c>
      <c r="AX198" s="7">
        <f t="shared" si="517"/>
        <v>76062.257225000008</v>
      </c>
      <c r="AY198" s="7">
        <f t="shared" si="515"/>
        <v>0</v>
      </c>
      <c r="AZ198" s="7">
        <f t="shared" si="515"/>
        <v>0</v>
      </c>
      <c r="BA198" s="7">
        <f t="shared" si="515"/>
        <v>0</v>
      </c>
      <c r="BB198" s="61">
        <f t="shared" si="516"/>
        <v>76062.257225000008</v>
      </c>
    </row>
    <row r="199" spans="1:54" x14ac:dyDescent="0.25">
      <c r="A199" s="62" t="s">
        <v>170</v>
      </c>
      <c r="B199" s="15">
        <f>'FY26'!B199*1.03</f>
        <v>94335.927796162505</v>
      </c>
      <c r="C199" s="11"/>
      <c r="D199" s="11"/>
      <c r="E199" s="11"/>
      <c r="F199" s="61">
        <f t="shared" si="507"/>
        <v>94335.927796162505</v>
      </c>
      <c r="H199" s="15">
        <f>'FY26'!H199*1.03</f>
        <v>345124.38951062551</v>
      </c>
      <c r="I199" s="11"/>
      <c r="J199" s="11"/>
      <c r="K199" s="11"/>
      <c r="L199" s="61">
        <f t="shared" si="508"/>
        <v>345124.38951062551</v>
      </c>
      <c r="N199" s="15">
        <f>'FY26'!N199*1.03</f>
        <v>109849.33345844511</v>
      </c>
      <c r="O199" s="11"/>
      <c r="P199" s="11"/>
      <c r="Q199" s="11"/>
      <c r="R199" s="61">
        <f t="shared" si="509"/>
        <v>109849.33345844511</v>
      </c>
      <c r="T199" s="15">
        <f>'FY26'!T199*1.03</f>
        <v>126366.67046907154</v>
      </c>
      <c r="U199" s="11"/>
      <c r="V199" s="11"/>
      <c r="W199" s="11"/>
      <c r="X199" s="61">
        <f t="shared" si="510"/>
        <v>126366.67046907154</v>
      </c>
      <c r="Z199" s="15">
        <f>'FY26'!Z199*1.02</f>
        <v>287085.81796486571</v>
      </c>
      <c r="AA199" s="11"/>
      <c r="AB199" s="11"/>
      <c r="AC199" s="11"/>
      <c r="AD199" s="61">
        <f t="shared" si="511"/>
        <v>287085.81796486571</v>
      </c>
      <c r="AF199" s="15">
        <f>'FY26'!AF199*1.02</f>
        <v>86912.935199999993</v>
      </c>
      <c r="AG199" s="11"/>
      <c r="AH199" s="11"/>
      <c r="AI199" s="11"/>
      <c r="AJ199" s="61">
        <f t="shared" si="512"/>
        <v>86912.935199999993</v>
      </c>
      <c r="AL199" s="61">
        <v>0</v>
      </c>
      <c r="AM199" s="11"/>
      <c r="AN199" s="11"/>
      <c r="AO199" s="11"/>
      <c r="AP199" s="61">
        <f t="shared" si="513"/>
        <v>0</v>
      </c>
      <c r="AR199" s="61">
        <v>0</v>
      </c>
      <c r="AS199" s="11"/>
      <c r="AT199" s="11"/>
      <c r="AU199" s="11"/>
      <c r="AV199" s="61">
        <f t="shared" si="514"/>
        <v>0</v>
      </c>
      <c r="AX199" s="7">
        <f t="shared" si="517"/>
        <v>1049675.0743991705</v>
      </c>
      <c r="AY199" s="7">
        <f t="shared" si="515"/>
        <v>0</v>
      </c>
      <c r="AZ199" s="7">
        <f t="shared" si="515"/>
        <v>0</v>
      </c>
      <c r="BA199" s="7">
        <f t="shared" si="515"/>
        <v>0</v>
      </c>
      <c r="BB199" s="61">
        <f t="shared" si="516"/>
        <v>1049675.0743991705</v>
      </c>
    </row>
    <row r="200" spans="1:54" x14ac:dyDescent="0.25">
      <c r="A200" s="62" t="s">
        <v>171</v>
      </c>
      <c r="B200" s="15">
        <f>32*B19</f>
        <v>29952</v>
      </c>
      <c r="C200" s="7"/>
      <c r="D200" s="7"/>
      <c r="E200" s="7"/>
      <c r="F200" s="61">
        <f t="shared" si="507"/>
        <v>29952</v>
      </c>
      <c r="H200" s="15">
        <f>32*H19</f>
        <v>78528</v>
      </c>
      <c r="I200" s="7"/>
      <c r="J200" s="7"/>
      <c r="K200" s="7"/>
      <c r="L200" s="61">
        <f t="shared" si="508"/>
        <v>78528</v>
      </c>
      <c r="N200" s="15">
        <f>32*N19</f>
        <v>32512</v>
      </c>
      <c r="O200" s="7"/>
      <c r="P200" s="7"/>
      <c r="Q200" s="7"/>
      <c r="R200" s="61">
        <f t="shared" si="509"/>
        <v>32512</v>
      </c>
      <c r="T200" s="15">
        <f>32*T19</f>
        <v>38880</v>
      </c>
      <c r="U200" s="7"/>
      <c r="V200" s="7"/>
      <c r="W200" s="7"/>
      <c r="X200" s="61">
        <f t="shared" si="510"/>
        <v>38880</v>
      </c>
      <c r="Z200" s="15">
        <f>32*Z19</f>
        <v>77728</v>
      </c>
      <c r="AA200" s="7"/>
      <c r="AB200" s="7"/>
      <c r="AC200" s="7"/>
      <c r="AD200" s="61">
        <f t="shared" si="511"/>
        <v>77728</v>
      </c>
      <c r="AF200" s="15">
        <f>32*AF19</f>
        <v>34560</v>
      </c>
      <c r="AG200" s="7"/>
      <c r="AH200" s="7"/>
      <c r="AI200" s="7"/>
      <c r="AJ200" s="61">
        <f t="shared" si="512"/>
        <v>34560</v>
      </c>
      <c r="AL200" s="61">
        <v>0</v>
      </c>
      <c r="AM200" s="7"/>
      <c r="AN200" s="7"/>
      <c r="AO200" s="7"/>
      <c r="AP200" s="61">
        <f t="shared" si="513"/>
        <v>0</v>
      </c>
      <c r="AR200" s="61">
        <v>0</v>
      </c>
      <c r="AS200" s="7"/>
      <c r="AT200" s="7"/>
      <c r="AU200" s="7"/>
      <c r="AV200" s="61">
        <f t="shared" si="514"/>
        <v>0</v>
      </c>
      <c r="AX200" s="7">
        <f t="shared" si="517"/>
        <v>292160</v>
      </c>
      <c r="AY200" s="7">
        <f t="shared" si="515"/>
        <v>0</v>
      </c>
      <c r="AZ200" s="7">
        <f t="shared" si="515"/>
        <v>0</v>
      </c>
      <c r="BA200" s="7">
        <f t="shared" si="515"/>
        <v>0</v>
      </c>
      <c r="BB200" s="61">
        <f t="shared" si="516"/>
        <v>292160</v>
      </c>
    </row>
    <row r="201" spans="1:54" x14ac:dyDescent="0.25">
      <c r="A201" s="62" t="s">
        <v>173</v>
      </c>
      <c r="B201" s="15">
        <f>'FY26'!B201+2500</f>
        <v>65000</v>
      </c>
      <c r="C201" s="7"/>
      <c r="D201" s="7"/>
      <c r="E201" s="7">
        <v>0</v>
      </c>
      <c r="F201" s="61">
        <f t="shared" si="507"/>
        <v>65000</v>
      </c>
      <c r="H201" s="15">
        <f>'FY26'!H201+2500</f>
        <v>115000</v>
      </c>
      <c r="I201" s="7"/>
      <c r="J201" s="7"/>
      <c r="K201" s="7">
        <v>0</v>
      </c>
      <c r="L201" s="61">
        <f t="shared" si="508"/>
        <v>115000</v>
      </c>
      <c r="N201" s="15">
        <f>'FY26'!N201+2500</f>
        <v>67500</v>
      </c>
      <c r="O201" s="7"/>
      <c r="P201" s="7"/>
      <c r="Q201" s="7">
        <v>0</v>
      </c>
      <c r="R201" s="61">
        <f t="shared" si="509"/>
        <v>67500</v>
      </c>
      <c r="T201" s="15">
        <f>'FY26'!T201+2500</f>
        <v>70000</v>
      </c>
      <c r="U201" s="7"/>
      <c r="V201" s="7"/>
      <c r="W201" s="7">
        <v>0</v>
      </c>
      <c r="X201" s="61">
        <f t="shared" si="510"/>
        <v>70000</v>
      </c>
      <c r="Z201" s="15">
        <f>'FY26'!Z201+1000</f>
        <v>71500</v>
      </c>
      <c r="AA201" s="7"/>
      <c r="AB201" s="7"/>
      <c r="AC201" s="7">
        <v>0</v>
      </c>
      <c r="AD201" s="61">
        <f t="shared" si="511"/>
        <v>71500</v>
      </c>
      <c r="AF201" s="15">
        <f>'FY26'!AF201+1000</f>
        <v>37500</v>
      </c>
      <c r="AG201" s="7"/>
      <c r="AH201" s="7"/>
      <c r="AI201" s="7">
        <v>0</v>
      </c>
      <c r="AJ201" s="61">
        <f t="shared" si="512"/>
        <v>37500</v>
      </c>
      <c r="AL201" s="61">
        <v>0</v>
      </c>
      <c r="AM201" s="7"/>
      <c r="AN201" s="7"/>
      <c r="AO201" s="7">
        <v>0</v>
      </c>
      <c r="AP201" s="61">
        <f t="shared" si="513"/>
        <v>0</v>
      </c>
      <c r="AR201" s="61">
        <v>0</v>
      </c>
      <c r="AS201" s="7"/>
      <c r="AT201" s="7"/>
      <c r="AU201" s="7">
        <v>0</v>
      </c>
      <c r="AV201" s="61">
        <f t="shared" si="514"/>
        <v>0</v>
      </c>
      <c r="AX201" s="7">
        <f t="shared" si="517"/>
        <v>426500</v>
      </c>
      <c r="AY201" s="7">
        <f t="shared" si="515"/>
        <v>0</v>
      </c>
      <c r="AZ201" s="7">
        <f t="shared" si="515"/>
        <v>0</v>
      </c>
      <c r="BA201" s="7">
        <f t="shared" si="515"/>
        <v>0</v>
      </c>
      <c r="BB201" s="61">
        <f t="shared" si="516"/>
        <v>426500</v>
      </c>
    </row>
    <row r="202" spans="1:54" x14ac:dyDescent="0.25">
      <c r="A202" s="62" t="s">
        <v>174</v>
      </c>
      <c r="B202" s="15">
        <f>'FY26'!B202*1.03</f>
        <v>13235.983605600002</v>
      </c>
      <c r="C202" s="11"/>
      <c r="D202" s="11"/>
      <c r="E202" s="11"/>
      <c r="F202" s="61">
        <f t="shared" si="507"/>
        <v>13235.983605600002</v>
      </c>
      <c r="H202" s="15">
        <f>'FY26'!H202*1.03</f>
        <v>35926.241215200003</v>
      </c>
      <c r="I202" s="11"/>
      <c r="J202" s="11"/>
      <c r="K202" s="11"/>
      <c r="L202" s="61">
        <f t="shared" si="508"/>
        <v>35926.241215200003</v>
      </c>
      <c r="N202" s="15">
        <f>'FY26'!N202*1.03</f>
        <v>18672.191157900004</v>
      </c>
      <c r="O202" s="11"/>
      <c r="P202" s="11"/>
      <c r="Q202" s="11"/>
      <c r="R202" s="61">
        <f t="shared" si="509"/>
        <v>18672.191157900004</v>
      </c>
      <c r="T202" s="15">
        <f>'FY26'!T202*1.03</f>
        <v>15008.659981350002</v>
      </c>
      <c r="U202" s="11"/>
      <c r="V202" s="11"/>
      <c r="W202" s="11"/>
      <c r="X202" s="61">
        <f t="shared" si="510"/>
        <v>15008.659981350002</v>
      </c>
      <c r="Z202" s="15">
        <f>'FY26'!Z202*1.02</f>
        <v>29771.245964880003</v>
      </c>
      <c r="AA202" s="11"/>
      <c r="AB202" s="11"/>
      <c r="AC202" s="11"/>
      <c r="AD202" s="61">
        <f t="shared" si="511"/>
        <v>29771.245964880003</v>
      </c>
      <c r="AF202" s="15">
        <f>'FY26'!AF202*1.02</f>
        <v>12734.496000000001</v>
      </c>
      <c r="AG202" s="11"/>
      <c r="AH202" s="11"/>
      <c r="AI202" s="11"/>
      <c r="AJ202" s="61">
        <f t="shared" si="512"/>
        <v>12734.496000000001</v>
      </c>
      <c r="AL202" s="61">
        <v>0</v>
      </c>
      <c r="AM202" s="11"/>
      <c r="AN202" s="11"/>
      <c r="AO202" s="11"/>
      <c r="AP202" s="61">
        <f t="shared" si="513"/>
        <v>0</v>
      </c>
      <c r="AR202" s="61">
        <v>0</v>
      </c>
      <c r="AS202" s="11"/>
      <c r="AT202" s="11"/>
      <c r="AU202" s="11"/>
      <c r="AV202" s="61">
        <f t="shared" si="514"/>
        <v>0</v>
      </c>
      <c r="AX202" s="7">
        <f t="shared" si="517"/>
        <v>125348.81792493002</v>
      </c>
      <c r="AY202" s="7">
        <f t="shared" si="515"/>
        <v>0</v>
      </c>
      <c r="AZ202" s="7">
        <f t="shared" si="515"/>
        <v>0</v>
      </c>
      <c r="BA202" s="7">
        <f t="shared" si="515"/>
        <v>0</v>
      </c>
      <c r="BB202" s="61">
        <f t="shared" si="516"/>
        <v>125348.81792493002</v>
      </c>
    </row>
    <row r="203" spans="1:54" x14ac:dyDescent="0.25">
      <c r="A203" s="62" t="s">
        <v>175</v>
      </c>
      <c r="B203" s="15">
        <f>'FY26'!B203*1.03</f>
        <v>0</v>
      </c>
      <c r="C203" s="7"/>
      <c r="D203" s="7"/>
      <c r="E203" s="7"/>
      <c r="F203" s="61">
        <f t="shared" si="507"/>
        <v>0</v>
      </c>
      <c r="H203" s="15">
        <f>'FY26'!H203*1.03</f>
        <v>0</v>
      </c>
      <c r="I203" s="7"/>
      <c r="J203" s="7"/>
      <c r="K203" s="7"/>
      <c r="L203" s="61">
        <f t="shared" si="508"/>
        <v>0</v>
      </c>
      <c r="N203" s="15">
        <f>'FY26'!N203*1.03</f>
        <v>0</v>
      </c>
      <c r="O203" s="7"/>
      <c r="P203" s="7"/>
      <c r="Q203" s="7"/>
      <c r="R203" s="61">
        <f t="shared" si="509"/>
        <v>0</v>
      </c>
      <c r="T203" s="15">
        <f>'FY26'!T203*1.03</f>
        <v>0</v>
      </c>
      <c r="U203" s="7"/>
      <c r="V203" s="7"/>
      <c r="W203" s="7"/>
      <c r="X203" s="61">
        <f t="shared" si="510"/>
        <v>0</v>
      </c>
      <c r="Z203" s="15">
        <f>'FY26'!Z203*1.03</f>
        <v>0</v>
      </c>
      <c r="AA203" s="7"/>
      <c r="AB203" s="7"/>
      <c r="AC203" s="7"/>
      <c r="AD203" s="61">
        <f t="shared" si="511"/>
        <v>0</v>
      </c>
      <c r="AF203" s="15">
        <f>'FY26'!AF203*1.03</f>
        <v>0</v>
      </c>
      <c r="AG203" s="7"/>
      <c r="AH203" s="7"/>
      <c r="AI203" s="7"/>
      <c r="AJ203" s="61">
        <f t="shared" si="512"/>
        <v>0</v>
      </c>
      <c r="AL203" s="61">
        <v>0</v>
      </c>
      <c r="AM203" s="7"/>
      <c r="AN203" s="7"/>
      <c r="AO203" s="7"/>
      <c r="AP203" s="61">
        <f t="shared" si="513"/>
        <v>0</v>
      </c>
      <c r="AR203" s="61">
        <v>0</v>
      </c>
      <c r="AS203" s="7"/>
      <c r="AT203" s="7"/>
      <c r="AU203" s="7"/>
      <c r="AV203" s="61">
        <f t="shared" si="514"/>
        <v>0</v>
      </c>
      <c r="AX203" s="7">
        <f t="shared" si="517"/>
        <v>0</v>
      </c>
      <c r="AY203" s="7">
        <f t="shared" si="515"/>
        <v>0</v>
      </c>
      <c r="AZ203" s="7">
        <f t="shared" si="515"/>
        <v>0</v>
      </c>
      <c r="BA203" s="7">
        <f t="shared" si="515"/>
        <v>0</v>
      </c>
      <c r="BB203" s="61">
        <f t="shared" si="516"/>
        <v>0</v>
      </c>
    </row>
    <row r="204" spans="1:54" ht="15.75" thickBot="1" x14ac:dyDescent="0.3">
      <c r="A204" s="62" t="s">
        <v>176</v>
      </c>
      <c r="B204" s="15">
        <f>'FY26'!B204*1.03</f>
        <v>14706.123213222003</v>
      </c>
      <c r="C204" s="86"/>
      <c r="D204" s="86"/>
      <c r="E204" s="86"/>
      <c r="F204" s="61">
        <f t="shared" si="507"/>
        <v>14706.123213222003</v>
      </c>
      <c r="H204" s="15">
        <f>'FY26'!H204*1.03</f>
        <v>54952.967648250007</v>
      </c>
      <c r="I204" s="86"/>
      <c r="J204" s="86"/>
      <c r="K204" s="86"/>
      <c r="L204" s="61">
        <f t="shared" si="508"/>
        <v>54952.967648250007</v>
      </c>
      <c r="N204" s="15">
        <f>'FY26'!N204*1.03</f>
        <v>17017.693207200002</v>
      </c>
      <c r="O204" s="86"/>
      <c r="P204" s="86"/>
      <c r="Q204" s="86"/>
      <c r="R204" s="61">
        <f t="shared" si="509"/>
        <v>17017.693207200002</v>
      </c>
      <c r="T204" s="15">
        <f>'FY26'!T204*1.03</f>
        <v>20326.6891086</v>
      </c>
      <c r="U204" s="86"/>
      <c r="V204" s="86"/>
      <c r="W204" s="86"/>
      <c r="X204" s="61">
        <f t="shared" si="510"/>
        <v>20326.6891086</v>
      </c>
      <c r="Z204" s="15">
        <f>'FY26'!Z204*1.02</f>
        <v>52449.727856400008</v>
      </c>
      <c r="AA204" s="86"/>
      <c r="AB204" s="86"/>
      <c r="AC204" s="86"/>
      <c r="AD204" s="61">
        <f t="shared" si="511"/>
        <v>52449.727856400008</v>
      </c>
      <c r="AF204" s="15">
        <f>'FY26'!AF204*1.02</f>
        <v>13265.1</v>
      </c>
      <c r="AG204" s="86"/>
      <c r="AH204" s="86"/>
      <c r="AI204" s="86"/>
      <c r="AJ204" s="61">
        <f t="shared" si="512"/>
        <v>13265.1</v>
      </c>
      <c r="AL204" s="61">
        <v>0</v>
      </c>
      <c r="AM204" s="86"/>
      <c r="AN204" s="86"/>
      <c r="AO204" s="86"/>
      <c r="AP204" s="61">
        <f t="shared" si="513"/>
        <v>0</v>
      </c>
      <c r="AR204" s="61">
        <v>0</v>
      </c>
      <c r="AS204" s="86"/>
      <c r="AT204" s="86"/>
      <c r="AU204" s="86"/>
      <c r="AV204" s="61">
        <f t="shared" si="514"/>
        <v>0</v>
      </c>
      <c r="AX204" s="7">
        <f t="shared" si="517"/>
        <v>172718.30103367203</v>
      </c>
      <c r="AY204" s="7">
        <f t="shared" si="515"/>
        <v>0</v>
      </c>
      <c r="AZ204" s="7">
        <f t="shared" si="515"/>
        <v>0</v>
      </c>
      <c r="BA204" s="7">
        <f t="shared" si="515"/>
        <v>0</v>
      </c>
      <c r="BB204" s="61">
        <f t="shared" si="516"/>
        <v>172718.30103367203</v>
      </c>
    </row>
    <row r="205" spans="1:54" ht="15.75" thickBot="1" x14ac:dyDescent="0.3">
      <c r="A205" s="95" t="s">
        <v>177</v>
      </c>
      <c r="B205" s="90">
        <f>SUM(B194:B204)</f>
        <v>365752.17718258459</v>
      </c>
      <c r="C205" s="90">
        <f>SUM(C194:C204)</f>
        <v>0</v>
      </c>
      <c r="D205" s="90">
        <f>SUM(D194:D204)</f>
        <v>0</v>
      </c>
      <c r="E205" s="90">
        <f t="shared" ref="E205:F205" si="518">SUM(E194:E204)</f>
        <v>0</v>
      </c>
      <c r="F205" s="90">
        <f t="shared" si="518"/>
        <v>365752.17718258459</v>
      </c>
      <c r="H205" s="90">
        <f>SUM(H194:H204)</f>
        <v>989761.94810267573</v>
      </c>
      <c r="I205" s="90">
        <f>SUM(I194:I204)</f>
        <v>0</v>
      </c>
      <c r="J205" s="90">
        <f>SUM(J194:J204)</f>
        <v>0</v>
      </c>
      <c r="K205" s="90">
        <f t="shared" ref="K205:L205" si="519">SUM(K194:K204)</f>
        <v>0</v>
      </c>
      <c r="L205" s="90">
        <f t="shared" si="519"/>
        <v>989761.94810267573</v>
      </c>
      <c r="N205" s="90">
        <f>SUM(N194:N204)</f>
        <v>358777.40410954511</v>
      </c>
      <c r="O205" s="90">
        <f>SUM(O194:O204)</f>
        <v>0</v>
      </c>
      <c r="P205" s="90">
        <f>SUM(P194:P204)</f>
        <v>0</v>
      </c>
      <c r="Q205" s="90">
        <f t="shared" ref="Q205:R205" si="520">SUM(Q194:Q204)</f>
        <v>0</v>
      </c>
      <c r="R205" s="90">
        <f t="shared" si="520"/>
        <v>358777.40410954511</v>
      </c>
      <c r="T205" s="90">
        <f>SUM(T194:T204)</f>
        <v>414196.9437150216</v>
      </c>
      <c r="U205" s="90">
        <f>SUM(U194:U204)</f>
        <v>0</v>
      </c>
      <c r="V205" s="90">
        <f>SUM(V194:V204)</f>
        <v>0</v>
      </c>
      <c r="W205" s="90">
        <f t="shared" ref="W205:X205" si="521">SUM(W194:W204)</f>
        <v>0</v>
      </c>
      <c r="X205" s="90">
        <f t="shared" si="521"/>
        <v>414196.9437150216</v>
      </c>
      <c r="Z205" s="90">
        <f>SUM(Z194:Z204)</f>
        <v>868921.05336054566</v>
      </c>
      <c r="AA205" s="90">
        <f>SUM(AA194:AA204)</f>
        <v>0</v>
      </c>
      <c r="AB205" s="90">
        <f>SUM(AB194:AB204)</f>
        <v>0</v>
      </c>
      <c r="AC205" s="90">
        <f t="shared" ref="AC205:AD205" si="522">SUM(AC194:AC204)</f>
        <v>0</v>
      </c>
      <c r="AD205" s="90">
        <f t="shared" si="522"/>
        <v>868921.05336054566</v>
      </c>
      <c r="AF205" s="90">
        <f>SUM(AF194:AF204)</f>
        <v>308497.14239999995</v>
      </c>
      <c r="AG205" s="90">
        <f>SUM(AG194:AG204)</f>
        <v>0</v>
      </c>
      <c r="AH205" s="90">
        <f>SUM(AH194:AH204)</f>
        <v>0</v>
      </c>
      <c r="AI205" s="90">
        <f t="shared" ref="AI205:AJ205" si="523">SUM(AI194:AI204)</f>
        <v>0</v>
      </c>
      <c r="AJ205" s="90">
        <f t="shared" si="523"/>
        <v>308497.14239999995</v>
      </c>
      <c r="AL205" s="90">
        <f>SUM(AL194:AL204)</f>
        <v>0</v>
      </c>
      <c r="AM205" s="90">
        <f>SUM(AM194:AM204)</f>
        <v>0</v>
      </c>
      <c r="AN205" s="90">
        <f>SUM(AN194:AN204)</f>
        <v>0</v>
      </c>
      <c r="AO205" s="90">
        <f t="shared" ref="AO205:AP205" si="524">SUM(AO194:AO204)</f>
        <v>0</v>
      </c>
      <c r="AP205" s="90">
        <f t="shared" si="524"/>
        <v>0</v>
      </c>
      <c r="AR205" s="90">
        <f>SUM(AR194:AR204)</f>
        <v>0</v>
      </c>
      <c r="AS205" s="90">
        <f>SUM(AS194:AS204)</f>
        <v>0</v>
      </c>
      <c r="AT205" s="90">
        <f>SUM(AT194:AT204)</f>
        <v>0</v>
      </c>
      <c r="AU205" s="90">
        <f t="shared" ref="AU205:AV205" si="525">SUM(AU194:AU204)</f>
        <v>0</v>
      </c>
      <c r="AV205" s="90">
        <f t="shared" si="525"/>
        <v>0</v>
      </c>
      <c r="AX205" s="90">
        <f>SUM(AX194:AX204)</f>
        <v>3305906.6688703727</v>
      </c>
      <c r="AY205" s="90">
        <f>SUM(AY194:AY204)</f>
        <v>0</v>
      </c>
      <c r="AZ205" s="90">
        <f>SUM(AZ194:AZ204)</f>
        <v>0</v>
      </c>
      <c r="BA205" s="90">
        <f t="shared" ref="BA205:BB205" si="526">SUM(BA194:BA204)</f>
        <v>0</v>
      </c>
      <c r="BB205" s="90">
        <f t="shared" si="526"/>
        <v>3305906.6688703727</v>
      </c>
    </row>
    <row r="206" spans="1:54" ht="15.75" thickBot="1" x14ac:dyDescent="0.3">
      <c r="A206" s="102"/>
      <c r="B206" s="103"/>
      <c r="C206" s="103"/>
      <c r="D206" s="103"/>
      <c r="E206" s="103"/>
      <c r="F206" s="103"/>
      <c r="H206" s="103"/>
      <c r="I206" s="103"/>
      <c r="J206" s="103"/>
      <c r="K206" s="103"/>
      <c r="L206" s="103"/>
      <c r="N206" s="103"/>
      <c r="O206" s="103"/>
      <c r="P206" s="103"/>
      <c r="Q206" s="103"/>
      <c r="R206" s="103"/>
      <c r="T206" s="103"/>
      <c r="U206" s="103"/>
      <c r="V206" s="103"/>
      <c r="W206" s="103"/>
      <c r="X206" s="103"/>
      <c r="Z206" s="103"/>
      <c r="AA206" s="103"/>
      <c r="AB206" s="103"/>
      <c r="AC206" s="103"/>
      <c r="AD206" s="103"/>
      <c r="AF206" s="103"/>
      <c r="AG206" s="103"/>
      <c r="AH206" s="103"/>
      <c r="AI206" s="103"/>
      <c r="AJ206" s="103"/>
      <c r="AL206" s="103"/>
      <c r="AM206" s="103"/>
      <c r="AN206" s="103"/>
      <c r="AO206" s="103"/>
      <c r="AP206" s="103"/>
      <c r="AR206" s="103"/>
      <c r="AS206" s="103"/>
      <c r="AT206" s="103"/>
      <c r="AU206" s="103"/>
      <c r="AV206" s="103"/>
      <c r="AX206" s="103"/>
      <c r="AY206" s="103"/>
      <c r="AZ206" s="103"/>
      <c r="BA206" s="103"/>
      <c r="BB206" s="103"/>
    </row>
    <row r="207" spans="1:54" ht="15.75" thickBot="1" x14ac:dyDescent="0.3">
      <c r="A207" s="95" t="s">
        <v>178</v>
      </c>
      <c r="B207" s="104">
        <f>B139+B151+B167+B176+B181+B192+B205</f>
        <v>5597972.99757367</v>
      </c>
      <c r="C207" s="104">
        <f>C139+C151+C167+C176+C181+C192+C205</f>
        <v>215867.06296905136</v>
      </c>
      <c r="D207" s="104">
        <f>D139+D151+D167+D176+D181+D192+D205</f>
        <v>873598.6787215285</v>
      </c>
      <c r="E207" s="104">
        <f>E139+E151+E167+E176+E181+E192+E205</f>
        <v>235825.56</v>
      </c>
      <c r="F207" s="104">
        <f>F139+F151+F167+F176+F181+F192+F205</f>
        <v>6923264.2992642503</v>
      </c>
      <c r="H207" s="104">
        <f>H139+H151+H167+H176+H181+H192+H205</f>
        <v>14291050.353680348</v>
      </c>
      <c r="I207" s="104">
        <f>I139+I151+I167+I176+I181+I192+I205</f>
        <v>432020.05346034199</v>
      </c>
      <c r="J207" s="104">
        <f>J139+J151+J167+J176+J181+J192+J205</f>
        <v>2375980.8259967305</v>
      </c>
      <c r="K207" s="104">
        <f>K139+K151+K167+K176+K181+K192+K205</f>
        <v>650169.60000000009</v>
      </c>
      <c r="L207" s="104">
        <f>L139+L151+L167+L176+L181+L192+L205</f>
        <v>17749220.833137419</v>
      </c>
      <c r="N207" s="104">
        <f>N139+N151+N167+N176+N181+N192+N205</f>
        <v>5776859.6745070601</v>
      </c>
      <c r="O207" s="104">
        <f>O139+O151+O167+O176+O181+O192+O205</f>
        <v>298544.85990479856</v>
      </c>
      <c r="P207" s="104">
        <f>P139+P151+P167+P176+P181+P192+P205</f>
        <v>794735.77872960013</v>
      </c>
      <c r="Q207" s="104">
        <f>Q139+Q151+Q167+Q176+Q181+Q192+Q205</f>
        <v>204774.00000000003</v>
      </c>
      <c r="R207" s="104">
        <f>R139+R151+R167+R176+R181+R192+R205</f>
        <v>7074914.3131414587</v>
      </c>
      <c r="T207" s="104">
        <f>T139+T151+T167+T176+T181+T192+T205</f>
        <v>7062654.1087879483</v>
      </c>
      <c r="U207" s="104">
        <f>U139+U151+U167+U176+U181+U192+U205</f>
        <v>190575.899358</v>
      </c>
      <c r="V207" s="104">
        <f>V139+V151+V167+V176+V181+V192+V205</f>
        <v>949297.67287452763</v>
      </c>
      <c r="W207" s="104">
        <f>W139+W151+W167+W176+W181+W192+W205</f>
        <v>135856.5</v>
      </c>
      <c r="X207" s="104">
        <f>X139+X151+X167+X176+X181+X192+X205</f>
        <v>8338384.181020475</v>
      </c>
      <c r="Z207" s="104">
        <f>Z139+Z151+Z167+Z176+Z181+Z192+Z205</f>
        <v>12868169.229918083</v>
      </c>
      <c r="AA207" s="104">
        <f>AA139+AA151+AA167+AA176+AA181+AA192+AA205</f>
        <v>268550.17573320004</v>
      </c>
      <c r="AB207" s="104">
        <f>AB139+AB151+AB167+AB176+AB181+AB192+AB205</f>
        <v>1911224.6755137495</v>
      </c>
      <c r="AC207" s="104">
        <f>AC139+AC151+AC167+AC176+AC181+AC192+AC205</f>
        <v>392401.67999999993</v>
      </c>
      <c r="AD207" s="104">
        <f>AD139+AD151+AD167+AD176+AD181+AD192+AD205</f>
        <v>15440345.761165032</v>
      </c>
      <c r="AF207" s="104">
        <f>AF139+AF151+AF167+AF176+AF181+AF192+AF205</f>
        <v>6242041.8710486582</v>
      </c>
      <c r="AG207" s="104">
        <f>AG139+AG151+AG167+AG176+AG181+AG192+AG205</f>
        <v>415741.49220000004</v>
      </c>
      <c r="AH207" s="104">
        <f>AH139+AH151+AH167+AH176+AH181+AH192+AH205</f>
        <v>866204.55</v>
      </c>
      <c r="AI207" s="104">
        <f>AI139+AI151+AI167+AI176+AI181+AI192+AI205</f>
        <v>447267.14999999997</v>
      </c>
      <c r="AJ207" s="104">
        <f>AJ139+AJ151+AJ167+AJ176+AJ181+AJ192+AJ205</f>
        <v>7971255.0632486586</v>
      </c>
      <c r="AL207" s="104">
        <f>AL139+AL151+AL167+AL176+AL181+AL192+AL205</f>
        <v>241474.1669649856</v>
      </c>
      <c r="AM207" s="104">
        <f>AM139+AM151+AM167+AM176+AM181+AM192+AM205</f>
        <v>42236.334816082002</v>
      </c>
      <c r="AN207" s="104">
        <f>AN139+AN151+AN167+AN176+AN181+AN192+AN205</f>
        <v>0</v>
      </c>
      <c r="AO207" s="104">
        <f>AO139+AO151+AO167+AO176+AO181+AO192+AO205</f>
        <v>0</v>
      </c>
      <c r="AP207" s="104">
        <f>AP139+AP151+AP167+AP176+AP181+AP192+AP205</f>
        <v>283710.50178106758</v>
      </c>
      <c r="AR207" s="104">
        <f>AR139+AR151+AR167+AR176+AR181+AR192+AR205</f>
        <v>2333748.65</v>
      </c>
      <c r="AS207" s="104">
        <f>AS139+AS151+AS167+AS176+AS181+AS192+AS205</f>
        <v>8434.1550000000007</v>
      </c>
      <c r="AT207" s="104">
        <f>AT139+AT151+AT167+AT176+AT181+AT192+AT205</f>
        <v>224015.2</v>
      </c>
      <c r="AU207" s="104">
        <f>AU139+AU151+AU167+AU176+AU181+AU192+AU205</f>
        <v>93556.000000000015</v>
      </c>
      <c r="AV207" s="104">
        <f>AV139+AV151+AV167+AV176+AV181+AV192+AV205</f>
        <v>2659754.0049999999</v>
      </c>
      <c r="AX207" s="104">
        <f>AX139+AX151+AX167+AX176+AX181+AX192+AX205</f>
        <v>54413971.052480742</v>
      </c>
      <c r="AY207" s="104">
        <f>AY139+AY151+AY167+AY176+AY181+AY192+AY205</f>
        <v>1871970.0334414737</v>
      </c>
      <c r="AZ207" s="104">
        <f>AZ139+AZ151+AZ167+AZ176+AZ181+AZ192+AZ205</f>
        <v>7995057.3818361359</v>
      </c>
      <c r="BA207" s="104">
        <f>BA139+BA151+BA167+BA176+BA181+BA192+BA205</f>
        <v>2159850.4900000002</v>
      </c>
      <c r="BB207" s="104">
        <f>BB139+BB151+BB167+BB176+BB181+BB192+BB205</f>
        <v>66440848.95775836</v>
      </c>
    </row>
    <row r="208" spans="1:54" x14ac:dyDescent="0.25">
      <c r="A208" s="105"/>
      <c r="B208" s="61"/>
      <c r="C208" s="61"/>
      <c r="D208" s="61"/>
      <c r="E208" s="61"/>
      <c r="F208" s="61"/>
      <c r="H208" s="61"/>
      <c r="I208" s="61"/>
      <c r="J208" s="61"/>
      <c r="K208" s="61"/>
      <c r="L208" s="61"/>
      <c r="N208" s="61"/>
      <c r="O208" s="61"/>
      <c r="P208" s="61"/>
      <c r="Q208" s="61"/>
      <c r="R208" s="61"/>
      <c r="T208" s="61"/>
      <c r="U208" s="61"/>
      <c r="V208" s="61"/>
      <c r="W208" s="61"/>
      <c r="X208" s="61"/>
      <c r="Z208" s="61"/>
      <c r="AA208" s="61"/>
      <c r="AB208" s="61"/>
      <c r="AC208" s="61"/>
      <c r="AD208" s="61"/>
      <c r="AF208" s="61"/>
      <c r="AG208" s="61"/>
      <c r="AH208" s="61"/>
      <c r="AI208" s="61"/>
      <c r="AJ208" s="61"/>
      <c r="AL208" s="61"/>
      <c r="AM208" s="61"/>
      <c r="AN208" s="61"/>
      <c r="AO208" s="61"/>
      <c r="AP208" s="61"/>
      <c r="AR208" s="61"/>
      <c r="AS208" s="61"/>
      <c r="AT208" s="61"/>
      <c r="AU208" s="61"/>
      <c r="AV208" s="61"/>
      <c r="AX208" s="61"/>
      <c r="AY208" s="61"/>
      <c r="AZ208" s="61"/>
      <c r="BA208" s="61"/>
      <c r="BB208" s="61"/>
    </row>
    <row r="209" spans="1:54" x14ac:dyDescent="0.25">
      <c r="A209" s="106" t="s">
        <v>179</v>
      </c>
      <c r="B209" s="7">
        <v>0</v>
      </c>
      <c r="C209" s="7"/>
      <c r="D209" s="7"/>
      <c r="E209" s="7"/>
      <c r="F209" s="7">
        <f t="shared" ref="F209:F218" si="527">SUM(B209:E209)</f>
        <v>0</v>
      </c>
      <c r="H209" s="7">
        <v>0</v>
      </c>
      <c r="I209" s="7"/>
      <c r="J209" s="7"/>
      <c r="K209" s="7"/>
      <c r="L209" s="7">
        <f t="shared" ref="L209:L218" si="528">SUM(H209:K209)</f>
        <v>0</v>
      </c>
      <c r="N209" s="7">
        <v>0</v>
      </c>
      <c r="O209" s="7"/>
      <c r="P209" s="7"/>
      <c r="Q209" s="7"/>
      <c r="R209" s="7">
        <f t="shared" ref="R209:R218" si="529">SUM(N209:Q209)</f>
        <v>0</v>
      </c>
      <c r="T209" s="7">
        <v>0</v>
      </c>
      <c r="U209" s="7"/>
      <c r="V209" s="7"/>
      <c r="W209" s="7"/>
      <c r="X209" s="7">
        <f t="shared" ref="X209:X218" si="530">SUM(T209:W209)</f>
        <v>0</v>
      </c>
      <c r="Z209" s="7">
        <v>0</v>
      </c>
      <c r="AA209" s="7"/>
      <c r="AB209" s="7"/>
      <c r="AC209" s="7"/>
      <c r="AD209" s="7">
        <f t="shared" ref="AD209:AD218" si="531">SUM(Z209:AC209)</f>
        <v>0</v>
      </c>
      <c r="AF209" s="7">
        <v>1650000</v>
      </c>
      <c r="AG209" s="7"/>
      <c r="AH209" s="7"/>
      <c r="AI209" s="7"/>
      <c r="AJ209" s="7">
        <f t="shared" ref="AJ209:AJ218" si="532">SUM(AF209:AI209)</f>
        <v>1650000</v>
      </c>
      <c r="AL209" s="7">
        <v>0</v>
      </c>
      <c r="AM209" s="7"/>
      <c r="AN209" s="7"/>
      <c r="AO209" s="7"/>
      <c r="AP209" s="7">
        <f t="shared" ref="AP209:AP218" si="533">SUM(AL209:AO209)</f>
        <v>0</v>
      </c>
      <c r="AR209" s="7">
        <v>0</v>
      </c>
      <c r="AS209" s="7"/>
      <c r="AT209" s="7"/>
      <c r="AU209" s="7"/>
      <c r="AV209" s="7">
        <f t="shared" ref="AV209:AV218" si="534">SUM(AR209:AU209)</f>
        <v>0</v>
      </c>
      <c r="AX209" s="7">
        <f>B209+H209+N209+T209+Z209+AF209+AL209+AR209</f>
        <v>1650000</v>
      </c>
      <c r="AY209" s="7">
        <f t="shared" ref="AY209:BA217" si="535">C209+I209+O209+U209+AA209+AG209+AM209+AS209</f>
        <v>0</v>
      </c>
      <c r="AZ209" s="7">
        <f t="shared" si="535"/>
        <v>0</v>
      </c>
      <c r="BA209" s="7">
        <f t="shared" si="535"/>
        <v>0</v>
      </c>
      <c r="BB209" s="7">
        <f t="shared" ref="BB209:BB218" si="536">SUM(AX209:BA209)</f>
        <v>1650000</v>
      </c>
    </row>
    <row r="210" spans="1:54" s="212" customFormat="1" x14ac:dyDescent="0.25">
      <c r="A210" s="210" t="s">
        <v>180</v>
      </c>
      <c r="B210" s="15">
        <v>921500</v>
      </c>
      <c r="C210" s="15">
        <v>0</v>
      </c>
      <c r="D210" s="15"/>
      <c r="E210" s="15"/>
      <c r="F210" s="15">
        <f t="shared" si="527"/>
        <v>921500</v>
      </c>
      <c r="G210" s="211"/>
      <c r="H210" s="15">
        <v>0</v>
      </c>
      <c r="I210" s="15">
        <v>0</v>
      </c>
      <c r="J210" s="15"/>
      <c r="K210" s="15"/>
      <c r="L210" s="15">
        <f t="shared" si="528"/>
        <v>0</v>
      </c>
      <c r="M210" s="211"/>
      <c r="N210" s="15">
        <v>970000</v>
      </c>
      <c r="O210" s="15">
        <v>0</v>
      </c>
      <c r="P210" s="15"/>
      <c r="Q210" s="15"/>
      <c r="R210" s="15">
        <f t="shared" si="529"/>
        <v>970000</v>
      </c>
      <c r="S210" s="211"/>
      <c r="T210" s="15">
        <v>1164000</v>
      </c>
      <c r="U210" s="15">
        <v>0</v>
      </c>
      <c r="V210" s="15"/>
      <c r="W210" s="15"/>
      <c r="X210" s="15">
        <f t="shared" si="530"/>
        <v>1164000</v>
      </c>
      <c r="Y210" s="211"/>
      <c r="Z210" s="15">
        <v>0</v>
      </c>
      <c r="AA210" s="15">
        <v>0</v>
      </c>
      <c r="AB210" s="15"/>
      <c r="AC210" s="15"/>
      <c r="AD210" s="15">
        <f t="shared" si="531"/>
        <v>0</v>
      </c>
      <c r="AE210" s="211"/>
      <c r="AF210" s="15">
        <v>0</v>
      </c>
      <c r="AG210" s="15">
        <v>0</v>
      </c>
      <c r="AH210" s="15"/>
      <c r="AI210" s="15"/>
      <c r="AJ210" s="15">
        <f t="shared" si="532"/>
        <v>0</v>
      </c>
      <c r="AK210" s="211"/>
      <c r="AL210" s="15">
        <v>0</v>
      </c>
      <c r="AM210" s="15">
        <v>0</v>
      </c>
      <c r="AN210" s="15"/>
      <c r="AO210" s="15"/>
      <c r="AP210" s="15">
        <f t="shared" si="533"/>
        <v>0</v>
      </c>
      <c r="AQ210" s="211"/>
      <c r="AR210" s="7">
        <v>0</v>
      </c>
      <c r="AS210" s="7">
        <v>0</v>
      </c>
      <c r="AT210" s="7"/>
      <c r="AU210" s="7"/>
      <c r="AV210" s="7">
        <f t="shared" si="534"/>
        <v>0</v>
      </c>
      <c r="AW210"/>
      <c r="AX210" s="7">
        <f t="shared" ref="AX210:AX217" si="537">B210+H210+N210+T210+Z210+AF210+AL210+AR210</f>
        <v>3055500</v>
      </c>
      <c r="AY210" s="7">
        <f t="shared" si="535"/>
        <v>0</v>
      </c>
      <c r="AZ210" s="7">
        <f t="shared" si="535"/>
        <v>0</v>
      </c>
      <c r="BA210" s="7">
        <f t="shared" si="535"/>
        <v>0</v>
      </c>
      <c r="BB210" s="15">
        <f t="shared" si="536"/>
        <v>3055500</v>
      </c>
    </row>
    <row r="211" spans="1:54" x14ac:dyDescent="0.25">
      <c r="A211" s="210" t="s">
        <v>180</v>
      </c>
      <c r="B211" s="7"/>
      <c r="C211" s="7"/>
      <c r="D211" s="7"/>
      <c r="E211" s="7"/>
      <c r="F211" s="7">
        <f t="shared" si="527"/>
        <v>0</v>
      </c>
      <c r="H211" s="7">
        <v>2497000</v>
      </c>
      <c r="I211" s="7"/>
      <c r="J211" s="7"/>
      <c r="K211" s="7"/>
      <c r="L211" s="7">
        <f t="shared" si="528"/>
        <v>2497000</v>
      </c>
      <c r="N211" s="7"/>
      <c r="O211" s="7"/>
      <c r="P211" s="7"/>
      <c r="Q211" s="7"/>
      <c r="R211" s="7">
        <f t="shared" si="529"/>
        <v>0</v>
      </c>
      <c r="T211" s="7"/>
      <c r="U211" s="7"/>
      <c r="V211" s="7"/>
      <c r="W211" s="7"/>
      <c r="X211" s="7">
        <f t="shared" si="530"/>
        <v>0</v>
      </c>
      <c r="Z211" s="7"/>
      <c r="AA211" s="7"/>
      <c r="AB211" s="7"/>
      <c r="AC211" s="7"/>
      <c r="AD211" s="7">
        <f t="shared" si="531"/>
        <v>0</v>
      </c>
      <c r="AF211" s="7"/>
      <c r="AG211" s="7"/>
      <c r="AH211" s="7"/>
      <c r="AI211" s="7"/>
      <c r="AJ211" s="7">
        <f t="shared" si="532"/>
        <v>0</v>
      </c>
      <c r="AL211" s="7"/>
      <c r="AM211" s="7"/>
      <c r="AN211" s="7"/>
      <c r="AO211" s="7"/>
      <c r="AP211" s="7">
        <f t="shared" si="533"/>
        <v>0</v>
      </c>
      <c r="AR211" s="7"/>
      <c r="AS211" s="7"/>
      <c r="AT211" s="7"/>
      <c r="AU211" s="7"/>
      <c r="AV211" s="7">
        <f t="shared" si="534"/>
        <v>0</v>
      </c>
      <c r="AX211" s="7">
        <f t="shared" si="537"/>
        <v>2497000</v>
      </c>
      <c r="AY211" s="7">
        <f t="shared" si="535"/>
        <v>0</v>
      </c>
      <c r="AZ211" s="7">
        <f t="shared" si="535"/>
        <v>0</v>
      </c>
      <c r="BA211" s="7">
        <f t="shared" si="535"/>
        <v>0</v>
      </c>
      <c r="BB211" s="7">
        <f t="shared" si="536"/>
        <v>2497000</v>
      </c>
    </row>
    <row r="212" spans="1:54" hidden="1" x14ac:dyDescent="0.25">
      <c r="A212" s="210"/>
      <c r="B212" s="7"/>
      <c r="C212" s="7"/>
      <c r="D212" s="7"/>
      <c r="E212" s="7"/>
      <c r="F212" s="7">
        <f t="shared" si="527"/>
        <v>0</v>
      </c>
      <c r="H212" s="7"/>
      <c r="I212" s="7"/>
      <c r="J212" s="7"/>
      <c r="K212" s="7"/>
      <c r="L212" s="7">
        <f t="shared" si="528"/>
        <v>0</v>
      </c>
      <c r="N212" s="7"/>
      <c r="O212" s="7"/>
      <c r="P212" s="7"/>
      <c r="Q212" s="7"/>
      <c r="R212" s="7">
        <f t="shared" si="529"/>
        <v>0</v>
      </c>
      <c r="T212" s="7"/>
      <c r="U212" s="7"/>
      <c r="V212" s="7"/>
      <c r="W212" s="7"/>
      <c r="X212" s="7">
        <f t="shared" si="530"/>
        <v>0</v>
      </c>
      <c r="Z212" s="7"/>
      <c r="AA212" s="7"/>
      <c r="AB212" s="7"/>
      <c r="AC212" s="7"/>
      <c r="AD212" s="7">
        <f t="shared" si="531"/>
        <v>0</v>
      </c>
      <c r="AF212" s="7"/>
      <c r="AG212" s="7"/>
      <c r="AH212" s="7"/>
      <c r="AI212" s="7"/>
      <c r="AJ212" s="7">
        <f t="shared" si="532"/>
        <v>0</v>
      </c>
      <c r="AL212" s="7"/>
      <c r="AM212" s="7"/>
      <c r="AN212" s="7"/>
      <c r="AO212" s="7"/>
      <c r="AP212" s="7">
        <f t="shared" si="533"/>
        <v>0</v>
      </c>
      <c r="AR212" s="7"/>
      <c r="AS212" s="7"/>
      <c r="AT212" s="7"/>
      <c r="AU212" s="7"/>
      <c r="AV212" s="7">
        <f t="shared" si="534"/>
        <v>0</v>
      </c>
      <c r="AX212" s="7">
        <f t="shared" si="537"/>
        <v>0</v>
      </c>
      <c r="AY212" s="7">
        <f t="shared" si="535"/>
        <v>0</v>
      </c>
      <c r="AZ212" s="7">
        <f t="shared" si="535"/>
        <v>0</v>
      </c>
      <c r="BA212" s="7">
        <f t="shared" si="535"/>
        <v>0</v>
      </c>
      <c r="BB212" s="7">
        <f t="shared" si="536"/>
        <v>0</v>
      </c>
    </row>
    <row r="213" spans="1:54" hidden="1" x14ac:dyDescent="0.25">
      <c r="A213" s="106"/>
      <c r="B213" s="7"/>
      <c r="C213" s="7"/>
      <c r="D213" s="7"/>
      <c r="E213" s="7"/>
      <c r="F213" s="7">
        <f t="shared" si="527"/>
        <v>0</v>
      </c>
      <c r="H213" s="7"/>
      <c r="I213" s="7"/>
      <c r="J213" s="7"/>
      <c r="K213" s="7"/>
      <c r="L213" s="7">
        <f t="shared" si="528"/>
        <v>0</v>
      </c>
      <c r="N213" s="7"/>
      <c r="O213" s="7"/>
      <c r="P213" s="7"/>
      <c r="Q213" s="7"/>
      <c r="R213" s="7">
        <f t="shared" si="529"/>
        <v>0</v>
      </c>
      <c r="T213" s="7"/>
      <c r="U213" s="7"/>
      <c r="V213" s="7"/>
      <c r="W213" s="7"/>
      <c r="X213" s="7">
        <f t="shared" si="530"/>
        <v>0</v>
      </c>
      <c r="Z213" s="7"/>
      <c r="AA213" s="7"/>
      <c r="AB213" s="7"/>
      <c r="AC213" s="7"/>
      <c r="AD213" s="7">
        <f t="shared" si="531"/>
        <v>0</v>
      </c>
      <c r="AF213" s="7"/>
      <c r="AG213" s="7"/>
      <c r="AH213" s="7"/>
      <c r="AI213" s="7"/>
      <c r="AJ213" s="7">
        <f t="shared" si="532"/>
        <v>0</v>
      </c>
      <c r="AL213" s="7"/>
      <c r="AM213" s="7"/>
      <c r="AN213" s="7"/>
      <c r="AO213" s="7"/>
      <c r="AP213" s="7">
        <f t="shared" si="533"/>
        <v>0</v>
      </c>
      <c r="AR213" s="7"/>
      <c r="AS213" s="7"/>
      <c r="AT213" s="7"/>
      <c r="AU213" s="7"/>
      <c r="AV213" s="7">
        <f t="shared" si="534"/>
        <v>0</v>
      </c>
      <c r="AX213" s="7">
        <f t="shared" si="537"/>
        <v>0</v>
      </c>
      <c r="AY213" s="7">
        <f t="shared" si="535"/>
        <v>0</v>
      </c>
      <c r="AZ213" s="7">
        <f t="shared" si="535"/>
        <v>0</v>
      </c>
      <c r="BA213" s="7">
        <f t="shared" si="535"/>
        <v>0</v>
      </c>
      <c r="BB213" s="7">
        <f t="shared" si="536"/>
        <v>0</v>
      </c>
    </row>
    <row r="214" spans="1:54" hidden="1" x14ac:dyDescent="0.25">
      <c r="A214" s="106"/>
      <c r="B214" s="7"/>
      <c r="C214" s="7"/>
      <c r="D214" s="7"/>
      <c r="E214" s="7"/>
      <c r="F214" s="7">
        <f t="shared" si="527"/>
        <v>0</v>
      </c>
      <c r="H214" s="7"/>
      <c r="I214" s="7"/>
      <c r="J214" s="7"/>
      <c r="K214" s="7"/>
      <c r="L214" s="7">
        <f t="shared" si="528"/>
        <v>0</v>
      </c>
      <c r="N214" s="7"/>
      <c r="O214" s="7"/>
      <c r="P214" s="7"/>
      <c r="Q214" s="7"/>
      <c r="R214" s="7">
        <f t="shared" si="529"/>
        <v>0</v>
      </c>
      <c r="T214" s="7"/>
      <c r="U214" s="7"/>
      <c r="V214" s="7"/>
      <c r="W214" s="7"/>
      <c r="X214" s="7">
        <f t="shared" si="530"/>
        <v>0</v>
      </c>
      <c r="Z214" s="7"/>
      <c r="AA214" s="7"/>
      <c r="AB214" s="7"/>
      <c r="AC214" s="7"/>
      <c r="AD214" s="7">
        <f t="shared" si="531"/>
        <v>0</v>
      </c>
      <c r="AF214" s="7"/>
      <c r="AG214" s="7"/>
      <c r="AH214" s="7"/>
      <c r="AI214" s="7"/>
      <c r="AJ214" s="7">
        <f t="shared" si="532"/>
        <v>0</v>
      </c>
      <c r="AL214" s="7"/>
      <c r="AM214" s="7"/>
      <c r="AN214" s="7"/>
      <c r="AO214" s="7"/>
      <c r="AP214" s="7">
        <f t="shared" si="533"/>
        <v>0</v>
      </c>
      <c r="AR214" s="7"/>
      <c r="AS214" s="7"/>
      <c r="AT214" s="7"/>
      <c r="AU214" s="7"/>
      <c r="AV214" s="7">
        <f t="shared" si="534"/>
        <v>0</v>
      </c>
      <c r="AX214" s="7">
        <f t="shared" si="537"/>
        <v>0</v>
      </c>
      <c r="AY214" s="7">
        <f t="shared" si="535"/>
        <v>0</v>
      </c>
      <c r="AZ214" s="7">
        <f t="shared" si="535"/>
        <v>0</v>
      </c>
      <c r="BA214" s="7">
        <f t="shared" si="535"/>
        <v>0</v>
      </c>
      <c r="BB214" s="7">
        <f t="shared" si="536"/>
        <v>0</v>
      </c>
    </row>
    <row r="215" spans="1:54" hidden="1" x14ac:dyDescent="0.25">
      <c r="A215" s="106"/>
      <c r="B215" s="7"/>
      <c r="C215" s="7"/>
      <c r="D215" s="7"/>
      <c r="E215" s="7"/>
      <c r="F215" s="7">
        <f t="shared" si="527"/>
        <v>0</v>
      </c>
      <c r="H215" s="7"/>
      <c r="I215" s="7"/>
      <c r="J215" s="7"/>
      <c r="K215" s="7"/>
      <c r="L215" s="7">
        <f t="shared" si="528"/>
        <v>0</v>
      </c>
      <c r="N215" s="7"/>
      <c r="O215" s="7"/>
      <c r="P215" s="7"/>
      <c r="Q215" s="7"/>
      <c r="R215" s="7">
        <f t="shared" si="529"/>
        <v>0</v>
      </c>
      <c r="T215" s="7"/>
      <c r="U215" s="7"/>
      <c r="V215" s="7"/>
      <c r="W215" s="7"/>
      <c r="X215" s="7">
        <f t="shared" si="530"/>
        <v>0</v>
      </c>
      <c r="Z215" s="7"/>
      <c r="AA215" s="7"/>
      <c r="AB215" s="7"/>
      <c r="AC215" s="7"/>
      <c r="AD215" s="7">
        <f t="shared" si="531"/>
        <v>0</v>
      </c>
      <c r="AF215" s="7"/>
      <c r="AG215" s="7"/>
      <c r="AH215" s="7"/>
      <c r="AI215" s="7"/>
      <c r="AJ215" s="7">
        <f t="shared" si="532"/>
        <v>0</v>
      </c>
      <c r="AL215" s="7"/>
      <c r="AM215" s="7"/>
      <c r="AN215" s="7"/>
      <c r="AO215" s="7"/>
      <c r="AP215" s="7">
        <f t="shared" si="533"/>
        <v>0</v>
      </c>
      <c r="AR215" s="7"/>
      <c r="AS215" s="7"/>
      <c r="AT215" s="7"/>
      <c r="AU215" s="7"/>
      <c r="AV215" s="7">
        <f t="shared" si="534"/>
        <v>0</v>
      </c>
      <c r="AX215" s="7">
        <f t="shared" si="537"/>
        <v>0</v>
      </c>
      <c r="AY215" s="7">
        <f t="shared" si="535"/>
        <v>0</v>
      </c>
      <c r="AZ215" s="7">
        <f t="shared" si="535"/>
        <v>0</v>
      </c>
      <c r="BA215" s="7">
        <f t="shared" si="535"/>
        <v>0</v>
      </c>
      <c r="BB215" s="7">
        <f t="shared" si="536"/>
        <v>0</v>
      </c>
    </row>
    <row r="216" spans="1:54" x14ac:dyDescent="0.25">
      <c r="A216" s="106" t="s">
        <v>180</v>
      </c>
      <c r="B216" s="7"/>
      <c r="C216" s="7"/>
      <c r="D216" s="7"/>
      <c r="E216" s="7"/>
      <c r="F216" s="7">
        <f t="shared" si="527"/>
        <v>0</v>
      </c>
      <c r="H216" s="7"/>
      <c r="I216" s="7"/>
      <c r="J216" s="7"/>
      <c r="K216" s="7"/>
      <c r="L216" s="7">
        <f t="shared" si="528"/>
        <v>0</v>
      </c>
      <c r="N216" s="7"/>
      <c r="O216" s="7"/>
      <c r="P216" s="7"/>
      <c r="Q216" s="7"/>
      <c r="R216" s="7">
        <f t="shared" si="529"/>
        <v>0</v>
      </c>
      <c r="T216" s="7"/>
      <c r="U216" s="7"/>
      <c r="V216" s="7"/>
      <c r="W216" s="7"/>
      <c r="X216" s="7">
        <f t="shared" si="530"/>
        <v>0</v>
      </c>
      <c r="Z216" s="7">
        <v>3904000</v>
      </c>
      <c r="AA216" s="7"/>
      <c r="AB216" s="7"/>
      <c r="AC216" s="7"/>
      <c r="AD216" s="7">
        <f t="shared" si="531"/>
        <v>3904000</v>
      </c>
      <c r="AF216" s="7">
        <v>0</v>
      </c>
      <c r="AG216" s="7"/>
      <c r="AH216" s="7"/>
      <c r="AI216" s="7"/>
      <c r="AJ216" s="7">
        <f t="shared" si="532"/>
        <v>0</v>
      </c>
      <c r="AL216" s="7">
        <v>0</v>
      </c>
      <c r="AM216" s="7"/>
      <c r="AN216" s="7"/>
      <c r="AO216" s="7"/>
      <c r="AP216" s="7">
        <f t="shared" si="533"/>
        <v>0</v>
      </c>
      <c r="AR216" s="7"/>
      <c r="AS216" s="7"/>
      <c r="AT216" s="7"/>
      <c r="AU216" s="7"/>
      <c r="AV216" s="7">
        <f t="shared" si="534"/>
        <v>0</v>
      </c>
      <c r="AX216" s="7">
        <f t="shared" si="537"/>
        <v>3904000</v>
      </c>
      <c r="AY216" s="7">
        <f t="shared" si="535"/>
        <v>0</v>
      </c>
      <c r="AZ216" s="7">
        <f t="shared" si="535"/>
        <v>0</v>
      </c>
      <c r="BA216" s="7">
        <f t="shared" si="535"/>
        <v>0</v>
      </c>
      <c r="BB216" s="7">
        <f t="shared" si="536"/>
        <v>3904000</v>
      </c>
    </row>
    <row r="217" spans="1:54" x14ac:dyDescent="0.25">
      <c r="A217" s="107" t="s">
        <v>181</v>
      </c>
      <c r="B217" s="7">
        <v>30000</v>
      </c>
      <c r="C217" s="7">
        <v>0</v>
      </c>
      <c r="D217" s="7"/>
      <c r="E217" s="7"/>
      <c r="F217" s="7">
        <f t="shared" si="527"/>
        <v>30000</v>
      </c>
      <c r="H217" s="7"/>
      <c r="I217" s="7">
        <v>0</v>
      </c>
      <c r="J217" s="7"/>
      <c r="K217" s="7"/>
      <c r="L217" s="7">
        <f t="shared" si="528"/>
        <v>0</v>
      </c>
      <c r="N217" s="7"/>
      <c r="O217" s="7">
        <v>0</v>
      </c>
      <c r="P217" s="7"/>
      <c r="Q217" s="7"/>
      <c r="R217" s="7">
        <f t="shared" si="529"/>
        <v>0</v>
      </c>
      <c r="T217" s="7"/>
      <c r="U217" s="7">
        <v>0</v>
      </c>
      <c r="V217" s="7"/>
      <c r="W217" s="7"/>
      <c r="X217" s="7">
        <f t="shared" si="530"/>
        <v>0</v>
      </c>
      <c r="Z217" s="7"/>
      <c r="AA217" s="7">
        <v>0</v>
      </c>
      <c r="AB217" s="7"/>
      <c r="AC217" s="7"/>
      <c r="AD217" s="7">
        <f t="shared" si="531"/>
        <v>0</v>
      </c>
      <c r="AF217" s="7"/>
      <c r="AG217" s="7">
        <v>0</v>
      </c>
      <c r="AH217" s="7"/>
      <c r="AI217" s="7"/>
      <c r="AJ217" s="7">
        <f t="shared" si="532"/>
        <v>0</v>
      </c>
      <c r="AL217" s="7"/>
      <c r="AM217" s="7">
        <v>0</v>
      </c>
      <c r="AN217" s="7"/>
      <c r="AO217" s="7"/>
      <c r="AP217" s="7">
        <f t="shared" si="533"/>
        <v>0</v>
      </c>
      <c r="AR217" s="7">
        <v>0</v>
      </c>
      <c r="AS217" s="7">
        <v>0</v>
      </c>
      <c r="AT217" s="7"/>
      <c r="AU217" s="7"/>
      <c r="AV217" s="7">
        <f t="shared" si="534"/>
        <v>0</v>
      </c>
      <c r="AX217" s="7">
        <f t="shared" si="537"/>
        <v>30000</v>
      </c>
      <c r="AY217" s="7">
        <f t="shared" si="535"/>
        <v>0</v>
      </c>
      <c r="AZ217" s="7">
        <f t="shared" si="535"/>
        <v>0</v>
      </c>
      <c r="BA217" s="7">
        <f t="shared" si="535"/>
        <v>0</v>
      </c>
      <c r="BB217" s="7">
        <f t="shared" si="536"/>
        <v>30000</v>
      </c>
    </row>
    <row r="218" spans="1:54" x14ac:dyDescent="0.25">
      <c r="A218" s="146"/>
      <c r="B218" s="7"/>
      <c r="C218" s="7"/>
      <c r="D218" s="7"/>
      <c r="E218" s="7"/>
      <c r="F218" s="7">
        <f t="shared" si="527"/>
        <v>0</v>
      </c>
      <c r="H218" s="7"/>
      <c r="I218" s="7"/>
      <c r="J218" s="7"/>
      <c r="K218" s="7"/>
      <c r="L218" s="7">
        <f t="shared" si="528"/>
        <v>0</v>
      </c>
      <c r="N218" s="7"/>
      <c r="O218" s="7"/>
      <c r="P218" s="7"/>
      <c r="Q218" s="7"/>
      <c r="R218" s="7">
        <f t="shared" si="529"/>
        <v>0</v>
      </c>
      <c r="T218" s="7"/>
      <c r="U218" s="7"/>
      <c r="V218" s="7"/>
      <c r="W218" s="7"/>
      <c r="X218" s="7">
        <f t="shared" si="530"/>
        <v>0</v>
      </c>
      <c r="Z218" s="7"/>
      <c r="AA218" s="7"/>
      <c r="AB218" s="7"/>
      <c r="AC218" s="7"/>
      <c r="AD218" s="7">
        <f t="shared" si="531"/>
        <v>0</v>
      </c>
      <c r="AF218" s="7"/>
      <c r="AG218" s="7"/>
      <c r="AH218" s="7"/>
      <c r="AI218" s="7"/>
      <c r="AJ218" s="7">
        <f t="shared" si="532"/>
        <v>0</v>
      </c>
      <c r="AL218" s="7"/>
      <c r="AM218" s="7"/>
      <c r="AN218" s="7"/>
      <c r="AO218" s="7"/>
      <c r="AP218" s="7">
        <f t="shared" si="533"/>
        <v>0</v>
      </c>
      <c r="AR218" s="7"/>
      <c r="AS218" s="7"/>
      <c r="AT218" s="7"/>
      <c r="AU218" s="7"/>
      <c r="AV218" s="7">
        <f t="shared" si="534"/>
        <v>0</v>
      </c>
      <c r="AX218" s="7">
        <f t="shared" ref="AX218:AX219" si="538">B218+H218+N218+T218+Z218+AL218+AR218</f>
        <v>0</v>
      </c>
      <c r="AY218" s="7">
        <f t="shared" ref="AY218:BA219" si="539">C218+I218+O218+U218+AA218+AM218+AS218</f>
        <v>0</v>
      </c>
      <c r="AZ218" s="7">
        <f t="shared" si="539"/>
        <v>0</v>
      </c>
      <c r="BA218" s="7">
        <f t="shared" si="539"/>
        <v>0</v>
      </c>
      <c r="BB218" s="7">
        <f t="shared" si="536"/>
        <v>0</v>
      </c>
    </row>
    <row r="219" spans="1:54" x14ac:dyDescent="0.25">
      <c r="A219" s="147"/>
      <c r="B219" s="7"/>
      <c r="C219" s="7"/>
      <c r="D219" s="7"/>
      <c r="E219" s="7"/>
      <c r="F219" s="7"/>
      <c r="H219" s="7"/>
      <c r="I219" s="7"/>
      <c r="J219" s="7"/>
      <c r="K219" s="7"/>
      <c r="L219" s="7"/>
      <c r="N219" s="7"/>
      <c r="O219" s="7"/>
      <c r="P219" s="7"/>
      <c r="Q219" s="7"/>
      <c r="R219" s="7"/>
      <c r="T219" s="7"/>
      <c r="U219" s="7"/>
      <c r="V219" s="7"/>
      <c r="W219" s="7"/>
      <c r="X219" s="7"/>
      <c r="Z219" s="7"/>
      <c r="AA219" s="7"/>
      <c r="AB219" s="7"/>
      <c r="AC219" s="7"/>
      <c r="AD219" s="7"/>
      <c r="AF219" s="7"/>
      <c r="AG219" s="7"/>
      <c r="AH219" s="7"/>
      <c r="AI219" s="7"/>
      <c r="AJ219" s="7"/>
      <c r="AL219" s="7"/>
      <c r="AM219" s="7"/>
      <c r="AN219" s="7"/>
      <c r="AO219" s="7"/>
      <c r="AP219" s="7"/>
      <c r="AR219" s="7"/>
      <c r="AS219" s="7"/>
      <c r="AT219" s="7"/>
      <c r="AU219" s="7"/>
      <c r="AV219" s="7"/>
      <c r="AX219" s="7">
        <f t="shared" si="538"/>
        <v>0</v>
      </c>
      <c r="AY219" s="7">
        <f t="shared" si="539"/>
        <v>0</v>
      </c>
      <c r="AZ219" s="7">
        <f t="shared" si="539"/>
        <v>0</v>
      </c>
      <c r="BA219" s="7">
        <f t="shared" si="539"/>
        <v>0</v>
      </c>
      <c r="BB219" s="7"/>
    </row>
    <row r="220" spans="1:54" ht="15.75" thickBot="1" x14ac:dyDescent="0.3">
      <c r="A220" s="144" t="s">
        <v>183</v>
      </c>
      <c r="B220" s="145">
        <f>B86-B207-B209-B210-B216-B217</f>
        <v>652841.8979302207</v>
      </c>
      <c r="C220" s="145">
        <f>C86-C207-C209-C210-C216-C217</f>
        <v>-92551.886105870042</v>
      </c>
      <c r="D220" s="145">
        <f>D86-D207-D209-D210-D216-D217</f>
        <v>-512916.32054577768</v>
      </c>
      <c r="E220" s="145">
        <f>E86-E207-E209-E210-E216-E217</f>
        <v>-11507.159999999974</v>
      </c>
      <c r="F220" s="145">
        <f>F86-F207-F209-F210-F216-F217-F211</f>
        <v>35866.531278572977</v>
      </c>
      <c r="H220" s="145">
        <f>H86-H207-H209-H210-H216-H217</f>
        <v>5054682.1608138289</v>
      </c>
      <c r="I220" s="145">
        <f>I86-I207-I209-I210-I216-I217</f>
        <v>-185656.01067959334</v>
      </c>
      <c r="J220" s="145">
        <f>J86-J207-J209-J210-J216-J217</f>
        <v>-1278171.895515447</v>
      </c>
      <c r="K220" s="145">
        <f>K86-K207-K209-K210-K216-K217</f>
        <v>-31041.600000000093</v>
      </c>
      <c r="L220" s="145">
        <f>L86-L207-L209-L210-L216-L217-L211</f>
        <v>1062812.6546187885</v>
      </c>
      <c r="N220" s="145">
        <f>N86-N207-N209-N210-N216-N217</f>
        <v>1070670.8530911803</v>
      </c>
      <c r="O220" s="145">
        <f>O86-O207-O209-O210-O216-O217</f>
        <v>-170825.85990479856</v>
      </c>
      <c r="P220" s="145">
        <f>P86-P207-P209-P210-P216-P217</f>
        <v>-533736.57872960018</v>
      </c>
      <c r="Q220" s="145">
        <f>Q86-Q207-Q209-Q210-Q216-Q217</f>
        <v>-12510.000000000029</v>
      </c>
      <c r="R220" s="145">
        <f>R86-R207-R209-R210-R216-R217-R211</f>
        <v>353598.41445678193</v>
      </c>
      <c r="T220" s="145">
        <f>T86-T207-T209-T210-T216-T217</f>
        <v>1122135.8036449868</v>
      </c>
      <c r="U220" s="145">
        <f>U86-U207-U209-U210-U216-U217</f>
        <v>-78321.716705789819</v>
      </c>
      <c r="V220" s="145">
        <f>V86-V207-V209-V210-V216-V217</f>
        <v>-563051.8693716086</v>
      </c>
      <c r="W220" s="145">
        <f>W86-W207-W209-W210-W216-W217</f>
        <v>-20799</v>
      </c>
      <c r="X220" s="145">
        <f>X86-X207-X209-X210-X216-X217-X211</f>
        <v>459963.2175675882</v>
      </c>
      <c r="Z220" s="145">
        <f>Z86-Z207-Z209-Z210-Z216-Z217</f>
        <v>1911890.8995466065</v>
      </c>
      <c r="AA220" s="145">
        <f>AA86-AA207-AA209-AA210-AA216-AA217</f>
        <v>-91828.48291023355</v>
      </c>
      <c r="AB220" s="145">
        <f>AB86-AB207-AB209-AB210-AB216-AB217</f>
        <v>-1210168.2027864768</v>
      </c>
      <c r="AC220" s="145">
        <f>AC86-AC207-AC209-AC210-AC216-AC217</f>
        <v>-24656.880000000005</v>
      </c>
      <c r="AD220" s="145">
        <f>AD86-AD207-AD209-AD210-AD216-AD217-AD211</f>
        <v>585237.33384989761</v>
      </c>
      <c r="AF220" s="145">
        <f>AF86-AF207-AF209-AF210-AF216-AF217</f>
        <v>417349.16222506203</v>
      </c>
      <c r="AG220" s="145">
        <f>AG86-AG207-AG209-AG210-AG216-AG217</f>
        <v>118247.46779999993</v>
      </c>
      <c r="AH220" s="145">
        <f>AH86-AH207-AH209-AH210-AH216-AH217</f>
        <v>-460604.55000000005</v>
      </c>
      <c r="AI220" s="145">
        <f>AI86-AI207-AI209-AI210-AI216-AI217</f>
        <v>44416.050000000105</v>
      </c>
      <c r="AJ220" s="145">
        <f>AJ86-AJ207-AJ209-AJ210-AJ216-AJ217-AJ211</f>
        <v>119408.13002506271</v>
      </c>
      <c r="AL220" s="145">
        <f>AL86-AL207-AL209-AL210-AL216-AL217</f>
        <v>-238754.1669649856</v>
      </c>
      <c r="AM220" s="145">
        <f>AM86-AM207-AM209-AM210-AM216-AM217</f>
        <v>-42116.334816082002</v>
      </c>
      <c r="AN220" s="145">
        <f>AN86-AN207-AN209-AN210-AN216-AN217</f>
        <v>0</v>
      </c>
      <c r="AO220" s="145">
        <f>AO86-AO207-AO209-AO210-AO216-AO217</f>
        <v>0</v>
      </c>
      <c r="AP220" s="145">
        <f>AP86-AP207-AP209-AP210-AP216-AP217-AP211</f>
        <v>-280870.50178106758</v>
      </c>
      <c r="AR220" s="145">
        <f>AR86-AR207-AR209-AR210-AR216-AR217</f>
        <v>593491.35000000009</v>
      </c>
      <c r="AS220" s="145">
        <f>AS86-AS207-AS209-AS210-AS216-AS217</f>
        <v>22413.845000000001</v>
      </c>
      <c r="AT220" s="145">
        <f>AT86-AT207-AT209-AT210-AT216-AT217</f>
        <v>-117935.20000000001</v>
      </c>
      <c r="AU220" s="145">
        <f>AU86-AU207-AU209-AU210-AU216-AU217</f>
        <v>14107.999999999971</v>
      </c>
      <c r="AV220" s="145">
        <f>AV86-AV207-AV209-AV210-AV216-AV217</f>
        <v>512077.99500000011</v>
      </c>
      <c r="AX220" s="145">
        <f>AX86-AX207-AX209-AX210-AX216-AX217</f>
        <v>10584307.960286915</v>
      </c>
      <c r="AY220" s="145">
        <f>AY86-AY207-AY209-AY210-AY216-AY217</f>
        <v>-520638.97832236718</v>
      </c>
      <c r="AZ220" s="145">
        <f>AZ86-AZ207-AZ209-AZ210-AZ216-AZ217</f>
        <v>-4676584.6169489101</v>
      </c>
      <c r="BA220" s="145">
        <f>BA86-BA207-BA209-BA210-BA216-BA217</f>
        <v>-41990.590000000317</v>
      </c>
      <c r="BB220" s="145">
        <f>BB86-BB207-BB209-BB210-BB216-BB217-BB211</f>
        <v>2848093.7750156447</v>
      </c>
    </row>
    <row r="221" spans="1:54" ht="15.75" thickBot="1" x14ac:dyDescent="0.3">
      <c r="A221" s="108"/>
      <c r="B221" s="110">
        <f>B220/(B86-B76)</f>
        <v>9.0643342786603659E-2</v>
      </c>
      <c r="C221" s="110">
        <f>C220/(C86-C76)</f>
        <v>-0.75053118732138491</v>
      </c>
      <c r="D221" s="110">
        <f>D220/(D86-D76)</f>
        <v>-1.4220721056055847</v>
      </c>
      <c r="E221" s="110">
        <f>E220/(E86)</f>
        <v>-5.1298333083688065E-2</v>
      </c>
      <c r="F221" s="110">
        <f>F220/(F86-F76)</f>
        <v>4.6661401977895686E-3</v>
      </c>
      <c r="H221" s="110">
        <f>H220/(H86-H76)</f>
        <v>0.2612815077964491</v>
      </c>
      <c r="I221" s="110">
        <f>I220/(I86-I76)</f>
        <v>-0.75358404004117452</v>
      </c>
      <c r="J221" s="110">
        <f>J220/(J86-J76)</f>
        <v>-1.1642935851825251</v>
      </c>
      <c r="K221" s="110">
        <f>K220/(K86)</f>
        <v>-5.0137612900725041E-2</v>
      </c>
      <c r="L221" s="110">
        <f>L220/(L86-L76)</f>
        <v>5.1366869273609624E-2</v>
      </c>
      <c r="N221" s="110">
        <f>N220/(N86-N76)</f>
        <v>0.13695768111315834</v>
      </c>
      <c r="O221" s="110">
        <f>O220/(O86-O76)</f>
        <v>-1.3375132901510234</v>
      </c>
      <c r="P221" s="110">
        <f>P220/(P86-P76)</f>
        <v>-2.0449740027157177</v>
      </c>
      <c r="Q221" s="110">
        <f>Q220/(Q86)</f>
        <v>-6.5066783173137091E-2</v>
      </c>
      <c r="R221" s="110">
        <f>R220/(R86-R76)</f>
        <v>4.3087662238252791E-2</v>
      </c>
      <c r="T221" s="110">
        <f>T220/(T86-T76)</f>
        <v>0.12003005887988358</v>
      </c>
      <c r="U221" s="110">
        <f>U220/(U86-U76)</f>
        <v>-0.69771758036356557</v>
      </c>
      <c r="V221" s="110">
        <f>V220/(V86-V76)</f>
        <v>-1.4577553057281394</v>
      </c>
      <c r="W221" s="110">
        <f>W220/(W86)</f>
        <v>-0.18077048432305587</v>
      </c>
      <c r="X221" s="110">
        <f>X220/(X86-X76)</f>
        <v>4.6708486524477337E-2</v>
      </c>
      <c r="Z221" s="110">
        <f>Z220/(Z86-Z76)</f>
        <v>0.10232737886191888</v>
      </c>
      <c r="AA221" s="110">
        <f>AA220/(AA86-AA76)</f>
        <v>-0.51962201947795994</v>
      </c>
      <c r="AB221" s="110">
        <f>AB220/(AB86-AB76)</f>
        <v>-1.7262064467911424</v>
      </c>
      <c r="AC221" s="110">
        <f>AC220/(AC86)</f>
        <v>-6.7048888250765229E-2</v>
      </c>
      <c r="AD221" s="110">
        <f>AD220/(AD86-AD76)</f>
        <v>2.9916563314432616E-2</v>
      </c>
      <c r="AF221" s="110">
        <f>AF220/(AF86-AF76)</f>
        <v>5.0226203166254833E-2</v>
      </c>
      <c r="AG221" s="110">
        <f>AG220/(AG86-AG76)</f>
        <v>0.22144178374024798</v>
      </c>
      <c r="AH221" s="110">
        <f>AH220/(AH86-AH76)</f>
        <v>-1.1356127958579882</v>
      </c>
      <c r="AI221" s="110">
        <f>AI220/(AI86)</f>
        <v>9.033469111818361E-2</v>
      </c>
      <c r="AJ221" s="110">
        <f>AJ220/(AJ86-AJ76)</f>
        <v>1.2910075672532328E-2</v>
      </c>
      <c r="AL221" s="110">
        <f>AL220/(AL86-AL76)</f>
        <v>-87.777267266538828</v>
      </c>
      <c r="AM221" s="110">
        <f>AM220/(AM86-AM76)</f>
        <v>-350.96945680068336</v>
      </c>
      <c r="AN221" s="110" t="e">
        <f>AN220/(AN86-AN76)</f>
        <v>#DIV/0!</v>
      </c>
      <c r="AO221" s="110" t="e">
        <f>AO220/(AO86)</f>
        <v>#DIV/0!</v>
      </c>
      <c r="AP221" s="110">
        <f>AP220/(AP86-AP76)</f>
        <v>-98.898064007418157</v>
      </c>
      <c r="AR221" s="110">
        <f>AR220/(AR86-AR76)</f>
        <v>0.20274775898115635</v>
      </c>
      <c r="AS221" s="110">
        <f>AS220/(AS86-AS76)</f>
        <v>0.72658989237551874</v>
      </c>
      <c r="AT221" s="110">
        <f>AT220/(AT86-AT76)</f>
        <v>-1.1117571644042232</v>
      </c>
      <c r="AU221" s="110">
        <f>AU220/(AU86)</f>
        <v>0.13103730123346682</v>
      </c>
      <c r="AV221" s="110">
        <f>AV220/(AV86-AV76)</f>
        <v>0.1663040129671392</v>
      </c>
      <c r="AX221" s="110">
        <f>AX220/(AX86-AX76)</f>
        <v>0.14373475276123904</v>
      </c>
      <c r="AY221" s="110">
        <f>AY220/(AY86-AY76)</f>
        <v>-0.38527863053992939</v>
      </c>
      <c r="AZ221" s="110">
        <f>AZ220/(AZ86-AZ76)</f>
        <v>-1.4092580980117937</v>
      </c>
      <c r="BA221" s="110">
        <f>BA220/(BA86)</f>
        <v>-1.9826896953854371E-2</v>
      </c>
      <c r="BB221" s="110">
        <f>BB220/(BB86-BB76)</f>
        <v>3.636263167944799E-2</v>
      </c>
    </row>
    <row r="222" spans="1:54" x14ac:dyDescent="0.25">
      <c r="B222" s="111"/>
      <c r="C222" s="111"/>
      <c r="D222" s="111"/>
      <c r="E222" s="111"/>
      <c r="F222" s="111"/>
      <c r="H222" s="111"/>
      <c r="I222" s="111"/>
      <c r="J222" s="111"/>
      <c r="K222" s="111"/>
      <c r="L222" s="111"/>
      <c r="N222" s="111"/>
      <c r="O222" s="111"/>
      <c r="P222" s="111"/>
      <c r="Q222" s="111"/>
      <c r="R222" s="111"/>
      <c r="T222" s="111"/>
      <c r="U222" s="111"/>
      <c r="V222" s="111"/>
      <c r="W222" s="111"/>
      <c r="X222" s="111"/>
      <c r="Z222" s="111"/>
      <c r="AA222" s="111"/>
      <c r="AB222" s="111"/>
      <c r="AC222" s="111"/>
      <c r="AD222" s="111"/>
      <c r="AF222" s="111"/>
      <c r="AG222" s="111"/>
      <c r="AH222" s="111"/>
      <c r="AI222" s="111"/>
      <c r="AJ222" s="111"/>
      <c r="AL222" s="111"/>
      <c r="AM222" s="111"/>
      <c r="AN222" s="111"/>
      <c r="AO222" s="111"/>
      <c r="AP222" s="111"/>
      <c r="AR222" s="111"/>
      <c r="AS222" s="111"/>
      <c r="AT222" s="111"/>
      <c r="AU222" s="111"/>
      <c r="AV222" s="111"/>
      <c r="AX222" s="111"/>
      <c r="AY222" s="111"/>
      <c r="AZ222" s="111"/>
      <c r="BA222" s="111"/>
      <c r="BB222" s="111"/>
    </row>
    <row r="223" spans="1:54" x14ac:dyDescent="0.25">
      <c r="A223" s="112" t="str">
        <f>A1</f>
        <v xml:space="preserve"> FY 27</v>
      </c>
      <c r="B223" s="112" t="str">
        <f>B1</f>
        <v>Operating</v>
      </c>
      <c r="C223" s="112" t="str">
        <f>C1</f>
        <v>Weights</v>
      </c>
      <c r="D223" s="112" t="str">
        <f>D1</f>
        <v>SPED</v>
      </c>
      <c r="E223" s="112" t="str">
        <f t="shared" ref="E223:F223" si="540">E1</f>
        <v>NSLP</v>
      </c>
      <c r="F223" s="112" t="str">
        <f t="shared" si="540"/>
        <v>Horizon</v>
      </c>
      <c r="H223" s="112" t="str">
        <f>H1</f>
        <v>Operating</v>
      </c>
      <c r="I223" s="112" t="str">
        <f>I1</f>
        <v>Weights</v>
      </c>
      <c r="J223" s="112" t="str">
        <f>J1</f>
        <v>SPED</v>
      </c>
      <c r="K223" s="112" t="str">
        <f t="shared" ref="K223:L223" si="541">K1</f>
        <v>NSLP</v>
      </c>
      <c r="L223" s="112" t="str">
        <f t="shared" si="541"/>
        <v>Cadence</v>
      </c>
      <c r="N223" s="112" t="str">
        <f>N1</f>
        <v>Operating</v>
      </c>
      <c r="O223" s="112" t="str">
        <f>O1</f>
        <v>Weights</v>
      </c>
      <c r="P223" s="112" t="str">
        <f>P1</f>
        <v>SPED</v>
      </c>
      <c r="Q223" s="112" t="str">
        <f t="shared" ref="Q223:R223" si="542">Q1</f>
        <v>NSLP</v>
      </c>
      <c r="R223" s="112" t="str">
        <f t="shared" si="542"/>
        <v>St. Rose</v>
      </c>
      <c r="T223" s="112" t="str">
        <f>T1</f>
        <v>Operating</v>
      </c>
      <c r="U223" s="112" t="str">
        <f>U1</f>
        <v>Weights</v>
      </c>
      <c r="V223" s="112" t="str">
        <f>V1</f>
        <v>SPED</v>
      </c>
      <c r="W223" s="112" t="str">
        <f t="shared" ref="W223:X223" si="543">W1</f>
        <v>NSLP</v>
      </c>
      <c r="X223" s="112" t="str">
        <f t="shared" si="543"/>
        <v>Inspirada</v>
      </c>
      <c r="Z223" s="112" t="str">
        <f>Z1</f>
        <v>Operating</v>
      </c>
      <c r="AA223" s="112" t="str">
        <f>AA1</f>
        <v>Weights</v>
      </c>
      <c r="AB223" s="112" t="str">
        <f>AB1</f>
        <v>SPED</v>
      </c>
      <c r="AC223" s="112" t="str">
        <f t="shared" ref="AC223:AD223" si="544">AC1</f>
        <v>NSLP</v>
      </c>
      <c r="AD223" s="112" t="str">
        <f t="shared" si="544"/>
        <v>Sloan Canyon</v>
      </c>
      <c r="AF223" s="112" t="str">
        <f>AF1</f>
        <v>Operating</v>
      </c>
      <c r="AG223" s="112" t="str">
        <f>AG1</f>
        <v>Weights</v>
      </c>
      <c r="AH223" s="112" t="str">
        <f>AH1</f>
        <v>SPED</v>
      </c>
      <c r="AI223" s="112" t="str">
        <f t="shared" ref="AI223:AJ223" si="545">AI1</f>
        <v>NSLP</v>
      </c>
      <c r="AJ223" s="112" t="str">
        <f t="shared" si="545"/>
        <v>Springs</v>
      </c>
      <c r="AL223" s="112" t="str">
        <f>AL1</f>
        <v>Operating</v>
      </c>
      <c r="AM223" s="112" t="str">
        <f>AM1</f>
        <v>Weights</v>
      </c>
      <c r="AN223" s="112" t="str">
        <f>AN1</f>
        <v>SPED</v>
      </c>
      <c r="AO223" s="112" t="str">
        <f t="shared" ref="AO223:AP223" si="546">AO1</f>
        <v>NSLP</v>
      </c>
      <c r="AP223" s="112" t="str">
        <f t="shared" si="546"/>
        <v>System Wide</v>
      </c>
      <c r="AR223" s="112" t="str">
        <f>AR1</f>
        <v>Operating</v>
      </c>
      <c r="AS223" s="112" t="str">
        <f>AS1</f>
        <v>Weights</v>
      </c>
      <c r="AT223" s="112" t="str">
        <f>AT1</f>
        <v>SPED</v>
      </c>
      <c r="AU223" s="112" t="str">
        <f t="shared" ref="AU223:AV223" si="547">AU1</f>
        <v>NSLP</v>
      </c>
      <c r="AV223" s="112" t="str">
        <f t="shared" si="547"/>
        <v>Virtual</v>
      </c>
      <c r="AX223" s="112" t="str">
        <f>AX1</f>
        <v>Operating</v>
      </c>
      <c r="AY223" s="112" t="str">
        <f>AY1</f>
        <v>Weights</v>
      </c>
      <c r="AZ223" s="112" t="str">
        <f>AZ1</f>
        <v>SPED</v>
      </c>
      <c r="BA223" s="112" t="str">
        <f t="shared" ref="BA223:BB223" si="548">BA1</f>
        <v>NSLP</v>
      </c>
      <c r="BB223" s="112" t="str">
        <f t="shared" si="548"/>
        <v>Pinecrest System</v>
      </c>
    </row>
    <row r="224" spans="1:54" x14ac:dyDescent="0.25">
      <c r="B224" s="109"/>
      <c r="C224" s="109"/>
      <c r="D224" s="109"/>
      <c r="E224" s="109"/>
      <c r="F224" s="109"/>
      <c r="H224" s="109"/>
      <c r="I224" s="109"/>
      <c r="J224" s="109"/>
      <c r="K224" s="109"/>
      <c r="L224" s="109"/>
      <c r="N224" s="109"/>
      <c r="O224" s="109"/>
      <c r="P224" s="109"/>
      <c r="Q224" s="109"/>
      <c r="R224" s="109"/>
      <c r="T224" s="109"/>
      <c r="U224" s="109"/>
      <c r="V224" s="109"/>
      <c r="W224" s="109"/>
      <c r="X224" s="109"/>
      <c r="Z224" s="109"/>
      <c r="AA224" s="109"/>
      <c r="AB224" s="109"/>
      <c r="AC224" s="109"/>
      <c r="AD224" s="109"/>
      <c r="AF224" s="109"/>
      <c r="AG224" s="109"/>
      <c r="AH224" s="109"/>
      <c r="AI224" s="109"/>
      <c r="AJ224" s="109"/>
      <c r="AL224" s="109"/>
      <c r="AM224" s="109"/>
      <c r="AN224" s="109"/>
      <c r="AO224" s="109"/>
      <c r="AP224" s="109"/>
      <c r="AR224" s="109"/>
      <c r="AS224" s="109"/>
      <c r="AT224" s="109"/>
      <c r="AU224" s="109"/>
      <c r="AV224" s="109"/>
      <c r="AX224" s="109"/>
      <c r="AY224" s="109"/>
      <c r="AZ224" s="109"/>
      <c r="BA224" s="109"/>
      <c r="BB224" s="109"/>
    </row>
    <row r="225" spans="1:54" x14ac:dyDescent="0.25">
      <c r="A225" s="112"/>
      <c r="B225" s="71"/>
      <c r="C225" s="71"/>
      <c r="D225" s="71"/>
      <c r="E225" s="71"/>
      <c r="F225" s="71"/>
      <c r="H225" s="71"/>
      <c r="I225" s="71"/>
      <c r="J225" s="71"/>
      <c r="K225" s="71"/>
      <c r="L225" s="71"/>
      <c r="N225" s="71"/>
      <c r="O225" s="71"/>
      <c r="P225" s="71"/>
      <c r="Q225" s="71"/>
      <c r="R225" s="71"/>
      <c r="T225" s="71"/>
      <c r="U225" s="71"/>
      <c r="V225" s="71"/>
      <c r="W225" s="71"/>
      <c r="X225" s="71"/>
      <c r="Z225" s="71"/>
      <c r="AA225" s="71"/>
      <c r="AB225" s="71"/>
      <c r="AC225" s="71"/>
      <c r="AD225" s="71"/>
      <c r="AF225" s="71"/>
      <c r="AG225" s="71"/>
      <c r="AH225" s="71"/>
      <c r="AI225" s="71"/>
      <c r="AJ225" s="71"/>
      <c r="AL225" s="71"/>
      <c r="AM225" s="71"/>
      <c r="AN225" s="71"/>
      <c r="AO225" s="71"/>
      <c r="AP225" s="71"/>
      <c r="AR225" s="71"/>
      <c r="AS225" s="71"/>
      <c r="AT225" s="71"/>
      <c r="AU225" s="71"/>
      <c r="AV225" s="71"/>
      <c r="AX225" s="71"/>
      <c r="AY225" s="71"/>
      <c r="AZ225" s="71"/>
      <c r="BA225" s="71"/>
      <c r="BB225" s="71"/>
    </row>
    <row r="226" spans="1:54" x14ac:dyDescent="0.25">
      <c r="B226" s="109"/>
      <c r="C226" s="109"/>
      <c r="D226" s="109"/>
      <c r="E226" s="109"/>
      <c r="F226" s="109"/>
      <c r="H226" s="109"/>
      <c r="I226" s="109"/>
      <c r="J226" s="109"/>
      <c r="K226" s="109"/>
      <c r="L226" s="109"/>
      <c r="N226" s="109"/>
      <c r="O226" s="109"/>
      <c r="P226" s="109"/>
      <c r="Q226" s="109"/>
      <c r="R226" s="109"/>
      <c r="T226" s="109"/>
      <c r="U226" s="109"/>
      <c r="V226" s="109"/>
      <c r="W226" s="109"/>
      <c r="X226" s="109"/>
      <c r="Z226" s="109"/>
      <c r="AA226" s="109"/>
      <c r="AB226" s="109"/>
      <c r="AC226" s="109"/>
      <c r="AD226" s="109"/>
      <c r="AF226" s="109"/>
      <c r="AG226" s="109"/>
      <c r="AH226" s="109"/>
      <c r="AI226" s="109"/>
      <c r="AJ226" s="109"/>
      <c r="AL226" s="109"/>
      <c r="AM226" s="109"/>
      <c r="AN226" s="109"/>
      <c r="AO226" s="109"/>
      <c r="AP226" s="109"/>
      <c r="AR226" s="109"/>
      <c r="AS226" s="109"/>
      <c r="AT226" s="109"/>
      <c r="AU226" s="109"/>
      <c r="AV226" s="109" t="e">
        <f>AV220=#REF!</f>
        <v>#REF!</v>
      </c>
      <c r="AX226" s="109"/>
      <c r="AY226" s="109"/>
      <c r="AZ226" s="109"/>
      <c r="BA226" s="109"/>
      <c r="BB226" s="10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C226"/>
  <sheetViews>
    <sheetView topLeftCell="A175" zoomScale="75" zoomScaleNormal="75" workbookViewId="0">
      <pane xSplit="1" topLeftCell="AC1" activePane="topRight" state="frozen"/>
      <selection pane="topRight" activeCell="AH106" sqref="AH106"/>
    </sheetView>
  </sheetViews>
  <sheetFormatPr defaultRowHeight="15" x14ac:dyDescent="0.25"/>
  <cols>
    <col min="1" max="1" width="46.85546875" customWidth="1"/>
    <col min="2" max="2" width="16.42578125" customWidth="1"/>
    <col min="3" max="3" width="14.85546875" customWidth="1"/>
    <col min="4" max="4" width="16.42578125" customWidth="1"/>
    <col min="5" max="6" width="14.85546875" customWidth="1"/>
    <col min="7" max="7" width="8.85546875" style="199"/>
    <col min="8" max="8" width="16.42578125" customWidth="1"/>
    <col min="9" max="9" width="14.85546875" customWidth="1"/>
    <col min="10" max="10" width="16.42578125" customWidth="1"/>
    <col min="11" max="12" width="14.85546875" customWidth="1"/>
    <col min="13" max="13" width="8.85546875" style="199"/>
    <col min="14" max="14" width="16.42578125" customWidth="1"/>
    <col min="15" max="15" width="14.85546875" customWidth="1"/>
    <col min="16" max="16" width="16.42578125" customWidth="1"/>
    <col min="17" max="18" width="14.85546875" customWidth="1"/>
    <col min="19" max="19" width="8.85546875" style="199"/>
    <col min="20" max="20" width="16.42578125" customWidth="1"/>
    <col min="21" max="21" width="14.85546875" customWidth="1"/>
    <col min="22" max="22" width="16.42578125" customWidth="1"/>
    <col min="23" max="24" width="14.85546875" customWidth="1"/>
    <col min="25" max="25" width="8.85546875" style="199"/>
    <col min="26" max="26" width="16.42578125" customWidth="1"/>
    <col min="27" max="27" width="14.85546875" customWidth="1"/>
    <col min="28" max="28" width="16.42578125" customWidth="1"/>
    <col min="29" max="30" width="14.85546875" customWidth="1"/>
    <col min="31" max="31" width="8.85546875" style="199"/>
    <col min="32" max="32" width="16.42578125" customWidth="1"/>
    <col min="33" max="33" width="14.85546875" customWidth="1"/>
    <col min="34" max="34" width="16.42578125" customWidth="1"/>
    <col min="35" max="36" width="14.85546875" customWidth="1"/>
    <col min="37" max="37" width="8.85546875" style="199"/>
    <col min="38" max="38" width="16.42578125" customWidth="1"/>
    <col min="39" max="39" width="14.85546875" customWidth="1"/>
    <col min="40" max="40" width="16.42578125" customWidth="1"/>
    <col min="41" max="42" width="14.85546875" customWidth="1"/>
    <col min="43" max="43" width="8.85546875" style="199"/>
    <col min="44" max="44" width="16.42578125" customWidth="1"/>
    <col min="45" max="45" width="14.85546875" customWidth="1"/>
    <col min="46" max="46" width="16.42578125" customWidth="1"/>
    <col min="47" max="48" width="14.85546875" customWidth="1"/>
    <col min="50" max="50" width="16.42578125" customWidth="1"/>
    <col min="51" max="51" width="14.85546875" customWidth="1"/>
    <col min="52" max="52" width="16.42578125" customWidth="1"/>
    <col min="53" max="53" width="14.85546875" customWidth="1"/>
    <col min="54" max="54" width="17.140625" bestFit="1" customWidth="1"/>
  </cols>
  <sheetData>
    <row r="1" spans="1:54" x14ac:dyDescent="0.25">
      <c r="A1" s="1" t="s">
        <v>262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238</v>
      </c>
      <c r="H1" s="3" t="s">
        <v>1</v>
      </c>
      <c r="I1" s="3" t="s">
        <v>2</v>
      </c>
      <c r="J1" s="3" t="s">
        <v>3</v>
      </c>
      <c r="K1" s="3" t="s">
        <v>4</v>
      </c>
      <c r="L1" s="3" t="s">
        <v>208</v>
      </c>
      <c r="N1" s="3" t="s">
        <v>1</v>
      </c>
      <c r="O1" s="3" t="s">
        <v>2</v>
      </c>
      <c r="P1" s="3" t="s">
        <v>3</v>
      </c>
      <c r="Q1" s="3" t="s">
        <v>4</v>
      </c>
      <c r="R1" s="3" t="s">
        <v>215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231</v>
      </c>
      <c r="Z1" s="3" t="s">
        <v>1</v>
      </c>
      <c r="AA1" s="3" t="s">
        <v>2</v>
      </c>
      <c r="AB1" s="3" t="s">
        <v>3</v>
      </c>
      <c r="AC1" s="3" t="s">
        <v>4</v>
      </c>
      <c r="AD1" s="3" t="s">
        <v>240</v>
      </c>
      <c r="AF1" s="3" t="s">
        <v>1</v>
      </c>
      <c r="AG1" s="3" t="s">
        <v>2</v>
      </c>
      <c r="AH1" s="3" t="s">
        <v>3</v>
      </c>
      <c r="AI1" s="3" t="s">
        <v>4</v>
      </c>
      <c r="AJ1" s="340" t="s">
        <v>258</v>
      </c>
      <c r="AL1" s="3" t="s">
        <v>1</v>
      </c>
      <c r="AM1" s="3" t="s">
        <v>2</v>
      </c>
      <c r="AN1" s="3" t="s">
        <v>3</v>
      </c>
      <c r="AO1" s="3" t="s">
        <v>4</v>
      </c>
      <c r="AP1" s="3" t="s">
        <v>241</v>
      </c>
      <c r="AR1" s="3" t="s">
        <v>1</v>
      </c>
      <c r="AS1" s="3" t="s">
        <v>2</v>
      </c>
      <c r="AT1" s="3" t="s">
        <v>3</v>
      </c>
      <c r="AU1" s="3" t="s">
        <v>4</v>
      </c>
      <c r="AV1" s="3" t="s">
        <v>242</v>
      </c>
      <c r="AX1" s="3" t="s">
        <v>1</v>
      </c>
      <c r="AY1" s="3" t="s">
        <v>2</v>
      </c>
      <c r="AZ1" s="3" t="s">
        <v>3</v>
      </c>
      <c r="BA1" s="3" t="s">
        <v>4</v>
      </c>
      <c r="BB1" s="3" t="s">
        <v>243</v>
      </c>
    </row>
    <row r="2" spans="1:54" x14ac:dyDescent="0.25">
      <c r="A2" s="6" t="s">
        <v>7</v>
      </c>
      <c r="B2" s="7">
        <f>7293*1.013*1.013*1.013*1.013*1.013</f>
        <v>7779.5314413947017</v>
      </c>
      <c r="C2" s="7">
        <v>0</v>
      </c>
      <c r="D2" s="7">
        <v>0</v>
      </c>
      <c r="E2" s="7">
        <v>0</v>
      </c>
      <c r="F2" s="7">
        <f>SUM(B2:E2)</f>
        <v>7779.5314413947017</v>
      </c>
      <c r="H2" s="7">
        <f>7293*1.013*1.013*1.013*1.013*1.013</f>
        <v>7779.5314413947017</v>
      </c>
      <c r="I2" s="7">
        <v>0</v>
      </c>
      <c r="J2" s="7">
        <v>0</v>
      </c>
      <c r="K2" s="7">
        <v>0</v>
      </c>
      <c r="L2" s="7">
        <f>SUM(H2:K2)</f>
        <v>7779.5314413947017</v>
      </c>
      <c r="N2" s="7">
        <f>7293*1.013*1.013*1.013*1.013*1.013</f>
        <v>7779.5314413947017</v>
      </c>
      <c r="O2" s="7">
        <v>0</v>
      </c>
      <c r="P2" s="7">
        <v>0</v>
      </c>
      <c r="Q2" s="7">
        <v>0</v>
      </c>
      <c r="R2" s="7">
        <f>SUM(N2:Q2)</f>
        <v>7779.5314413947017</v>
      </c>
      <c r="T2" s="7">
        <f>7293*1.013*1.013*1.013*1.013*1.013</f>
        <v>7779.5314413947017</v>
      </c>
      <c r="U2" s="7">
        <v>0</v>
      </c>
      <c r="V2" s="7">
        <v>0</v>
      </c>
      <c r="W2" s="7">
        <v>0</v>
      </c>
      <c r="X2" s="7">
        <f>SUM(T2:W2)</f>
        <v>7779.5314413947017</v>
      </c>
      <c r="Z2" s="7">
        <f>7293*1.013*1.013*1.013*1.013*1.013</f>
        <v>7779.5314413947017</v>
      </c>
      <c r="AA2" s="7">
        <v>0</v>
      </c>
      <c r="AB2" s="7">
        <v>0</v>
      </c>
      <c r="AC2" s="7">
        <v>0</v>
      </c>
      <c r="AD2" s="7">
        <f>SUM(Z2:AC2)</f>
        <v>7779.5314413947017</v>
      </c>
      <c r="AF2" s="7">
        <f>7293*1.013*1.013*1.013*1.013*1.013</f>
        <v>7779.5314413947017</v>
      </c>
      <c r="AG2" s="7">
        <v>0</v>
      </c>
      <c r="AH2" s="7">
        <v>0</v>
      </c>
      <c r="AI2" s="7">
        <v>0</v>
      </c>
      <c r="AJ2" s="7">
        <f>SUM(AF2:AI2)</f>
        <v>7779.5314413947017</v>
      </c>
      <c r="AL2" s="7">
        <v>0</v>
      </c>
      <c r="AM2" s="7">
        <v>0</v>
      </c>
      <c r="AN2" s="7">
        <v>0</v>
      </c>
      <c r="AO2" s="7">
        <v>0</v>
      </c>
      <c r="AP2" s="7">
        <f>SUM(AL2:AO2)</f>
        <v>0</v>
      </c>
      <c r="AR2" s="7">
        <f>7500*1.013</f>
        <v>7597.4999999999991</v>
      </c>
      <c r="AS2" s="7">
        <v>0</v>
      </c>
      <c r="AT2" s="7">
        <v>0</v>
      </c>
      <c r="AU2" s="7">
        <v>0</v>
      </c>
      <c r="AV2" s="7">
        <f>SUM(AR2:AU2)</f>
        <v>7597.4999999999991</v>
      </c>
      <c r="AX2" s="7">
        <f>AX87/AX19</f>
        <v>7771.8046693715287</v>
      </c>
      <c r="AY2" s="7">
        <v>0</v>
      </c>
      <c r="AZ2" s="7">
        <v>0</v>
      </c>
      <c r="BA2" s="7">
        <v>0</v>
      </c>
      <c r="BB2" s="7">
        <f>SUM(AX2:BA2)</f>
        <v>7771.8046693715287</v>
      </c>
    </row>
    <row r="3" spans="1:54" hidden="1" x14ac:dyDescent="0.25">
      <c r="A3" s="8"/>
      <c r="B3" s="7">
        <v>0</v>
      </c>
      <c r="C3" s="7">
        <v>0</v>
      </c>
      <c r="D3" s="7"/>
      <c r="E3" s="7">
        <v>0</v>
      </c>
      <c r="F3" s="7">
        <f>SUM(B3:E3)</f>
        <v>0</v>
      </c>
      <c r="H3" s="7">
        <v>0</v>
      </c>
      <c r="I3" s="7">
        <v>0</v>
      </c>
      <c r="J3" s="7"/>
      <c r="K3" s="7">
        <v>0</v>
      </c>
      <c r="L3" s="7">
        <f>SUM(H3:K3)</f>
        <v>0</v>
      </c>
      <c r="N3" s="7">
        <v>0</v>
      </c>
      <c r="O3" s="7">
        <v>0</v>
      </c>
      <c r="P3" s="7"/>
      <c r="Q3" s="7">
        <v>0</v>
      </c>
      <c r="R3" s="7">
        <f>SUM(N3:Q3)</f>
        <v>0</v>
      </c>
      <c r="T3" s="7">
        <v>0</v>
      </c>
      <c r="U3" s="7">
        <v>0</v>
      </c>
      <c r="V3" s="7"/>
      <c r="W3" s="7">
        <v>0</v>
      </c>
      <c r="X3" s="7">
        <f>SUM(T3:W3)</f>
        <v>0</v>
      </c>
      <c r="Z3" s="7">
        <v>0</v>
      </c>
      <c r="AA3" s="7">
        <v>0</v>
      </c>
      <c r="AB3" s="7"/>
      <c r="AC3" s="7">
        <v>0</v>
      </c>
      <c r="AD3" s="7">
        <f>SUM(Z3:AC3)</f>
        <v>0</v>
      </c>
      <c r="AF3" s="7">
        <v>0</v>
      </c>
      <c r="AG3" s="7">
        <v>0</v>
      </c>
      <c r="AH3" s="7"/>
      <c r="AI3" s="7">
        <v>0</v>
      </c>
      <c r="AJ3" s="7">
        <f>SUM(AF3:AI3)</f>
        <v>0</v>
      </c>
      <c r="AL3" s="7">
        <v>0</v>
      </c>
      <c r="AM3" s="7">
        <v>0</v>
      </c>
      <c r="AN3" s="7"/>
      <c r="AO3" s="7">
        <v>0</v>
      </c>
      <c r="AP3" s="7">
        <f>SUM(AL3:AO3)</f>
        <v>0</v>
      </c>
      <c r="AR3" s="7">
        <v>0</v>
      </c>
      <c r="AS3" s="7">
        <v>0</v>
      </c>
      <c r="AT3" s="7"/>
      <c r="AU3" s="7">
        <v>0</v>
      </c>
      <c r="AV3" s="7">
        <f>SUM(AR3:AU3)</f>
        <v>0</v>
      </c>
      <c r="AX3" s="7">
        <v>0</v>
      </c>
      <c r="AY3" s="7">
        <v>0</v>
      </c>
      <c r="AZ3" s="7"/>
      <c r="BA3" s="7">
        <v>0</v>
      </c>
      <c r="BB3" s="7">
        <f>SUM(AX3:BA3)</f>
        <v>0</v>
      </c>
    </row>
    <row r="4" spans="1:54" hidden="1" x14ac:dyDescent="0.25">
      <c r="A4" s="8"/>
      <c r="B4" s="139"/>
      <c r="C4" s="139"/>
      <c r="D4" s="139"/>
      <c r="E4" s="139"/>
      <c r="F4" s="153"/>
      <c r="H4" s="139"/>
      <c r="I4" s="139"/>
      <c r="J4" s="139"/>
      <c r="K4" s="139"/>
      <c r="L4" s="153"/>
      <c r="N4" s="139"/>
      <c r="O4" s="139"/>
      <c r="P4" s="139"/>
      <c r="Q4" s="139"/>
      <c r="R4" s="153"/>
      <c r="T4" s="139"/>
      <c r="U4" s="139"/>
      <c r="V4" s="139"/>
      <c r="W4" s="139"/>
      <c r="X4" s="153"/>
      <c r="Z4" s="139"/>
      <c r="AA4" s="139"/>
      <c r="AB4" s="139"/>
      <c r="AC4" s="139"/>
      <c r="AD4" s="153"/>
      <c r="AF4" s="139"/>
      <c r="AG4" s="139"/>
      <c r="AH4" s="139"/>
      <c r="AI4" s="139"/>
      <c r="AJ4" s="153"/>
      <c r="AL4" s="139"/>
      <c r="AM4" s="139"/>
      <c r="AN4" s="139"/>
      <c r="AO4" s="139"/>
      <c r="AP4" s="153"/>
      <c r="AR4" s="139"/>
      <c r="AS4" s="139"/>
      <c r="AT4" s="139"/>
      <c r="AU4" s="139"/>
      <c r="AV4" s="153"/>
      <c r="AX4" s="139"/>
      <c r="AY4" s="139"/>
      <c r="AZ4" s="139"/>
      <c r="BA4" s="139"/>
      <c r="BB4" s="153"/>
    </row>
    <row r="5" spans="1:54" x14ac:dyDescent="0.25">
      <c r="A5" s="8" t="s">
        <v>8</v>
      </c>
      <c r="B5" s="9">
        <f>B6+B7+B8+B9+B10+B11+B12+B13+B14+B15+B16+B17+B18</f>
        <v>936</v>
      </c>
      <c r="C5" s="9"/>
      <c r="D5" s="9"/>
      <c r="E5" s="9"/>
      <c r="F5" s="9">
        <f t="shared" ref="F5:F19" si="0">SUM(B5:E5)</f>
        <v>936</v>
      </c>
      <c r="H5" s="9">
        <f>H6+H7+H8+H9+H10+H11+H12+H13+H14+H15+H16+H17+H18</f>
        <v>2454</v>
      </c>
      <c r="I5" s="9"/>
      <c r="J5" s="9"/>
      <c r="K5" s="9"/>
      <c r="L5" s="9">
        <f t="shared" ref="L5:L19" si="1">SUM(H5:K5)</f>
        <v>2454</v>
      </c>
      <c r="N5" s="9">
        <f>N6+N7+N8+N9+N10+N11+N12+N13+N14+N15+N16+N17+N18</f>
        <v>1016</v>
      </c>
      <c r="O5" s="9"/>
      <c r="P5" s="9"/>
      <c r="Q5" s="9"/>
      <c r="R5" s="9">
        <f t="shared" ref="R5:R19" si="2">SUM(N5:Q5)</f>
        <v>1016</v>
      </c>
      <c r="T5" s="9">
        <f>T6+T7+T8+T9+T10+T11+T12+T13+T14+T15+T16+T17+T18</f>
        <v>1215</v>
      </c>
      <c r="U5" s="9"/>
      <c r="V5" s="9"/>
      <c r="W5" s="9"/>
      <c r="X5" s="9">
        <f t="shared" ref="X5:X19" si="3">SUM(T5:W5)</f>
        <v>1215</v>
      </c>
      <c r="Z5" s="9">
        <f>Z6+Z7+Z8+Z9+Z10+Z11+Z12+Z13+Z14+Z15+Z16+Z17+Z18</f>
        <v>2428</v>
      </c>
      <c r="AA5" s="9"/>
      <c r="AB5" s="9"/>
      <c r="AC5" s="9"/>
      <c r="AD5" s="9">
        <f t="shared" ref="AD5:AD19" si="4">SUM(Z5:AC5)</f>
        <v>2428</v>
      </c>
      <c r="AF5" s="9">
        <f>AF6+AF7+AF8+AF9+AF10+AF11+AF12+AF13+AF14+AF15+AF16+AF17+AF18</f>
        <v>1200</v>
      </c>
      <c r="AG5" s="9"/>
      <c r="AH5" s="9"/>
      <c r="AI5" s="9"/>
      <c r="AJ5" s="9">
        <f t="shared" ref="AJ5:AJ19" si="5">SUM(AF5:AI5)</f>
        <v>1200</v>
      </c>
      <c r="AL5" s="9">
        <f>AL6+AL7+AL8+AL9+AL10+AL11+AL12+AL13+AL14+AL15+AL16+AL17+AL18</f>
        <v>0</v>
      </c>
      <c r="AM5" s="9"/>
      <c r="AN5" s="9"/>
      <c r="AO5" s="9"/>
      <c r="AP5" s="9">
        <f t="shared" ref="AP5:AP19" si="6">SUM(AL5:AO5)</f>
        <v>0</v>
      </c>
      <c r="AR5" s="9">
        <f>AR6+AR7+AR8+AR9+AR10+AR11+AR12+AR13+AR14+AR15+AR16+AR17+AR18</f>
        <v>410</v>
      </c>
      <c r="AS5" s="9"/>
      <c r="AT5" s="9"/>
      <c r="AU5" s="9"/>
      <c r="AV5" s="9">
        <f t="shared" ref="AV5:AV19" si="7">SUM(AR5:AU5)</f>
        <v>410</v>
      </c>
      <c r="AX5" s="9">
        <f>B5+H5+N5+T5+Z5+AL5+AR5</f>
        <v>8459</v>
      </c>
      <c r="AY5" s="9">
        <f>C5+I5+O5+U5+AA5+AM5+AS5</f>
        <v>0</v>
      </c>
      <c r="AZ5" s="9">
        <f>D5+J5+P5+V5+AB5+AN5+AT5</f>
        <v>0</v>
      </c>
      <c r="BA5" s="9">
        <f>E5+K5+Q5+W5+AC5+AO5+AU5</f>
        <v>0</v>
      </c>
      <c r="BB5" s="9">
        <f t="shared" ref="BB5:BB19" si="8">SUM(AX5:BA5)</f>
        <v>8459</v>
      </c>
    </row>
    <row r="6" spans="1:54" x14ac:dyDescent="0.25">
      <c r="A6" s="10" t="s">
        <v>9</v>
      </c>
      <c r="B6" s="11">
        <f>6*25</f>
        <v>150</v>
      </c>
      <c r="C6" s="11"/>
      <c r="D6" s="11"/>
      <c r="E6" s="11"/>
      <c r="F6" s="9">
        <f t="shared" si="0"/>
        <v>150</v>
      </c>
      <c r="G6" s="222">
        <f>F6/25</f>
        <v>6</v>
      </c>
      <c r="H6" s="11">
        <f>25*5</f>
        <v>125</v>
      </c>
      <c r="I6" s="11"/>
      <c r="J6" s="11"/>
      <c r="K6" s="11"/>
      <c r="L6" s="9">
        <f t="shared" si="1"/>
        <v>125</v>
      </c>
      <c r="M6" s="221">
        <f>L6/25</f>
        <v>5</v>
      </c>
      <c r="N6" s="11">
        <f>25*4</f>
        <v>100</v>
      </c>
      <c r="O6" s="11"/>
      <c r="P6" s="11"/>
      <c r="Q6" s="11"/>
      <c r="R6" s="9">
        <f t="shared" si="2"/>
        <v>100</v>
      </c>
      <c r="S6" s="221">
        <f>R6/25</f>
        <v>4</v>
      </c>
      <c r="T6" s="11">
        <f>25*5</f>
        <v>125</v>
      </c>
      <c r="U6" s="11"/>
      <c r="V6" s="11"/>
      <c r="W6" s="11"/>
      <c r="X6" s="9">
        <f t="shared" si="3"/>
        <v>125</v>
      </c>
      <c r="Y6" s="221">
        <f>X6/25</f>
        <v>5</v>
      </c>
      <c r="Z6" s="11">
        <f>25*5</f>
        <v>125</v>
      </c>
      <c r="AA6" s="11"/>
      <c r="AB6" s="11"/>
      <c r="AC6" s="11"/>
      <c r="AD6" s="9">
        <f t="shared" si="4"/>
        <v>125</v>
      </c>
      <c r="AE6" s="221">
        <f>AD6/25</f>
        <v>5</v>
      </c>
      <c r="AF6" s="11">
        <f t="shared" ref="AF6:AF11" si="9">25*4</f>
        <v>100</v>
      </c>
      <c r="AG6" s="11"/>
      <c r="AH6" s="11"/>
      <c r="AI6" s="11"/>
      <c r="AJ6" s="9">
        <f t="shared" si="5"/>
        <v>100</v>
      </c>
      <c r="AK6" s="221">
        <f>AJ6/25</f>
        <v>4</v>
      </c>
      <c r="AL6" s="11">
        <v>0</v>
      </c>
      <c r="AM6" s="11"/>
      <c r="AN6" s="11"/>
      <c r="AO6" s="11"/>
      <c r="AP6" s="9">
        <f t="shared" si="6"/>
        <v>0</v>
      </c>
      <c r="AR6" s="11"/>
      <c r="AS6" s="11"/>
      <c r="AT6" s="11"/>
      <c r="AU6" s="11"/>
      <c r="AV6" s="9">
        <f t="shared" si="7"/>
        <v>0</v>
      </c>
      <c r="AX6" s="94">
        <f>B6+H6+N6+T6+Z6+AF6+AL6+AR6</f>
        <v>725</v>
      </c>
      <c r="AY6" s="94">
        <f t="shared" ref="AY6:BA18" si="10">C6+I6+O6+U6+AA6+AG6+AM6+AS6</f>
        <v>0</v>
      </c>
      <c r="AZ6" s="94">
        <f t="shared" si="10"/>
        <v>0</v>
      </c>
      <c r="BA6" s="94">
        <f t="shared" si="10"/>
        <v>0</v>
      </c>
      <c r="BB6" s="9">
        <f t="shared" si="8"/>
        <v>725</v>
      </c>
    </row>
    <row r="7" spans="1:54" x14ac:dyDescent="0.25">
      <c r="A7" s="12" t="s">
        <v>10</v>
      </c>
      <c r="B7" s="11">
        <f>6*25</f>
        <v>150</v>
      </c>
      <c r="C7" s="11"/>
      <c r="D7" s="11"/>
      <c r="E7" s="11"/>
      <c r="F7" s="9">
        <f t="shared" si="0"/>
        <v>150</v>
      </c>
      <c r="G7" s="222">
        <f t="shared" ref="G7" si="11">F7/25</f>
        <v>6</v>
      </c>
      <c r="H7" s="11">
        <f>26*5</f>
        <v>130</v>
      </c>
      <c r="I7" s="11"/>
      <c r="J7" s="11"/>
      <c r="K7" s="11"/>
      <c r="L7" s="9">
        <f t="shared" si="1"/>
        <v>130</v>
      </c>
      <c r="M7" s="221">
        <f>L7/26</f>
        <v>5</v>
      </c>
      <c r="N7" s="11">
        <f>25*4</f>
        <v>100</v>
      </c>
      <c r="O7" s="11"/>
      <c r="P7" s="11"/>
      <c r="Q7" s="11"/>
      <c r="R7" s="9">
        <f t="shared" si="2"/>
        <v>100</v>
      </c>
      <c r="S7" s="221">
        <f>R7/25</f>
        <v>4</v>
      </c>
      <c r="T7" s="11">
        <f>25*5</f>
        <v>125</v>
      </c>
      <c r="U7" s="11"/>
      <c r="V7" s="11"/>
      <c r="W7" s="11"/>
      <c r="X7" s="9">
        <f t="shared" si="3"/>
        <v>125</v>
      </c>
      <c r="Y7" s="221">
        <f>X7/25</f>
        <v>5</v>
      </c>
      <c r="Z7" s="11">
        <f t="shared" ref="Z7" si="12">25*5</f>
        <v>125</v>
      </c>
      <c r="AA7" s="11"/>
      <c r="AB7" s="11"/>
      <c r="AC7" s="11"/>
      <c r="AD7" s="9">
        <f t="shared" si="4"/>
        <v>125</v>
      </c>
      <c r="AE7" s="221">
        <f>AD7/25</f>
        <v>5</v>
      </c>
      <c r="AF7" s="11">
        <f t="shared" si="9"/>
        <v>100</v>
      </c>
      <c r="AG7" s="11"/>
      <c r="AH7" s="11"/>
      <c r="AI7" s="11"/>
      <c r="AJ7" s="9">
        <f t="shared" si="5"/>
        <v>100</v>
      </c>
      <c r="AK7" s="221">
        <f t="shared" ref="AK7:AK11" si="13">AJ7/25</f>
        <v>4</v>
      </c>
      <c r="AL7" s="11">
        <v>0</v>
      </c>
      <c r="AM7" s="11"/>
      <c r="AN7" s="11"/>
      <c r="AO7" s="11"/>
      <c r="AP7" s="9">
        <f t="shared" si="6"/>
        <v>0</v>
      </c>
      <c r="AR7" s="11"/>
      <c r="AS7" s="11"/>
      <c r="AT7" s="11"/>
      <c r="AU7" s="11"/>
      <c r="AV7" s="9">
        <f t="shared" si="7"/>
        <v>0</v>
      </c>
      <c r="AX7" s="94">
        <f t="shared" ref="AX7:AX18" si="14">B7+H7+N7+T7+Z7+AF7+AL7+AR7</f>
        <v>730</v>
      </c>
      <c r="AY7" s="94">
        <f t="shared" si="10"/>
        <v>0</v>
      </c>
      <c r="AZ7" s="94">
        <f t="shared" si="10"/>
        <v>0</v>
      </c>
      <c r="BA7" s="94">
        <f t="shared" si="10"/>
        <v>0</v>
      </c>
      <c r="BB7" s="9">
        <f t="shared" si="8"/>
        <v>730</v>
      </c>
    </row>
    <row r="8" spans="1:54" x14ac:dyDescent="0.25">
      <c r="A8" s="12" t="s">
        <v>11</v>
      </c>
      <c r="B8" s="11">
        <f>6*26</f>
        <v>156</v>
      </c>
      <c r="C8" s="11"/>
      <c r="D8" s="11"/>
      <c r="E8" s="11"/>
      <c r="F8" s="9">
        <f t="shared" si="0"/>
        <v>156</v>
      </c>
      <c r="G8" s="222">
        <f>F8/26</f>
        <v>6</v>
      </c>
      <c r="H8" s="11">
        <f>27*5</f>
        <v>135</v>
      </c>
      <c r="I8" s="11"/>
      <c r="J8" s="11"/>
      <c r="K8" s="11"/>
      <c r="L8" s="9">
        <f t="shared" si="1"/>
        <v>135</v>
      </c>
      <c r="M8" s="221">
        <f>L8/27</f>
        <v>5</v>
      </c>
      <c r="N8" s="11">
        <f>26*4</f>
        <v>104</v>
      </c>
      <c r="O8" s="11"/>
      <c r="P8" s="11"/>
      <c r="Q8" s="11"/>
      <c r="R8" s="9">
        <f t="shared" si="2"/>
        <v>104</v>
      </c>
      <c r="S8" s="221">
        <f>R8/26</f>
        <v>4</v>
      </c>
      <c r="T8" s="11">
        <f>25*5</f>
        <v>125</v>
      </c>
      <c r="U8" s="11"/>
      <c r="V8" s="11"/>
      <c r="W8" s="11"/>
      <c r="X8" s="9">
        <f t="shared" si="3"/>
        <v>125</v>
      </c>
      <c r="Y8" s="221">
        <f>X8/25</f>
        <v>5</v>
      </c>
      <c r="Z8" s="11">
        <f>26*5</f>
        <v>130</v>
      </c>
      <c r="AA8" s="11"/>
      <c r="AB8" s="11"/>
      <c r="AC8" s="11"/>
      <c r="AD8" s="9">
        <f t="shared" si="4"/>
        <v>130</v>
      </c>
      <c r="AE8" s="221">
        <f>AD8/26</f>
        <v>5</v>
      </c>
      <c r="AF8" s="11">
        <f t="shared" si="9"/>
        <v>100</v>
      </c>
      <c r="AG8" s="11"/>
      <c r="AH8" s="11"/>
      <c r="AI8" s="11"/>
      <c r="AJ8" s="9">
        <f t="shared" si="5"/>
        <v>100</v>
      </c>
      <c r="AK8" s="221">
        <f t="shared" si="13"/>
        <v>4</v>
      </c>
      <c r="AL8" s="11">
        <v>0</v>
      </c>
      <c r="AM8" s="11"/>
      <c r="AN8" s="11"/>
      <c r="AO8" s="11"/>
      <c r="AP8" s="9">
        <f t="shared" si="6"/>
        <v>0</v>
      </c>
      <c r="AR8" s="11"/>
      <c r="AS8" s="11"/>
      <c r="AT8" s="11"/>
      <c r="AU8" s="11"/>
      <c r="AV8" s="9">
        <f t="shared" si="7"/>
        <v>0</v>
      </c>
      <c r="AX8" s="94">
        <f t="shared" si="14"/>
        <v>750</v>
      </c>
      <c r="AY8" s="94">
        <f t="shared" si="10"/>
        <v>0</v>
      </c>
      <c r="AZ8" s="94">
        <f t="shared" si="10"/>
        <v>0</v>
      </c>
      <c r="BA8" s="94">
        <f t="shared" si="10"/>
        <v>0</v>
      </c>
      <c r="BB8" s="9">
        <f t="shared" si="8"/>
        <v>750</v>
      </c>
    </row>
    <row r="9" spans="1:54" x14ac:dyDescent="0.25">
      <c r="A9" s="13" t="s">
        <v>12</v>
      </c>
      <c r="B9" s="11">
        <f>6*26</f>
        <v>156</v>
      </c>
      <c r="C9" s="11"/>
      <c r="D9" s="11"/>
      <c r="E9" s="11"/>
      <c r="F9" s="9">
        <f t="shared" si="0"/>
        <v>156</v>
      </c>
      <c r="G9" s="222">
        <f>F9/26</f>
        <v>6</v>
      </c>
      <c r="H9" s="11">
        <f>27*5</f>
        <v>135</v>
      </c>
      <c r="I9" s="11"/>
      <c r="J9" s="11"/>
      <c r="K9" s="11"/>
      <c r="L9" s="9">
        <f t="shared" si="1"/>
        <v>135</v>
      </c>
      <c r="M9" s="221">
        <f>L9/27</f>
        <v>5</v>
      </c>
      <c r="N9" s="11">
        <f>27*4</f>
        <v>108</v>
      </c>
      <c r="O9" s="11"/>
      <c r="P9" s="11"/>
      <c r="Q9" s="11"/>
      <c r="R9" s="9">
        <f t="shared" si="2"/>
        <v>108</v>
      </c>
      <c r="S9" s="221">
        <f>R9/27</f>
        <v>4</v>
      </c>
      <c r="T9" s="11">
        <f t="shared" ref="T9:T11" si="15">26*6</f>
        <v>156</v>
      </c>
      <c r="U9" s="11"/>
      <c r="V9" s="11"/>
      <c r="W9" s="11"/>
      <c r="X9" s="9">
        <f t="shared" si="3"/>
        <v>156</v>
      </c>
      <c r="Y9" s="221">
        <f t="shared" ref="Y9:Y11" si="16">X9/26</f>
        <v>6</v>
      </c>
      <c r="Z9" s="11">
        <f>26*5</f>
        <v>130</v>
      </c>
      <c r="AA9" s="11"/>
      <c r="AB9" s="11"/>
      <c r="AC9" s="11"/>
      <c r="AD9" s="9">
        <f t="shared" si="4"/>
        <v>130</v>
      </c>
      <c r="AE9" s="221">
        <f t="shared" ref="AE9" si="17">AD9/26</f>
        <v>5</v>
      </c>
      <c r="AF9" s="11">
        <f t="shared" si="9"/>
        <v>100</v>
      </c>
      <c r="AG9" s="11"/>
      <c r="AH9" s="11"/>
      <c r="AI9" s="11"/>
      <c r="AJ9" s="9">
        <f t="shared" si="5"/>
        <v>100</v>
      </c>
      <c r="AK9" s="221">
        <f t="shared" si="13"/>
        <v>4</v>
      </c>
      <c r="AL9" s="11">
        <v>0</v>
      </c>
      <c r="AM9" s="11"/>
      <c r="AN9" s="11"/>
      <c r="AO9" s="11"/>
      <c r="AP9" s="9">
        <f t="shared" si="6"/>
        <v>0</v>
      </c>
      <c r="AR9" s="11"/>
      <c r="AS9" s="11"/>
      <c r="AT9" s="11"/>
      <c r="AU9" s="11"/>
      <c r="AV9" s="9">
        <f t="shared" si="7"/>
        <v>0</v>
      </c>
      <c r="AX9" s="94">
        <f t="shared" si="14"/>
        <v>785</v>
      </c>
      <c r="AY9" s="94">
        <f t="shared" si="10"/>
        <v>0</v>
      </c>
      <c r="AZ9" s="94">
        <f t="shared" si="10"/>
        <v>0</v>
      </c>
      <c r="BA9" s="94">
        <f t="shared" si="10"/>
        <v>0</v>
      </c>
      <c r="BB9" s="9">
        <f t="shared" si="8"/>
        <v>785</v>
      </c>
    </row>
    <row r="10" spans="1:54" x14ac:dyDescent="0.25">
      <c r="A10" s="13" t="s">
        <v>13</v>
      </c>
      <c r="B10" s="11">
        <f>6*27</f>
        <v>162</v>
      </c>
      <c r="C10" s="11"/>
      <c r="D10" s="11"/>
      <c r="E10" s="11"/>
      <c r="F10" s="9">
        <f t="shared" si="0"/>
        <v>162</v>
      </c>
      <c r="G10" s="222">
        <f>F10/27</f>
        <v>6</v>
      </c>
      <c r="H10" s="11">
        <f>28*5</f>
        <v>140</v>
      </c>
      <c r="I10" s="11"/>
      <c r="J10" s="11"/>
      <c r="K10" s="11"/>
      <c r="L10" s="9">
        <f t="shared" si="1"/>
        <v>140</v>
      </c>
      <c r="M10" s="221">
        <f>L10/28</f>
        <v>5</v>
      </c>
      <c r="N10" s="11">
        <f>27*4</f>
        <v>108</v>
      </c>
      <c r="O10" s="11"/>
      <c r="P10" s="11"/>
      <c r="Q10" s="11"/>
      <c r="R10" s="9">
        <f t="shared" si="2"/>
        <v>108</v>
      </c>
      <c r="S10" s="221">
        <f>R10/27</f>
        <v>4</v>
      </c>
      <c r="T10" s="11">
        <f t="shared" si="15"/>
        <v>156</v>
      </c>
      <c r="U10" s="11"/>
      <c r="V10" s="11"/>
      <c r="W10" s="11"/>
      <c r="X10" s="9">
        <f t="shared" si="3"/>
        <v>156</v>
      </c>
      <c r="Y10" s="221">
        <f t="shared" si="16"/>
        <v>6</v>
      </c>
      <c r="Z10" s="11">
        <f>27*5</f>
        <v>135</v>
      </c>
      <c r="AA10" s="11"/>
      <c r="AB10" s="11"/>
      <c r="AC10" s="11"/>
      <c r="AD10" s="9">
        <f t="shared" si="4"/>
        <v>135</v>
      </c>
      <c r="AE10" s="221">
        <f>AD10/27</f>
        <v>5</v>
      </c>
      <c r="AF10" s="11">
        <f t="shared" si="9"/>
        <v>100</v>
      </c>
      <c r="AG10" s="11"/>
      <c r="AH10" s="11"/>
      <c r="AI10" s="11"/>
      <c r="AJ10" s="9">
        <f t="shared" si="5"/>
        <v>100</v>
      </c>
      <c r="AK10" s="221">
        <f t="shared" si="13"/>
        <v>4</v>
      </c>
      <c r="AL10" s="11">
        <v>0</v>
      </c>
      <c r="AM10" s="11"/>
      <c r="AN10" s="11"/>
      <c r="AO10" s="11"/>
      <c r="AP10" s="9">
        <f t="shared" si="6"/>
        <v>0</v>
      </c>
      <c r="AR10" s="11"/>
      <c r="AS10" s="11"/>
      <c r="AT10" s="11"/>
      <c r="AU10" s="11"/>
      <c r="AV10" s="9">
        <f t="shared" si="7"/>
        <v>0</v>
      </c>
      <c r="AX10" s="94">
        <f t="shared" si="14"/>
        <v>801</v>
      </c>
      <c r="AY10" s="94">
        <f t="shared" si="10"/>
        <v>0</v>
      </c>
      <c r="AZ10" s="94">
        <f t="shared" si="10"/>
        <v>0</v>
      </c>
      <c r="BA10" s="94">
        <f t="shared" si="10"/>
        <v>0</v>
      </c>
      <c r="BB10" s="9">
        <f t="shared" si="8"/>
        <v>801</v>
      </c>
    </row>
    <row r="11" spans="1:54" x14ac:dyDescent="0.25">
      <c r="A11" s="13" t="s">
        <v>14</v>
      </c>
      <c r="B11" s="11">
        <f>6*27</f>
        <v>162</v>
      </c>
      <c r="C11" s="11"/>
      <c r="D11" s="11"/>
      <c r="E11" s="11"/>
      <c r="F11" s="9">
        <f t="shared" si="0"/>
        <v>162</v>
      </c>
      <c r="G11" s="222">
        <f>F11/27</f>
        <v>6</v>
      </c>
      <c r="H11" s="11">
        <f>29*5</f>
        <v>145</v>
      </c>
      <c r="I11" s="11"/>
      <c r="J11" s="11"/>
      <c r="K11" s="11"/>
      <c r="L11" s="9">
        <f t="shared" si="1"/>
        <v>145</v>
      </c>
      <c r="M11" s="221">
        <f>L11/29</f>
        <v>5</v>
      </c>
      <c r="N11" s="11">
        <v>124</v>
      </c>
      <c r="O11" s="11"/>
      <c r="P11" s="11"/>
      <c r="Q11" s="11"/>
      <c r="R11" s="9">
        <f t="shared" si="2"/>
        <v>124</v>
      </c>
      <c r="S11" s="221">
        <f>R11/31</f>
        <v>4</v>
      </c>
      <c r="T11" s="11">
        <f t="shared" si="15"/>
        <v>156</v>
      </c>
      <c r="U11" s="11"/>
      <c r="V11" s="11"/>
      <c r="W11" s="11"/>
      <c r="X11" s="9">
        <f t="shared" si="3"/>
        <v>156</v>
      </c>
      <c r="Y11" s="221">
        <f t="shared" si="16"/>
        <v>6</v>
      </c>
      <c r="Z11" s="11">
        <f>27*5</f>
        <v>135</v>
      </c>
      <c r="AA11" s="11"/>
      <c r="AB11" s="11"/>
      <c r="AC11" s="11"/>
      <c r="AD11" s="9">
        <f t="shared" si="4"/>
        <v>135</v>
      </c>
      <c r="AE11" s="221">
        <f>AD11/27</f>
        <v>5</v>
      </c>
      <c r="AF11" s="11">
        <f t="shared" si="9"/>
        <v>100</v>
      </c>
      <c r="AG11" s="11"/>
      <c r="AH11" s="11"/>
      <c r="AI11" s="11"/>
      <c r="AJ11" s="9">
        <f t="shared" si="5"/>
        <v>100</v>
      </c>
      <c r="AK11" s="221">
        <f t="shared" si="13"/>
        <v>4</v>
      </c>
      <c r="AL11" s="11">
        <v>0</v>
      </c>
      <c r="AM11" s="11"/>
      <c r="AN11" s="11"/>
      <c r="AO11" s="11"/>
      <c r="AP11" s="9">
        <f t="shared" si="6"/>
        <v>0</v>
      </c>
      <c r="AR11" s="11"/>
      <c r="AS11" s="11"/>
      <c r="AT11" s="11"/>
      <c r="AU11" s="11"/>
      <c r="AV11" s="9">
        <f t="shared" si="7"/>
        <v>0</v>
      </c>
      <c r="AX11" s="94">
        <f t="shared" si="14"/>
        <v>822</v>
      </c>
      <c r="AY11" s="94">
        <f t="shared" si="10"/>
        <v>0</v>
      </c>
      <c r="AZ11" s="94">
        <f t="shared" si="10"/>
        <v>0</v>
      </c>
      <c r="BA11" s="94">
        <f t="shared" si="10"/>
        <v>0</v>
      </c>
      <c r="BB11" s="9">
        <f t="shared" si="8"/>
        <v>822</v>
      </c>
    </row>
    <row r="12" spans="1:54" x14ac:dyDescent="0.25">
      <c r="A12" s="13" t="s">
        <v>15</v>
      </c>
      <c r="B12" s="11"/>
      <c r="C12" s="7"/>
      <c r="D12" s="7"/>
      <c r="E12" s="7"/>
      <c r="F12" s="9">
        <f t="shared" si="0"/>
        <v>0</v>
      </c>
      <c r="H12" s="11">
        <f>31*8</f>
        <v>248</v>
      </c>
      <c r="I12" s="7"/>
      <c r="J12" s="7"/>
      <c r="K12" s="7"/>
      <c r="L12" s="9">
        <f t="shared" si="1"/>
        <v>248</v>
      </c>
      <c r="M12" s="221">
        <f>L12/31</f>
        <v>8</v>
      </c>
      <c r="N12" s="11">
        <f>31*4</f>
        <v>124</v>
      </c>
      <c r="O12" s="7"/>
      <c r="P12" s="7"/>
      <c r="Q12" s="7"/>
      <c r="R12" s="9">
        <f t="shared" si="2"/>
        <v>124</v>
      </c>
      <c r="S12" s="221">
        <f>R12/31</f>
        <v>4</v>
      </c>
      <c r="T12" s="11">
        <f>31*4</f>
        <v>124</v>
      </c>
      <c r="U12" s="7"/>
      <c r="V12" s="7"/>
      <c r="W12" s="7"/>
      <c r="X12" s="9">
        <f t="shared" si="3"/>
        <v>124</v>
      </c>
      <c r="Y12" s="221">
        <f>T12/31</f>
        <v>4</v>
      </c>
      <c r="Z12" s="11">
        <f>31*6</f>
        <v>186</v>
      </c>
      <c r="AA12" s="7"/>
      <c r="AB12" s="7"/>
      <c r="AC12" s="7"/>
      <c r="AD12" s="9">
        <f t="shared" si="4"/>
        <v>186</v>
      </c>
      <c r="AE12" s="221">
        <f>AD12/31</f>
        <v>6</v>
      </c>
      <c r="AF12" s="11">
        <f>30*4</f>
        <v>120</v>
      </c>
      <c r="AG12" s="7"/>
      <c r="AH12" s="7"/>
      <c r="AI12" s="7"/>
      <c r="AJ12" s="9">
        <f t="shared" si="5"/>
        <v>120</v>
      </c>
      <c r="AK12" s="221">
        <f>AJ12/30</f>
        <v>4</v>
      </c>
      <c r="AL12" s="11">
        <v>0</v>
      </c>
      <c r="AM12" s="7"/>
      <c r="AN12" s="7"/>
      <c r="AO12" s="7"/>
      <c r="AP12" s="9">
        <f t="shared" si="6"/>
        <v>0</v>
      </c>
      <c r="AR12" s="11">
        <v>60</v>
      </c>
      <c r="AS12" s="7"/>
      <c r="AT12" s="7"/>
      <c r="AU12" s="7"/>
      <c r="AV12" s="9">
        <f t="shared" si="7"/>
        <v>60</v>
      </c>
      <c r="AX12" s="94">
        <f t="shared" si="14"/>
        <v>862</v>
      </c>
      <c r="AY12" s="94">
        <f t="shared" si="10"/>
        <v>0</v>
      </c>
      <c r="AZ12" s="94">
        <f t="shared" si="10"/>
        <v>0</v>
      </c>
      <c r="BA12" s="94">
        <f t="shared" si="10"/>
        <v>0</v>
      </c>
      <c r="BB12" s="9">
        <f t="shared" si="8"/>
        <v>862</v>
      </c>
    </row>
    <row r="13" spans="1:54" x14ac:dyDescent="0.25">
      <c r="A13" s="13" t="s">
        <v>16</v>
      </c>
      <c r="B13" s="11"/>
      <c r="C13" s="7"/>
      <c r="D13" s="7"/>
      <c r="E13" s="7"/>
      <c r="F13" s="9">
        <f t="shared" si="0"/>
        <v>0</v>
      </c>
      <c r="H13" s="11">
        <f t="shared" ref="H13:H14" si="18">31*8</f>
        <v>248</v>
      </c>
      <c r="I13" s="7"/>
      <c r="J13" s="7"/>
      <c r="K13" s="7"/>
      <c r="L13" s="9">
        <f t="shared" si="1"/>
        <v>248</v>
      </c>
      <c r="M13" s="221">
        <f t="shared" ref="M13:M14" si="19">L13/31</f>
        <v>8</v>
      </c>
      <c r="N13" s="11">
        <f>31*4</f>
        <v>124</v>
      </c>
      <c r="O13" s="7"/>
      <c r="P13" s="7"/>
      <c r="Q13" s="7"/>
      <c r="R13" s="9">
        <f t="shared" si="2"/>
        <v>124</v>
      </c>
      <c r="S13" s="221">
        <f t="shared" ref="S13:S14" si="20">R13/31</f>
        <v>4</v>
      </c>
      <c r="T13" s="11">
        <f>31*4</f>
        <v>124</v>
      </c>
      <c r="U13" s="7"/>
      <c r="V13" s="7"/>
      <c r="W13" s="7"/>
      <c r="X13" s="9">
        <f t="shared" si="3"/>
        <v>124</v>
      </c>
      <c r="Y13" s="221">
        <f t="shared" ref="Y13:Y14" si="21">T13/31</f>
        <v>4</v>
      </c>
      <c r="Z13" s="11">
        <f>31*6</f>
        <v>186</v>
      </c>
      <c r="AA13" s="7"/>
      <c r="AB13" s="7"/>
      <c r="AC13" s="7"/>
      <c r="AD13" s="9">
        <f t="shared" si="4"/>
        <v>186</v>
      </c>
      <c r="AE13" s="221">
        <f t="shared" ref="AE13:AE15" si="22">AD13/31</f>
        <v>6</v>
      </c>
      <c r="AF13" s="11">
        <f>30*4</f>
        <v>120</v>
      </c>
      <c r="AG13" s="7"/>
      <c r="AH13" s="7"/>
      <c r="AI13" s="7"/>
      <c r="AJ13" s="9">
        <f t="shared" si="5"/>
        <v>120</v>
      </c>
      <c r="AK13" s="221">
        <f>AJ13/30</f>
        <v>4</v>
      </c>
      <c r="AL13" s="11">
        <v>0</v>
      </c>
      <c r="AM13" s="7"/>
      <c r="AN13" s="7"/>
      <c r="AO13" s="7"/>
      <c r="AP13" s="9">
        <f t="shared" si="6"/>
        <v>0</v>
      </c>
      <c r="AR13" s="11">
        <v>60</v>
      </c>
      <c r="AS13" s="7"/>
      <c r="AT13" s="7"/>
      <c r="AU13" s="7"/>
      <c r="AV13" s="9">
        <f t="shared" si="7"/>
        <v>60</v>
      </c>
      <c r="AX13" s="94">
        <f t="shared" si="14"/>
        <v>862</v>
      </c>
      <c r="AY13" s="94">
        <f t="shared" si="10"/>
        <v>0</v>
      </c>
      <c r="AZ13" s="94">
        <f t="shared" si="10"/>
        <v>0</v>
      </c>
      <c r="BA13" s="94">
        <f t="shared" si="10"/>
        <v>0</v>
      </c>
      <c r="BB13" s="9">
        <f t="shared" si="8"/>
        <v>862</v>
      </c>
    </row>
    <row r="14" spans="1:54" x14ac:dyDescent="0.25">
      <c r="A14" s="13" t="s">
        <v>17</v>
      </c>
      <c r="B14" s="11"/>
      <c r="C14" s="7"/>
      <c r="D14" s="7"/>
      <c r="E14" s="7"/>
      <c r="F14" s="9">
        <f t="shared" si="0"/>
        <v>0</v>
      </c>
      <c r="H14" s="11">
        <f t="shared" si="18"/>
        <v>248</v>
      </c>
      <c r="I14" s="7"/>
      <c r="J14" s="7"/>
      <c r="K14" s="7"/>
      <c r="L14" s="9">
        <f t="shared" si="1"/>
        <v>248</v>
      </c>
      <c r="M14" s="221">
        <f t="shared" si="19"/>
        <v>8</v>
      </c>
      <c r="N14" s="11">
        <f>31*4</f>
        <v>124</v>
      </c>
      <c r="O14" s="7"/>
      <c r="P14" s="7"/>
      <c r="Q14" s="7"/>
      <c r="R14" s="9">
        <f t="shared" si="2"/>
        <v>124</v>
      </c>
      <c r="S14" s="221">
        <f t="shared" si="20"/>
        <v>4</v>
      </c>
      <c r="T14" s="11">
        <f>31*4</f>
        <v>124</v>
      </c>
      <c r="U14" s="7"/>
      <c r="V14" s="7"/>
      <c r="W14" s="7"/>
      <c r="X14" s="9">
        <f t="shared" si="3"/>
        <v>124</v>
      </c>
      <c r="Y14" s="221">
        <f t="shared" si="21"/>
        <v>4</v>
      </c>
      <c r="Z14" s="11">
        <f>31*7</f>
        <v>217</v>
      </c>
      <c r="AA14" s="7"/>
      <c r="AB14" s="7"/>
      <c r="AC14" s="7"/>
      <c r="AD14" s="9">
        <f t="shared" si="4"/>
        <v>217</v>
      </c>
      <c r="AE14" s="221">
        <f t="shared" si="22"/>
        <v>7</v>
      </c>
      <c r="AF14" s="11">
        <f>30*4</f>
        <v>120</v>
      </c>
      <c r="AG14" s="7"/>
      <c r="AH14" s="7"/>
      <c r="AI14" s="7"/>
      <c r="AJ14" s="9">
        <f t="shared" si="5"/>
        <v>120</v>
      </c>
      <c r="AK14" s="221">
        <f>AJ14/30</f>
        <v>4</v>
      </c>
      <c r="AL14" s="11">
        <v>0</v>
      </c>
      <c r="AM14" s="7"/>
      <c r="AN14" s="7"/>
      <c r="AO14" s="7"/>
      <c r="AP14" s="9">
        <f t="shared" si="6"/>
        <v>0</v>
      </c>
      <c r="AR14" s="11">
        <v>60</v>
      </c>
      <c r="AS14" s="7"/>
      <c r="AT14" s="7"/>
      <c r="AU14" s="7"/>
      <c r="AV14" s="9">
        <f t="shared" si="7"/>
        <v>60</v>
      </c>
      <c r="AX14" s="94">
        <f t="shared" si="14"/>
        <v>893</v>
      </c>
      <c r="AY14" s="94">
        <f t="shared" si="10"/>
        <v>0</v>
      </c>
      <c r="AZ14" s="94">
        <f t="shared" si="10"/>
        <v>0</v>
      </c>
      <c r="BA14" s="94">
        <f t="shared" si="10"/>
        <v>0</v>
      </c>
      <c r="BB14" s="9">
        <f t="shared" si="8"/>
        <v>893</v>
      </c>
    </row>
    <row r="15" spans="1:54" x14ac:dyDescent="0.25">
      <c r="A15" s="13" t="s">
        <v>18</v>
      </c>
      <c r="B15" s="11"/>
      <c r="C15" s="7"/>
      <c r="D15" s="7"/>
      <c r="E15" s="7"/>
      <c r="F15" s="9">
        <f t="shared" si="0"/>
        <v>0</v>
      </c>
      <c r="H15" s="11">
        <f>30*8</f>
        <v>240</v>
      </c>
      <c r="I15" s="7"/>
      <c r="J15" s="7"/>
      <c r="K15" s="7"/>
      <c r="L15" s="9">
        <f t="shared" si="1"/>
        <v>240</v>
      </c>
      <c r="M15" s="221">
        <f>L15/30</f>
        <v>8</v>
      </c>
      <c r="N15" s="11"/>
      <c r="O15" s="7"/>
      <c r="P15" s="7"/>
      <c r="Q15" s="7"/>
      <c r="R15" s="9">
        <f t="shared" si="2"/>
        <v>0</v>
      </c>
      <c r="T15" s="11"/>
      <c r="U15" s="7"/>
      <c r="V15" s="7"/>
      <c r="W15" s="7"/>
      <c r="X15" s="9">
        <f t="shared" si="3"/>
        <v>0</v>
      </c>
      <c r="Z15" s="11">
        <f>31*9</f>
        <v>279</v>
      </c>
      <c r="AA15" s="7"/>
      <c r="AB15" s="7"/>
      <c r="AC15" s="7"/>
      <c r="AD15" s="9">
        <f t="shared" si="4"/>
        <v>279</v>
      </c>
      <c r="AE15" s="221">
        <f t="shared" si="22"/>
        <v>9</v>
      </c>
      <c r="AF15" s="11">
        <f>30*4</f>
        <v>120</v>
      </c>
      <c r="AG15" s="7"/>
      <c r="AH15" s="7"/>
      <c r="AI15" s="7"/>
      <c r="AJ15" s="9">
        <f t="shared" si="5"/>
        <v>120</v>
      </c>
      <c r="AK15" s="221">
        <f>AJ15/30</f>
        <v>4</v>
      </c>
      <c r="AL15" s="11">
        <v>0</v>
      </c>
      <c r="AM15" s="7"/>
      <c r="AN15" s="7"/>
      <c r="AO15" s="7"/>
      <c r="AP15" s="9">
        <f t="shared" si="6"/>
        <v>0</v>
      </c>
      <c r="AR15" s="11">
        <v>60</v>
      </c>
      <c r="AS15" s="7"/>
      <c r="AT15" s="7"/>
      <c r="AU15" s="7"/>
      <c r="AV15" s="9">
        <f t="shared" si="7"/>
        <v>60</v>
      </c>
      <c r="AX15" s="94">
        <f t="shared" si="14"/>
        <v>699</v>
      </c>
      <c r="AY15" s="94">
        <f t="shared" si="10"/>
        <v>0</v>
      </c>
      <c r="AZ15" s="94">
        <f t="shared" si="10"/>
        <v>0</v>
      </c>
      <c r="BA15" s="94">
        <f t="shared" si="10"/>
        <v>0</v>
      </c>
      <c r="BB15" s="9">
        <f t="shared" si="8"/>
        <v>699</v>
      </c>
    </row>
    <row r="16" spans="1:54" x14ac:dyDescent="0.25">
      <c r="A16" s="13" t="s">
        <v>19</v>
      </c>
      <c r="B16" s="11"/>
      <c r="C16" s="7"/>
      <c r="D16" s="7"/>
      <c r="E16" s="7"/>
      <c r="F16" s="9">
        <f t="shared" si="0"/>
        <v>0</v>
      </c>
      <c r="H16" s="11">
        <v>230</v>
      </c>
      <c r="I16" s="7"/>
      <c r="J16" s="7"/>
      <c r="K16" s="7"/>
      <c r="L16" s="9">
        <f t="shared" si="1"/>
        <v>230</v>
      </c>
      <c r="M16" s="221">
        <v>8</v>
      </c>
      <c r="N16" s="11"/>
      <c r="O16" s="7"/>
      <c r="P16" s="7"/>
      <c r="Q16" s="7"/>
      <c r="R16" s="9">
        <f t="shared" si="2"/>
        <v>0</v>
      </c>
      <c r="T16" s="11"/>
      <c r="U16" s="7"/>
      <c r="V16" s="7"/>
      <c r="W16" s="7"/>
      <c r="X16" s="9">
        <f t="shared" si="3"/>
        <v>0</v>
      </c>
      <c r="Z16" s="11">
        <f>30*9</f>
        <v>270</v>
      </c>
      <c r="AA16" s="7"/>
      <c r="AB16" s="7"/>
      <c r="AC16" s="7"/>
      <c r="AD16" s="9">
        <f t="shared" si="4"/>
        <v>270</v>
      </c>
      <c r="AE16" s="221">
        <f>AD16/30</f>
        <v>9</v>
      </c>
      <c r="AF16" s="11">
        <f>30*4</f>
        <v>120</v>
      </c>
      <c r="AG16" s="7"/>
      <c r="AH16" s="7"/>
      <c r="AI16" s="7"/>
      <c r="AJ16" s="9">
        <f t="shared" si="5"/>
        <v>120</v>
      </c>
      <c r="AK16" s="221">
        <f>AJ16/30</f>
        <v>4</v>
      </c>
      <c r="AL16" s="11">
        <v>0</v>
      </c>
      <c r="AM16" s="7"/>
      <c r="AN16" s="7"/>
      <c r="AO16" s="7"/>
      <c r="AP16" s="9">
        <f t="shared" si="6"/>
        <v>0</v>
      </c>
      <c r="AR16" s="11">
        <v>60</v>
      </c>
      <c r="AS16" s="7"/>
      <c r="AT16" s="7"/>
      <c r="AU16" s="7"/>
      <c r="AV16" s="9">
        <f t="shared" si="7"/>
        <v>60</v>
      </c>
      <c r="AX16" s="94">
        <f t="shared" si="14"/>
        <v>680</v>
      </c>
      <c r="AY16" s="94">
        <f t="shared" si="10"/>
        <v>0</v>
      </c>
      <c r="AZ16" s="94">
        <f t="shared" si="10"/>
        <v>0</v>
      </c>
      <c r="BA16" s="94">
        <f t="shared" si="10"/>
        <v>0</v>
      </c>
      <c r="BB16" s="9">
        <f t="shared" si="8"/>
        <v>680</v>
      </c>
    </row>
    <row r="17" spans="1:55" x14ac:dyDescent="0.25">
      <c r="A17" s="13" t="s">
        <v>20</v>
      </c>
      <c r="B17" s="11"/>
      <c r="C17" s="7"/>
      <c r="D17" s="7"/>
      <c r="E17" s="7"/>
      <c r="F17" s="9">
        <f t="shared" si="0"/>
        <v>0</v>
      </c>
      <c r="H17" s="11">
        <v>220</v>
      </c>
      <c r="I17" s="7"/>
      <c r="J17" s="7"/>
      <c r="K17" s="7"/>
      <c r="L17" s="9">
        <f t="shared" si="1"/>
        <v>220</v>
      </c>
      <c r="M17" s="221">
        <v>8</v>
      </c>
      <c r="N17" s="11"/>
      <c r="O17" s="7"/>
      <c r="P17" s="7"/>
      <c r="Q17" s="7"/>
      <c r="R17" s="9">
        <f t="shared" si="2"/>
        <v>0</v>
      </c>
      <c r="T17" s="11"/>
      <c r="U17" s="7"/>
      <c r="V17" s="7"/>
      <c r="W17" s="7"/>
      <c r="X17" s="9">
        <f t="shared" si="3"/>
        <v>0</v>
      </c>
      <c r="Z17" s="11">
        <v>260</v>
      </c>
      <c r="AA17" s="7"/>
      <c r="AB17" s="7"/>
      <c r="AC17" s="7"/>
      <c r="AD17" s="9">
        <f t="shared" si="4"/>
        <v>260</v>
      </c>
      <c r="AE17" s="221">
        <v>9</v>
      </c>
      <c r="AF17" s="11"/>
      <c r="AG17" s="7"/>
      <c r="AH17" s="7"/>
      <c r="AI17" s="7"/>
      <c r="AJ17" s="9">
        <f t="shared" si="5"/>
        <v>0</v>
      </c>
      <c r="AK17" s="221"/>
      <c r="AL17" s="11">
        <v>0</v>
      </c>
      <c r="AM17" s="7"/>
      <c r="AN17" s="7"/>
      <c r="AO17" s="7"/>
      <c r="AP17" s="9">
        <f t="shared" si="6"/>
        <v>0</v>
      </c>
      <c r="AR17" s="11">
        <v>60</v>
      </c>
      <c r="AS17" s="7"/>
      <c r="AT17" s="7"/>
      <c r="AU17" s="7"/>
      <c r="AV17" s="9">
        <f t="shared" si="7"/>
        <v>60</v>
      </c>
      <c r="AX17" s="94">
        <f t="shared" si="14"/>
        <v>540</v>
      </c>
      <c r="AY17" s="94">
        <f t="shared" si="10"/>
        <v>0</v>
      </c>
      <c r="AZ17" s="94">
        <f t="shared" si="10"/>
        <v>0</v>
      </c>
      <c r="BA17" s="94">
        <f t="shared" si="10"/>
        <v>0</v>
      </c>
      <c r="BB17" s="9">
        <f t="shared" si="8"/>
        <v>540</v>
      </c>
    </row>
    <row r="18" spans="1:55" x14ac:dyDescent="0.25">
      <c r="A18" s="13" t="s">
        <v>21</v>
      </c>
      <c r="B18" s="11"/>
      <c r="C18" s="7"/>
      <c r="D18" s="7"/>
      <c r="E18" s="7"/>
      <c r="F18" s="9">
        <f t="shared" si="0"/>
        <v>0</v>
      </c>
      <c r="H18" s="11">
        <v>210</v>
      </c>
      <c r="I18" s="7"/>
      <c r="J18" s="7"/>
      <c r="K18" s="7"/>
      <c r="L18" s="9">
        <f t="shared" si="1"/>
        <v>210</v>
      </c>
      <c r="M18" s="221">
        <v>8</v>
      </c>
      <c r="N18" s="11"/>
      <c r="O18" s="7"/>
      <c r="P18" s="7"/>
      <c r="Q18" s="7"/>
      <c r="R18" s="9">
        <f t="shared" si="2"/>
        <v>0</v>
      </c>
      <c r="T18" s="11"/>
      <c r="U18" s="7"/>
      <c r="V18" s="7"/>
      <c r="W18" s="7"/>
      <c r="X18" s="9">
        <f t="shared" si="3"/>
        <v>0</v>
      </c>
      <c r="Z18" s="11">
        <v>250</v>
      </c>
      <c r="AA18" s="7"/>
      <c r="AB18" s="7"/>
      <c r="AC18" s="7"/>
      <c r="AD18" s="9">
        <f t="shared" si="4"/>
        <v>250</v>
      </c>
      <c r="AE18" s="221">
        <v>9</v>
      </c>
      <c r="AF18" s="11"/>
      <c r="AG18" s="7"/>
      <c r="AH18" s="7"/>
      <c r="AI18" s="7"/>
      <c r="AJ18" s="9">
        <f t="shared" si="5"/>
        <v>0</v>
      </c>
      <c r="AK18" s="221"/>
      <c r="AL18" s="11">
        <v>0</v>
      </c>
      <c r="AM18" s="7"/>
      <c r="AN18" s="7"/>
      <c r="AO18" s="7"/>
      <c r="AP18" s="9">
        <f t="shared" si="6"/>
        <v>0</v>
      </c>
      <c r="AR18" s="11">
        <v>50</v>
      </c>
      <c r="AS18" s="7"/>
      <c r="AT18" s="7"/>
      <c r="AU18" s="7"/>
      <c r="AV18" s="9">
        <f t="shared" si="7"/>
        <v>50</v>
      </c>
      <c r="AX18" s="94">
        <f t="shared" si="14"/>
        <v>510</v>
      </c>
      <c r="AY18" s="94">
        <f t="shared" si="10"/>
        <v>0</v>
      </c>
      <c r="AZ18" s="94">
        <f t="shared" si="10"/>
        <v>0</v>
      </c>
      <c r="BA18" s="94">
        <f t="shared" si="10"/>
        <v>0</v>
      </c>
      <c r="BB18" s="9">
        <f t="shared" si="8"/>
        <v>510</v>
      </c>
    </row>
    <row r="19" spans="1:55" x14ac:dyDescent="0.25">
      <c r="A19" s="13" t="s">
        <v>8</v>
      </c>
      <c r="B19" s="9">
        <f>SUM(B6:B18)</f>
        <v>936</v>
      </c>
      <c r="C19" s="9"/>
      <c r="D19" s="9"/>
      <c r="E19" s="9"/>
      <c r="F19" s="9">
        <f t="shared" si="0"/>
        <v>936</v>
      </c>
      <c r="H19" s="9">
        <f>SUM(H6:H18)</f>
        <v>2454</v>
      </c>
      <c r="I19" s="9"/>
      <c r="J19" s="9"/>
      <c r="K19" s="9"/>
      <c r="L19" s="9">
        <f t="shared" si="1"/>
        <v>2454</v>
      </c>
      <c r="N19" s="9">
        <f>SUM(N6:N18)</f>
        <v>1016</v>
      </c>
      <c r="O19" s="9"/>
      <c r="P19" s="9"/>
      <c r="Q19" s="9"/>
      <c r="R19" s="9">
        <f t="shared" si="2"/>
        <v>1016</v>
      </c>
      <c r="T19" s="9">
        <f>SUM(T6:T18)</f>
        <v>1215</v>
      </c>
      <c r="U19" s="9"/>
      <c r="V19" s="9"/>
      <c r="W19" s="9"/>
      <c r="X19" s="9">
        <f t="shared" si="3"/>
        <v>1215</v>
      </c>
      <c r="Z19" s="9">
        <f>SUM(Z6:Z18)</f>
        <v>2428</v>
      </c>
      <c r="AA19" s="9"/>
      <c r="AB19" s="9"/>
      <c r="AC19" s="9"/>
      <c r="AD19" s="9">
        <f t="shared" si="4"/>
        <v>2428</v>
      </c>
      <c r="AF19" s="9">
        <f>SUM(AF6:AF18)</f>
        <v>1200</v>
      </c>
      <c r="AG19" s="9"/>
      <c r="AH19" s="9"/>
      <c r="AI19" s="9"/>
      <c r="AJ19" s="9">
        <f t="shared" si="5"/>
        <v>1200</v>
      </c>
      <c r="AL19" s="9">
        <f>SUM(AL6:AL18)</f>
        <v>0</v>
      </c>
      <c r="AM19" s="9"/>
      <c r="AN19" s="9"/>
      <c r="AO19" s="9"/>
      <c r="AP19" s="9">
        <f t="shared" si="6"/>
        <v>0</v>
      </c>
      <c r="AR19" s="9">
        <f>SUM(AR6:AR18)</f>
        <v>410</v>
      </c>
      <c r="AS19" s="9"/>
      <c r="AT19" s="9"/>
      <c r="AU19" s="9"/>
      <c r="AV19" s="9">
        <f t="shared" si="7"/>
        <v>410</v>
      </c>
      <c r="AX19" s="9">
        <f>B19+H19+N19+T19+Z19+AF19+AL19+AR19</f>
        <v>9659</v>
      </c>
      <c r="AY19" s="9">
        <f>C19+I19+O19+U19+AA19+AM19+AS19</f>
        <v>0</v>
      </c>
      <c r="AZ19" s="9">
        <f>D19+J19+P19+V19+AB19+AN19+AT19</f>
        <v>0</v>
      </c>
      <c r="BA19" s="9">
        <f>E19+K19+Q19+W19+AC19+AO19+AU19</f>
        <v>0</v>
      </c>
      <c r="BB19" s="9">
        <f t="shared" si="8"/>
        <v>9659</v>
      </c>
      <c r="BC19" s="224" t="b">
        <f>BB19='Use this enrollment'!H70</f>
        <v>1</v>
      </c>
    </row>
    <row r="20" spans="1:55" x14ac:dyDescent="0.25">
      <c r="A20" s="16"/>
      <c r="B20" s="7"/>
      <c r="C20" s="7"/>
      <c r="D20" s="7"/>
      <c r="E20" s="7"/>
      <c r="F20" s="7"/>
      <c r="H20" s="7"/>
      <c r="I20" s="7"/>
      <c r="J20" s="7"/>
      <c r="K20" s="7"/>
      <c r="L20" s="7"/>
      <c r="N20" s="7"/>
      <c r="O20" s="7"/>
      <c r="P20" s="7"/>
      <c r="Q20" s="7"/>
      <c r="R20" s="7"/>
      <c r="T20" s="7"/>
      <c r="U20" s="7"/>
      <c r="V20" s="7"/>
      <c r="W20" s="7"/>
      <c r="X20" s="7"/>
      <c r="Z20" s="7"/>
      <c r="AA20" s="7"/>
      <c r="AB20" s="7"/>
      <c r="AC20" s="7"/>
      <c r="AD20" s="7"/>
      <c r="AF20" s="7"/>
      <c r="AG20" s="7"/>
      <c r="AH20" s="7"/>
      <c r="AI20" s="7"/>
      <c r="AJ20" s="7"/>
      <c r="AL20" s="7"/>
      <c r="AM20" s="7"/>
      <c r="AN20" s="7"/>
      <c r="AO20" s="7"/>
      <c r="AP20" s="7"/>
      <c r="AR20" s="7"/>
      <c r="AS20" s="7"/>
      <c r="AT20" s="7"/>
      <c r="AU20" s="7"/>
      <c r="AV20" s="7"/>
      <c r="AX20" s="7"/>
      <c r="AY20" s="7"/>
      <c r="AZ20" s="7"/>
      <c r="BA20" s="7"/>
      <c r="BB20" s="7"/>
    </row>
    <row r="21" spans="1:55" x14ac:dyDescent="0.25">
      <c r="A21" s="17" t="s">
        <v>22</v>
      </c>
      <c r="B21" s="18"/>
      <c r="C21" s="18"/>
      <c r="D21" s="18"/>
      <c r="E21" s="18"/>
      <c r="F21" s="18"/>
      <c r="H21" s="18"/>
      <c r="I21" s="18"/>
      <c r="J21" s="18"/>
      <c r="K21" s="18"/>
      <c r="L21" s="18"/>
      <c r="N21" s="18"/>
      <c r="O21" s="18"/>
      <c r="P21" s="18"/>
      <c r="Q21" s="18"/>
      <c r="R21" s="18"/>
      <c r="T21" s="18"/>
      <c r="U21" s="18"/>
      <c r="V21" s="18"/>
      <c r="W21" s="18"/>
      <c r="X21" s="18"/>
      <c r="Z21" s="18"/>
      <c r="AA21" s="18"/>
      <c r="AB21" s="18"/>
      <c r="AC21" s="18"/>
      <c r="AD21" s="18"/>
      <c r="AF21" s="18"/>
      <c r="AG21" s="18"/>
      <c r="AH21" s="18"/>
      <c r="AI21" s="18"/>
      <c r="AJ21" s="18"/>
      <c r="AL21" s="18"/>
      <c r="AM21" s="18"/>
      <c r="AN21" s="18"/>
      <c r="AO21" s="18"/>
      <c r="AP21" s="18"/>
      <c r="AR21" s="18"/>
      <c r="AS21" s="18"/>
      <c r="AT21" s="18"/>
      <c r="AU21" s="18"/>
      <c r="AV21" s="18"/>
      <c r="AX21" s="18"/>
      <c r="AY21" s="18"/>
      <c r="AZ21" s="18"/>
      <c r="BA21" s="18"/>
      <c r="BB21" s="18"/>
    </row>
    <row r="22" spans="1:55" x14ac:dyDescent="0.25">
      <c r="A22" s="140" t="s">
        <v>23</v>
      </c>
      <c r="B22" s="7"/>
      <c r="C22" s="7"/>
      <c r="D22" s="7">
        <f>('FY27'!D22/'FY27'!B19)*'FY28'!B19</f>
        <v>100.99221357063404</v>
      </c>
      <c r="E22" s="7"/>
      <c r="F22" s="7">
        <f t="shared" ref="F22:F27" si="23">SUM(B22:E22)</f>
        <v>100.99221357063404</v>
      </c>
      <c r="H22" s="7"/>
      <c r="I22" s="7"/>
      <c r="J22" s="7">
        <f>('FY27'!J22/'FY27'!H19)*'FY28'!H19</f>
        <v>311.67112299465242</v>
      </c>
      <c r="K22" s="7"/>
      <c r="L22" s="7">
        <f t="shared" ref="L22:L27" si="24">SUM(H22:K22)</f>
        <v>311.67112299465242</v>
      </c>
      <c r="M22" s="219">
        <f>J22/24</f>
        <v>12.98629679144385</v>
      </c>
      <c r="N22" s="7"/>
      <c r="O22" s="7"/>
      <c r="P22" s="7">
        <f>('FY27'!P22/'FY27'!N19)*'FY28'!N19</f>
        <v>74</v>
      </c>
      <c r="Q22" s="7"/>
      <c r="R22" s="7">
        <f t="shared" ref="R22:R27" si="25">SUM(N22:Q22)</f>
        <v>74</v>
      </c>
      <c r="T22" s="7"/>
      <c r="U22" s="7"/>
      <c r="V22" s="7">
        <f>('FY27'!V22/'FY27'!T19)*'FY28'!T19</f>
        <v>109.44120100083403</v>
      </c>
      <c r="W22" s="7"/>
      <c r="X22" s="7">
        <f t="shared" ref="X22:X27" si="26">SUM(T22:W22)</f>
        <v>109.44120100083403</v>
      </c>
      <c r="Z22" s="7"/>
      <c r="AA22" s="7"/>
      <c r="AB22" s="7">
        <f>('FY27'!AB22/'FY27'!Z19)*'FY28'!Z19</f>
        <v>198.65454545454546</v>
      </c>
      <c r="AC22" s="7"/>
      <c r="AD22" s="7">
        <f t="shared" ref="AD22:AD27" si="27">SUM(Z22:AC22)</f>
        <v>198.65454545454546</v>
      </c>
      <c r="AF22" s="7"/>
      <c r="AG22" s="7"/>
      <c r="AH22" s="7">
        <f>'FY27'!AF19*0.12</f>
        <v>129.6</v>
      </c>
      <c r="AI22" s="7"/>
      <c r="AJ22" s="7">
        <f t="shared" ref="AJ22:AJ27" si="28">SUM(AF22:AI22)</f>
        <v>129.6</v>
      </c>
      <c r="AL22" s="7"/>
      <c r="AM22" s="7"/>
      <c r="AN22" s="7">
        <v>0</v>
      </c>
      <c r="AO22" s="7"/>
      <c r="AP22" s="7">
        <f t="shared" ref="AP22:AP27" si="29">SUM(AL22:AO22)</f>
        <v>0</v>
      </c>
      <c r="AR22" s="7"/>
      <c r="AS22" s="7"/>
      <c r="AT22" s="7">
        <v>32</v>
      </c>
      <c r="AU22" s="7"/>
      <c r="AV22" s="7">
        <f t="shared" ref="AV22:AV27" si="30">SUM(AR22:AU22)</f>
        <v>32</v>
      </c>
      <c r="AX22" s="7">
        <f>B22+H22+N22+T22+Z22+AF22+AL22+AR22</f>
        <v>0</v>
      </c>
      <c r="AY22" s="7">
        <f t="shared" ref="AY22:BA22" si="31">C22+I22+O22+U22+AA22+AG22+AM22+AS22</f>
        <v>0</v>
      </c>
      <c r="AZ22" s="7">
        <f t="shared" si="31"/>
        <v>956.35908302066593</v>
      </c>
      <c r="BA22" s="7">
        <f t="shared" si="31"/>
        <v>0</v>
      </c>
      <c r="BB22" s="7">
        <f t="shared" ref="BB22:BB27" si="32">SUM(AX22:BA22)</f>
        <v>956.35908302066593</v>
      </c>
    </row>
    <row r="23" spans="1:55" x14ac:dyDescent="0.25">
      <c r="A23" s="140" t="s">
        <v>24</v>
      </c>
      <c r="B23" s="7"/>
      <c r="C23" s="7">
        <f>('FY27'!C23/'FY27'!B19)*'FY28'!B19</f>
        <v>15.617352614015573</v>
      </c>
      <c r="D23" s="7"/>
      <c r="E23" s="7"/>
      <c r="F23" s="7">
        <f t="shared" si="23"/>
        <v>15.617352614015573</v>
      </c>
      <c r="H23" s="7"/>
      <c r="I23" s="7">
        <f>('FY27'!I23/'FY27'!H19)*'FY28'!H19</f>
        <v>36.088235294117645</v>
      </c>
      <c r="J23" s="7"/>
      <c r="K23" s="7"/>
      <c r="L23" s="7">
        <f t="shared" si="24"/>
        <v>36.088235294117645</v>
      </c>
      <c r="N23" s="7"/>
      <c r="O23" s="7">
        <f>('FY27'!O23/'FY27'!N19)*'FY28'!N19</f>
        <v>18</v>
      </c>
      <c r="P23" s="7"/>
      <c r="Q23" s="7"/>
      <c r="R23" s="7">
        <f t="shared" si="25"/>
        <v>18</v>
      </c>
      <c r="T23" s="7"/>
      <c r="U23" s="7">
        <f>('FY27'!U23/'FY27'!T19)*'FY28'!T19</f>
        <v>8.1067556296914098</v>
      </c>
      <c r="V23" s="7"/>
      <c r="W23" s="7"/>
      <c r="X23" s="7">
        <f t="shared" si="26"/>
        <v>8.1067556296914098</v>
      </c>
      <c r="Z23" s="7"/>
      <c r="AA23" s="7">
        <f>('FY27'!AA23/'FY27'!Z19)*'FY28'!Z19</f>
        <v>26.719617224880384</v>
      </c>
      <c r="AB23" s="7"/>
      <c r="AC23" s="7"/>
      <c r="AD23" s="7">
        <f t="shared" si="27"/>
        <v>26.719617224880384</v>
      </c>
      <c r="AF23" s="7"/>
      <c r="AG23" s="7">
        <f>'FY27'!AF19*0.29</f>
        <v>313.2</v>
      </c>
      <c r="AH23" s="7"/>
      <c r="AI23" s="7"/>
      <c r="AJ23" s="7">
        <f t="shared" si="28"/>
        <v>313.2</v>
      </c>
      <c r="AL23" s="7"/>
      <c r="AM23" s="7">
        <v>0</v>
      </c>
      <c r="AN23" s="7"/>
      <c r="AO23" s="7"/>
      <c r="AP23" s="7">
        <f t="shared" si="29"/>
        <v>0</v>
      </c>
      <c r="AR23" s="7"/>
      <c r="AS23" s="7">
        <v>0</v>
      </c>
      <c r="AT23" s="7"/>
      <c r="AU23" s="7"/>
      <c r="AV23" s="7">
        <f t="shared" si="30"/>
        <v>0</v>
      </c>
      <c r="AX23" s="7">
        <f t="shared" ref="AX23:AX26" si="33">B23+H23+N23+T23+Z23+AL23+AR23</f>
        <v>0</v>
      </c>
      <c r="AY23" s="7">
        <f t="shared" ref="AY23:BA24" si="34">C23+I23+O23+U23+AA23+AM23+AS23</f>
        <v>104.53196076270501</v>
      </c>
      <c r="AZ23" s="7">
        <f t="shared" si="34"/>
        <v>0</v>
      </c>
      <c r="BA23" s="7">
        <f t="shared" si="34"/>
        <v>0</v>
      </c>
      <c r="BB23" s="7">
        <f t="shared" si="32"/>
        <v>104.53196076270501</v>
      </c>
    </row>
    <row r="24" spans="1:55" x14ac:dyDescent="0.25">
      <c r="A24" s="140" t="s">
        <v>25</v>
      </c>
      <c r="B24" s="7"/>
      <c r="C24" s="7">
        <f>('FY27'!C24/'FY27'!B19)*'FY28'!B19</f>
        <v>45.810901001112349</v>
      </c>
      <c r="D24" s="7"/>
      <c r="E24" s="7"/>
      <c r="F24" s="7">
        <f t="shared" si="23"/>
        <v>45.810901001112349</v>
      </c>
      <c r="H24" s="7"/>
      <c r="I24" s="7">
        <f>('FY27'!I24/'FY27'!H19)*'FY28'!H19</f>
        <v>56.866310160427808</v>
      </c>
      <c r="J24" s="7"/>
      <c r="K24" s="7"/>
      <c r="L24" s="7">
        <f t="shared" si="24"/>
        <v>56.866310160427808</v>
      </c>
      <c r="N24" s="7"/>
      <c r="O24" s="7">
        <f>('FY27'!O24/'FY27'!N19)*'FY28'!N19</f>
        <v>46</v>
      </c>
      <c r="P24" s="7"/>
      <c r="Q24" s="7"/>
      <c r="R24" s="7">
        <f t="shared" si="25"/>
        <v>46</v>
      </c>
      <c r="T24" s="7"/>
      <c r="U24" s="7">
        <f>('FY27'!U24/'FY27'!T19)*'FY28'!T19</f>
        <v>78.027522935779814</v>
      </c>
      <c r="V24" s="7"/>
      <c r="W24" s="7"/>
      <c r="X24" s="7">
        <f t="shared" si="26"/>
        <v>78.027522935779814</v>
      </c>
      <c r="Z24" s="7"/>
      <c r="AA24" s="7">
        <f>('FY27'!AA24/'FY27'!Z19)*'FY28'!Z19</f>
        <v>74.350239234449759</v>
      </c>
      <c r="AB24" s="7"/>
      <c r="AC24" s="7"/>
      <c r="AD24" s="7">
        <f t="shared" si="27"/>
        <v>74.350239234449759</v>
      </c>
      <c r="AF24" s="7"/>
      <c r="AG24" s="7">
        <f>'FY27'!AF19*0.03</f>
        <v>32.4</v>
      </c>
      <c r="AH24" s="7"/>
      <c r="AI24" s="7"/>
      <c r="AJ24" s="7">
        <f t="shared" si="28"/>
        <v>32.4</v>
      </c>
      <c r="AL24" s="7"/>
      <c r="AM24" s="7">
        <v>0</v>
      </c>
      <c r="AN24" s="7"/>
      <c r="AO24" s="7"/>
      <c r="AP24" s="7">
        <f t="shared" si="29"/>
        <v>0</v>
      </c>
      <c r="AR24" s="7"/>
      <c r="AS24" s="7">
        <v>0</v>
      </c>
      <c r="AT24" s="7"/>
      <c r="AU24" s="7"/>
      <c r="AV24" s="7">
        <f t="shared" si="30"/>
        <v>0</v>
      </c>
      <c r="AX24" s="7">
        <f t="shared" si="33"/>
        <v>0</v>
      </c>
      <c r="AY24" s="7">
        <f t="shared" si="34"/>
        <v>301.0549733317697</v>
      </c>
      <c r="AZ24" s="7">
        <f t="shared" si="34"/>
        <v>0</v>
      </c>
      <c r="BA24" s="7">
        <f t="shared" si="34"/>
        <v>0</v>
      </c>
      <c r="BB24" s="7">
        <f t="shared" si="32"/>
        <v>301.0549733317697</v>
      </c>
    </row>
    <row r="25" spans="1:55" x14ac:dyDescent="0.25">
      <c r="A25" s="140" t="s">
        <v>26</v>
      </c>
      <c r="B25" s="19"/>
      <c r="C25" s="19"/>
      <c r="D25" s="19"/>
      <c r="E25" s="19">
        <v>0.38</v>
      </c>
      <c r="F25" s="19">
        <f t="shared" si="23"/>
        <v>0.38</v>
      </c>
      <c r="H25" s="19"/>
      <c r="I25" s="19"/>
      <c r="J25" s="19"/>
      <c r="K25" s="19">
        <v>0.4</v>
      </c>
      <c r="L25" s="19">
        <f t="shared" si="24"/>
        <v>0.4</v>
      </c>
      <c r="N25" s="19"/>
      <c r="O25" s="19"/>
      <c r="P25" s="19"/>
      <c r="Q25" s="19">
        <v>0.3</v>
      </c>
      <c r="R25" s="19">
        <f t="shared" si="25"/>
        <v>0.3</v>
      </c>
      <c r="T25" s="19"/>
      <c r="U25" s="19"/>
      <c r="V25" s="19"/>
      <c r="W25" s="19">
        <v>0.15</v>
      </c>
      <c r="X25" s="19">
        <f t="shared" si="26"/>
        <v>0.15</v>
      </c>
      <c r="Z25" s="19"/>
      <c r="AA25" s="19"/>
      <c r="AB25" s="19"/>
      <c r="AC25" s="19">
        <v>0.24</v>
      </c>
      <c r="AD25" s="19">
        <f t="shared" si="27"/>
        <v>0.24</v>
      </c>
      <c r="AF25" s="19"/>
      <c r="AG25" s="19"/>
      <c r="AH25" s="19"/>
      <c r="AI25" s="19">
        <v>0.64</v>
      </c>
      <c r="AJ25" s="19">
        <f t="shared" si="28"/>
        <v>0.64</v>
      </c>
      <c r="AL25" s="19"/>
      <c r="AM25" s="19"/>
      <c r="AN25" s="19"/>
      <c r="AO25" s="19">
        <v>0</v>
      </c>
      <c r="AP25" s="19">
        <f t="shared" si="29"/>
        <v>0</v>
      </c>
      <c r="AR25" s="19"/>
      <c r="AS25" s="19"/>
      <c r="AT25" s="19"/>
      <c r="AU25" s="19">
        <v>0.4</v>
      </c>
      <c r="AV25" s="19">
        <f t="shared" si="30"/>
        <v>0.4</v>
      </c>
      <c r="AX25" s="7">
        <f t="shared" si="33"/>
        <v>0</v>
      </c>
      <c r="AY25" s="7">
        <f>C25+I25+O25+U25+AA25+AM25+AS25</f>
        <v>0</v>
      </c>
      <c r="AZ25" s="7">
        <f>D25+J25+P25+V25+AB25+AN25+AT25</f>
        <v>0</v>
      </c>
      <c r="BA25" s="226">
        <f>((E25*B19)+(K25*H19)+(Q25*N19)+(W25*T19)+(AC25*Z19)+(AF19*AI25))/AX19</f>
        <v>0.32871415260378922</v>
      </c>
      <c r="BB25" s="19">
        <f t="shared" si="32"/>
        <v>0.32871415260378922</v>
      </c>
    </row>
    <row r="26" spans="1:55" x14ac:dyDescent="0.25">
      <c r="A26" s="140" t="s">
        <v>27</v>
      </c>
      <c r="B26" s="7"/>
      <c r="C26" s="7">
        <f>('FY27'!C26/'FY27'!B19)*'FY28'!B19</f>
        <v>241.54838709677418</v>
      </c>
      <c r="D26" s="7"/>
      <c r="E26" s="7"/>
      <c r="F26" s="7">
        <f t="shared" si="23"/>
        <v>241.54838709677418</v>
      </c>
      <c r="H26" s="7"/>
      <c r="I26" s="7">
        <f>('FY27'!I26/'FY27'!H19)*'FY28'!H19</f>
        <v>565.38235294117646</v>
      </c>
      <c r="J26" s="7"/>
      <c r="K26" s="7"/>
      <c r="L26" s="7">
        <f t="shared" si="24"/>
        <v>565.38235294117646</v>
      </c>
      <c r="N26" s="7"/>
      <c r="O26" s="7">
        <f>('FY27'!O26/'FY27'!N19)*'FY28'!N19</f>
        <v>241</v>
      </c>
      <c r="P26" s="7"/>
      <c r="Q26" s="7"/>
      <c r="R26" s="7">
        <f t="shared" si="25"/>
        <v>241</v>
      </c>
      <c r="T26" s="7"/>
      <c r="U26" s="7">
        <f>('FY27'!U26/'FY27'!T19)*'FY28'!T19</f>
        <v>132.74812343619683</v>
      </c>
      <c r="V26" s="7"/>
      <c r="W26" s="7"/>
      <c r="X26" s="7">
        <f t="shared" si="26"/>
        <v>132.74812343619683</v>
      </c>
      <c r="Z26" s="7"/>
      <c r="AA26" s="7">
        <f>('FY27'!AA26/'FY27'!Z19)*'FY28'!Z19</f>
        <v>284.62200956937795</v>
      </c>
      <c r="AB26" s="7"/>
      <c r="AC26" s="7"/>
      <c r="AD26" s="7">
        <f t="shared" si="27"/>
        <v>284.62200956937795</v>
      </c>
      <c r="AF26" s="7"/>
      <c r="AG26" s="7">
        <f>'FY27'!AF19*AI25-((AH22+AG23+AG24)*0.9)</f>
        <v>263.5200000000001</v>
      </c>
      <c r="AH26" s="19"/>
      <c r="AI26" s="7"/>
      <c r="AJ26" s="7">
        <f t="shared" si="28"/>
        <v>263.5200000000001</v>
      </c>
      <c r="AL26" s="7"/>
      <c r="AM26" s="7">
        <v>0</v>
      </c>
      <c r="AN26" s="7"/>
      <c r="AO26" s="7"/>
      <c r="AP26" s="7">
        <f t="shared" si="29"/>
        <v>0</v>
      </c>
      <c r="AR26" s="7"/>
      <c r="AS26" s="7">
        <v>130</v>
      </c>
      <c r="AT26" s="7"/>
      <c r="AU26" s="7"/>
      <c r="AV26" s="7">
        <f t="shared" si="30"/>
        <v>130</v>
      </c>
      <c r="AX26" s="7">
        <f t="shared" si="33"/>
        <v>0</v>
      </c>
      <c r="AY26" s="7">
        <f>C26+I26+O26+U26+AA26+AM26+AS26</f>
        <v>1595.3008730435256</v>
      </c>
      <c r="AZ26" s="7">
        <f>D26+J26+P26+V26+AB26+AN26+AT26</f>
        <v>0</v>
      </c>
      <c r="BA26" s="7">
        <f>E26+K26+Q26+W26+AC26+AO26+AU26</f>
        <v>0</v>
      </c>
      <c r="BB26" s="7">
        <f t="shared" si="32"/>
        <v>1595.3008730435256</v>
      </c>
    </row>
    <row r="27" spans="1:55" x14ac:dyDescent="0.25">
      <c r="A27" s="20"/>
      <c r="B27" s="7"/>
      <c r="C27" s="7"/>
      <c r="D27" s="7"/>
      <c r="E27" s="7"/>
      <c r="F27" s="7">
        <f t="shared" si="23"/>
        <v>0</v>
      </c>
      <c r="H27" s="7"/>
      <c r="I27" s="7"/>
      <c r="J27" s="7"/>
      <c r="K27" s="7"/>
      <c r="L27" s="7">
        <f t="shared" si="24"/>
        <v>0</v>
      </c>
      <c r="N27" s="7"/>
      <c r="O27" s="7"/>
      <c r="P27" s="7"/>
      <c r="Q27" s="7"/>
      <c r="R27" s="7">
        <f t="shared" si="25"/>
        <v>0</v>
      </c>
      <c r="T27" s="7"/>
      <c r="U27" s="7"/>
      <c r="V27" s="7"/>
      <c r="W27" s="7"/>
      <c r="X27" s="7">
        <f t="shared" si="26"/>
        <v>0</v>
      </c>
      <c r="Z27" s="7"/>
      <c r="AA27" s="7"/>
      <c r="AB27" s="7"/>
      <c r="AC27" s="7"/>
      <c r="AD27" s="7">
        <f t="shared" si="27"/>
        <v>0</v>
      </c>
      <c r="AF27" s="7"/>
      <c r="AG27" s="7"/>
      <c r="AH27" s="7"/>
      <c r="AI27" s="7"/>
      <c r="AJ27" s="7">
        <f t="shared" si="28"/>
        <v>0</v>
      </c>
      <c r="AL27" s="7"/>
      <c r="AM27" s="7"/>
      <c r="AN27" s="7"/>
      <c r="AO27" s="7"/>
      <c r="AP27" s="7">
        <f t="shared" si="29"/>
        <v>0</v>
      </c>
      <c r="AR27" s="7"/>
      <c r="AS27" s="7"/>
      <c r="AT27" s="7"/>
      <c r="AU27" s="7"/>
      <c r="AV27" s="7">
        <f t="shared" si="30"/>
        <v>0</v>
      </c>
      <c r="AX27" s="7"/>
      <c r="AY27" s="7"/>
      <c r="AZ27" s="7"/>
      <c r="BA27" s="7"/>
      <c r="BB27" s="7">
        <f t="shared" si="32"/>
        <v>0</v>
      </c>
    </row>
    <row r="28" spans="1:55" x14ac:dyDescent="0.25">
      <c r="A28" s="17" t="s">
        <v>28</v>
      </c>
      <c r="B28" s="18"/>
      <c r="C28" s="18"/>
      <c r="D28" s="18"/>
      <c r="E28" s="18"/>
      <c r="F28" s="18"/>
      <c r="H28" s="18"/>
      <c r="I28" s="18"/>
      <c r="J28" s="18"/>
      <c r="K28" s="18"/>
      <c r="L28" s="18"/>
      <c r="N28" s="18"/>
      <c r="O28" s="18"/>
      <c r="P28" s="18"/>
      <c r="Q28" s="18"/>
      <c r="R28" s="18"/>
      <c r="T28" s="18"/>
      <c r="U28" s="18"/>
      <c r="V28" s="18"/>
      <c r="W28" s="18"/>
      <c r="X28" s="18"/>
      <c r="Z28" s="18"/>
      <c r="AA28" s="18"/>
      <c r="AB28" s="18"/>
      <c r="AC28" s="18"/>
      <c r="AD28" s="18"/>
      <c r="AF28" s="18"/>
      <c r="AG28" s="18"/>
      <c r="AH28" s="18"/>
      <c r="AI28" s="18"/>
      <c r="AJ28" s="18"/>
      <c r="AL28" s="18"/>
      <c r="AM28" s="18"/>
      <c r="AN28" s="18"/>
      <c r="AO28" s="18"/>
      <c r="AP28" s="18"/>
      <c r="AR28" s="18"/>
      <c r="AS28" s="18"/>
      <c r="AT28" s="18"/>
      <c r="AU28" s="18"/>
      <c r="AV28" s="18"/>
      <c r="AX28" s="18"/>
      <c r="AY28" s="18"/>
      <c r="AZ28" s="18"/>
      <c r="BA28" s="18"/>
      <c r="BB28" s="18"/>
    </row>
    <row r="29" spans="1:55" x14ac:dyDescent="0.25">
      <c r="A29" s="21" t="s">
        <v>29</v>
      </c>
      <c r="B29" s="23">
        <v>36</v>
      </c>
      <c r="C29" s="23">
        <v>0</v>
      </c>
      <c r="D29" s="23">
        <v>0</v>
      </c>
      <c r="E29" s="23">
        <v>0</v>
      </c>
      <c r="F29" s="23">
        <f t="shared" ref="F29:F38" si="35">SUM(B29:E29)</f>
        <v>36</v>
      </c>
      <c r="G29" s="223" t="b">
        <f>SUM(G6:G18)=B29</f>
        <v>1</v>
      </c>
      <c r="H29" s="23">
        <v>86</v>
      </c>
      <c r="I29" s="23">
        <v>0</v>
      </c>
      <c r="J29" s="23">
        <v>0</v>
      </c>
      <c r="K29" s="23">
        <v>0</v>
      </c>
      <c r="L29" s="23">
        <f t="shared" ref="L29:L38" si="36">SUM(H29:K29)</f>
        <v>86</v>
      </c>
      <c r="M29" s="223" t="b">
        <f>SUM(M6:M18)=H29</f>
        <v>1</v>
      </c>
      <c r="N29" s="23">
        <v>36</v>
      </c>
      <c r="O29" s="23">
        <v>0</v>
      </c>
      <c r="P29" s="23">
        <v>0</v>
      </c>
      <c r="Q29" s="23">
        <v>0</v>
      </c>
      <c r="R29" s="23">
        <f t="shared" ref="R29:R38" si="37">SUM(N29:Q29)</f>
        <v>36</v>
      </c>
      <c r="S29" s="223" t="b">
        <f>SUM(S6:S18)=N29</f>
        <v>1</v>
      </c>
      <c r="T29" s="23">
        <v>45</v>
      </c>
      <c r="U29" s="23">
        <v>0</v>
      </c>
      <c r="V29" s="23">
        <v>0</v>
      </c>
      <c r="W29" s="23">
        <v>0</v>
      </c>
      <c r="X29" s="23">
        <f t="shared" ref="X29:X38" si="38">SUM(T29:W29)</f>
        <v>45</v>
      </c>
      <c r="Y29" s="223" t="b">
        <f>SUM(Y6:Y18)=T29</f>
        <v>1</v>
      </c>
      <c r="Z29" s="23">
        <v>85</v>
      </c>
      <c r="AA29" s="23">
        <v>0</v>
      </c>
      <c r="AB29" s="23">
        <v>0</v>
      </c>
      <c r="AC29" s="23">
        <v>0</v>
      </c>
      <c r="AD29" s="23">
        <f t="shared" ref="AD29:AD38" si="39">SUM(Z29:AC29)</f>
        <v>85</v>
      </c>
      <c r="AE29" s="223" t="b">
        <f>SUM(AE6:AE18)=Z29</f>
        <v>1</v>
      </c>
      <c r="AF29" s="23">
        <v>44</v>
      </c>
      <c r="AG29" s="23">
        <v>0</v>
      </c>
      <c r="AH29" s="23">
        <v>0</v>
      </c>
      <c r="AI29" s="23">
        <v>0</v>
      </c>
      <c r="AJ29" s="23">
        <f t="shared" ref="AJ29:AJ38" si="40">SUM(AF29:AI29)</f>
        <v>44</v>
      </c>
      <c r="AK29" s="223" t="b">
        <f>SUM(AK6:AK18)=AF29</f>
        <v>1</v>
      </c>
      <c r="AL29" s="23">
        <v>0</v>
      </c>
      <c r="AM29" s="23">
        <v>0</v>
      </c>
      <c r="AN29" s="23">
        <v>0</v>
      </c>
      <c r="AO29" s="23">
        <v>0</v>
      </c>
      <c r="AP29" s="23">
        <f t="shared" ref="AP29:AP38" si="41">SUM(AL29:AO29)</f>
        <v>0</v>
      </c>
      <c r="AQ29" s="200">
        <f>AP29/6</f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f t="shared" ref="AV29:AV38" si="42">SUM(AR29:AU29)</f>
        <v>0</v>
      </c>
      <c r="AX29" s="23">
        <f>B29+H29+N29+T29+Z29+AF29+AL29+AR29</f>
        <v>332</v>
      </c>
      <c r="AY29" s="23">
        <f t="shared" ref="AY29:BA38" si="43">C29+I29+O29+U29+AA29+AG29+AM29+AS29</f>
        <v>0</v>
      </c>
      <c r="AZ29" s="23">
        <f t="shared" si="43"/>
        <v>0</v>
      </c>
      <c r="BA29" s="23">
        <f t="shared" si="43"/>
        <v>0</v>
      </c>
      <c r="BB29" s="23">
        <f t="shared" ref="BB29:BB38" si="44">SUM(AX29:BA29)</f>
        <v>332</v>
      </c>
    </row>
    <row r="30" spans="1:55" x14ac:dyDescent="0.25">
      <c r="A30" s="21" t="s">
        <v>30</v>
      </c>
      <c r="B30" s="23">
        <v>0</v>
      </c>
      <c r="C30" s="23">
        <v>0</v>
      </c>
      <c r="D30" s="23">
        <v>4</v>
      </c>
      <c r="E30" s="23">
        <v>0</v>
      </c>
      <c r="F30" s="23">
        <f t="shared" si="35"/>
        <v>4</v>
      </c>
      <c r="G30" s="223">
        <f>D22/23</f>
        <v>4.3909658074188709</v>
      </c>
      <c r="H30" s="23">
        <v>0</v>
      </c>
      <c r="I30" s="23">
        <v>0</v>
      </c>
      <c r="J30" s="23">
        <v>13</v>
      </c>
      <c r="K30" s="23">
        <v>0</v>
      </c>
      <c r="L30" s="23">
        <f t="shared" si="36"/>
        <v>13</v>
      </c>
      <c r="M30" s="223">
        <f>J22/23</f>
        <v>13.550918391071844</v>
      </c>
      <c r="N30" s="23">
        <v>0</v>
      </c>
      <c r="O30" s="23">
        <v>0</v>
      </c>
      <c r="P30" s="23">
        <v>4</v>
      </c>
      <c r="Q30" s="23">
        <v>0</v>
      </c>
      <c r="R30" s="23">
        <f t="shared" si="37"/>
        <v>4</v>
      </c>
      <c r="S30" s="223">
        <f>P22/23</f>
        <v>3.2173913043478262</v>
      </c>
      <c r="T30" s="23">
        <v>0</v>
      </c>
      <c r="U30" s="23">
        <v>0</v>
      </c>
      <c r="V30" s="23">
        <v>5</v>
      </c>
      <c r="W30" s="23">
        <v>0</v>
      </c>
      <c r="X30" s="23">
        <f t="shared" si="38"/>
        <v>5</v>
      </c>
      <c r="Y30" s="223">
        <f>V22/23</f>
        <v>4.7583130869927839</v>
      </c>
      <c r="Z30" s="23">
        <v>0</v>
      </c>
      <c r="AA30" s="23">
        <v>0</v>
      </c>
      <c r="AB30" s="23">
        <v>10</v>
      </c>
      <c r="AC30" s="23">
        <v>0</v>
      </c>
      <c r="AD30" s="23">
        <f t="shared" si="39"/>
        <v>10</v>
      </c>
      <c r="AE30" s="223">
        <f>AB22/23</f>
        <v>8.6371541501976292</v>
      </c>
      <c r="AF30" s="23">
        <v>0</v>
      </c>
      <c r="AG30" s="23">
        <v>0</v>
      </c>
      <c r="AH30" s="23">
        <v>5.5</v>
      </c>
      <c r="AI30" s="23">
        <v>0</v>
      </c>
      <c r="AJ30" s="23">
        <f t="shared" si="40"/>
        <v>5.5</v>
      </c>
      <c r="AK30" s="223">
        <f>AH22/23</f>
        <v>5.6347826086956516</v>
      </c>
      <c r="AL30" s="23">
        <v>0</v>
      </c>
      <c r="AM30" s="23">
        <v>0</v>
      </c>
      <c r="AN30" s="23">
        <v>0</v>
      </c>
      <c r="AO30" s="23">
        <v>0</v>
      </c>
      <c r="AP30" s="23">
        <f t="shared" si="41"/>
        <v>0</v>
      </c>
      <c r="AQ30" s="199">
        <f>(AL19*0.13)/23</f>
        <v>0</v>
      </c>
      <c r="AR30" s="23">
        <v>0</v>
      </c>
      <c r="AS30" s="23">
        <v>0</v>
      </c>
      <c r="AT30" s="23">
        <v>1</v>
      </c>
      <c r="AU30" s="23">
        <v>0</v>
      </c>
      <c r="AV30" s="23">
        <f t="shared" si="42"/>
        <v>1</v>
      </c>
      <c r="AX30" s="23">
        <f t="shared" ref="AX30:AX38" si="45">B30+H30+N30+T30+Z30+AF30+AL30+AR30</f>
        <v>0</v>
      </c>
      <c r="AY30" s="23">
        <f t="shared" si="43"/>
        <v>0</v>
      </c>
      <c r="AZ30" s="23">
        <f t="shared" si="43"/>
        <v>42.5</v>
      </c>
      <c r="BA30" s="23">
        <f t="shared" si="43"/>
        <v>0</v>
      </c>
      <c r="BB30" s="23">
        <f t="shared" si="44"/>
        <v>42.5</v>
      </c>
    </row>
    <row r="31" spans="1:55" x14ac:dyDescent="0.25">
      <c r="A31" s="21" t="s">
        <v>31</v>
      </c>
      <c r="B31" s="23">
        <v>1</v>
      </c>
      <c r="C31" s="23">
        <v>0</v>
      </c>
      <c r="D31" s="23">
        <v>0</v>
      </c>
      <c r="E31" s="23">
        <v>0</v>
      </c>
      <c r="F31" s="23">
        <f t="shared" si="35"/>
        <v>1</v>
      </c>
      <c r="H31" s="23">
        <v>2</v>
      </c>
      <c r="I31" s="23">
        <v>0</v>
      </c>
      <c r="J31" s="23">
        <v>0</v>
      </c>
      <c r="K31" s="23">
        <v>0</v>
      </c>
      <c r="L31" s="23">
        <f t="shared" si="36"/>
        <v>2</v>
      </c>
      <c r="N31" s="23">
        <v>1</v>
      </c>
      <c r="O31" s="23">
        <v>0</v>
      </c>
      <c r="P31" s="23">
        <v>0</v>
      </c>
      <c r="Q31" s="23">
        <v>0</v>
      </c>
      <c r="R31" s="23">
        <f t="shared" si="37"/>
        <v>1</v>
      </c>
      <c r="T31" s="23">
        <v>1</v>
      </c>
      <c r="U31" s="23">
        <v>0</v>
      </c>
      <c r="V31" s="23">
        <v>0</v>
      </c>
      <c r="W31" s="23">
        <v>0</v>
      </c>
      <c r="X31" s="23">
        <f t="shared" si="38"/>
        <v>1</v>
      </c>
      <c r="Z31" s="23">
        <v>2</v>
      </c>
      <c r="AA31" s="23">
        <v>0</v>
      </c>
      <c r="AB31" s="23">
        <v>0</v>
      </c>
      <c r="AC31" s="23">
        <v>0</v>
      </c>
      <c r="AD31" s="23">
        <f t="shared" si="39"/>
        <v>2</v>
      </c>
      <c r="AF31" s="23">
        <v>1</v>
      </c>
      <c r="AG31" s="23">
        <v>0</v>
      </c>
      <c r="AH31" s="23">
        <v>0</v>
      </c>
      <c r="AI31" s="23">
        <v>0</v>
      </c>
      <c r="AJ31" s="23">
        <f t="shared" si="40"/>
        <v>1</v>
      </c>
      <c r="AL31" s="23">
        <v>0</v>
      </c>
      <c r="AM31" s="23">
        <v>0</v>
      </c>
      <c r="AN31" s="23">
        <v>0</v>
      </c>
      <c r="AO31" s="23">
        <v>0</v>
      </c>
      <c r="AP31" s="23">
        <f t="shared" si="41"/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f t="shared" si="42"/>
        <v>0</v>
      </c>
      <c r="AX31" s="23">
        <f t="shared" si="45"/>
        <v>8</v>
      </c>
      <c r="AY31" s="23">
        <f t="shared" si="43"/>
        <v>0</v>
      </c>
      <c r="AZ31" s="23">
        <f t="shared" si="43"/>
        <v>0</v>
      </c>
      <c r="BA31" s="23">
        <f t="shared" si="43"/>
        <v>0</v>
      </c>
      <c r="BB31" s="23">
        <f t="shared" si="44"/>
        <v>8</v>
      </c>
    </row>
    <row r="32" spans="1:55" x14ac:dyDescent="0.25">
      <c r="A32" s="21" t="s">
        <v>32</v>
      </c>
      <c r="B32" s="23">
        <v>1</v>
      </c>
      <c r="C32" s="23">
        <v>0</v>
      </c>
      <c r="D32" s="23">
        <v>0</v>
      </c>
      <c r="E32" s="23">
        <v>0</v>
      </c>
      <c r="F32" s="23">
        <f t="shared" si="35"/>
        <v>1</v>
      </c>
      <c r="H32" s="23">
        <v>2</v>
      </c>
      <c r="I32" s="23">
        <v>0</v>
      </c>
      <c r="J32" s="23">
        <v>0</v>
      </c>
      <c r="K32" s="23">
        <v>0</v>
      </c>
      <c r="L32" s="23">
        <f t="shared" si="36"/>
        <v>2</v>
      </c>
      <c r="N32" s="23">
        <v>1</v>
      </c>
      <c r="O32" s="23">
        <v>0</v>
      </c>
      <c r="P32" s="23">
        <v>0</v>
      </c>
      <c r="Q32" s="23">
        <v>0</v>
      </c>
      <c r="R32" s="23">
        <f t="shared" si="37"/>
        <v>1</v>
      </c>
      <c r="T32" s="23">
        <v>1</v>
      </c>
      <c r="U32" s="23">
        <v>0</v>
      </c>
      <c r="V32" s="23">
        <v>0</v>
      </c>
      <c r="W32" s="23">
        <v>0</v>
      </c>
      <c r="X32" s="23">
        <f t="shared" si="38"/>
        <v>1</v>
      </c>
      <c r="Z32" s="23">
        <v>2</v>
      </c>
      <c r="AA32" s="23">
        <v>0</v>
      </c>
      <c r="AB32" s="23">
        <v>0</v>
      </c>
      <c r="AC32" s="23">
        <v>0</v>
      </c>
      <c r="AD32" s="23">
        <f t="shared" si="39"/>
        <v>2</v>
      </c>
      <c r="AF32" s="23">
        <v>1</v>
      </c>
      <c r="AG32" s="23">
        <v>0</v>
      </c>
      <c r="AH32" s="23">
        <v>0</v>
      </c>
      <c r="AI32" s="23">
        <v>0</v>
      </c>
      <c r="AJ32" s="23">
        <f t="shared" si="40"/>
        <v>1</v>
      </c>
      <c r="AL32" s="23">
        <v>0</v>
      </c>
      <c r="AM32" s="23">
        <v>0</v>
      </c>
      <c r="AN32" s="23">
        <v>0</v>
      </c>
      <c r="AO32" s="23">
        <v>0</v>
      </c>
      <c r="AP32" s="23">
        <f t="shared" si="41"/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f t="shared" si="42"/>
        <v>0</v>
      </c>
      <c r="AX32" s="23">
        <f t="shared" si="45"/>
        <v>8</v>
      </c>
      <c r="AY32" s="23">
        <f t="shared" si="43"/>
        <v>0</v>
      </c>
      <c r="AZ32" s="23">
        <f t="shared" si="43"/>
        <v>0</v>
      </c>
      <c r="BA32" s="23">
        <f t="shared" si="43"/>
        <v>0</v>
      </c>
      <c r="BB32" s="23">
        <f t="shared" si="44"/>
        <v>8</v>
      </c>
    </row>
    <row r="33" spans="1:54" x14ac:dyDescent="0.25">
      <c r="A33" s="21" t="s">
        <v>33</v>
      </c>
      <c r="B33" s="23">
        <v>1</v>
      </c>
      <c r="C33" s="23">
        <v>0</v>
      </c>
      <c r="D33" s="23">
        <v>0</v>
      </c>
      <c r="E33" s="23">
        <v>0</v>
      </c>
      <c r="F33" s="23">
        <f t="shared" si="35"/>
        <v>1</v>
      </c>
      <c r="H33" s="23">
        <v>3</v>
      </c>
      <c r="I33" s="23">
        <v>0</v>
      </c>
      <c r="J33" s="23">
        <v>0</v>
      </c>
      <c r="K33" s="23">
        <v>0</v>
      </c>
      <c r="L33" s="23">
        <f t="shared" si="36"/>
        <v>3</v>
      </c>
      <c r="N33" s="23">
        <v>1</v>
      </c>
      <c r="O33" s="23">
        <v>0</v>
      </c>
      <c r="P33" s="23">
        <v>0</v>
      </c>
      <c r="Q33" s="23">
        <v>0</v>
      </c>
      <c r="R33" s="23">
        <f t="shared" si="37"/>
        <v>1</v>
      </c>
      <c r="T33" s="23">
        <v>1</v>
      </c>
      <c r="U33" s="23">
        <v>0</v>
      </c>
      <c r="V33" s="23">
        <v>0</v>
      </c>
      <c r="W33" s="23">
        <v>0</v>
      </c>
      <c r="X33" s="23">
        <f t="shared" si="38"/>
        <v>1</v>
      </c>
      <c r="Z33" s="23">
        <v>2</v>
      </c>
      <c r="AA33" s="23">
        <v>0</v>
      </c>
      <c r="AB33" s="23">
        <v>0</v>
      </c>
      <c r="AC33" s="23">
        <v>0</v>
      </c>
      <c r="AD33" s="23">
        <f t="shared" si="39"/>
        <v>2</v>
      </c>
      <c r="AF33" s="23">
        <v>1</v>
      </c>
      <c r="AG33" s="23">
        <v>0</v>
      </c>
      <c r="AH33" s="23">
        <v>0</v>
      </c>
      <c r="AI33" s="23">
        <v>0</v>
      </c>
      <c r="AJ33" s="23">
        <f t="shared" si="40"/>
        <v>1</v>
      </c>
      <c r="AL33" s="23">
        <v>0</v>
      </c>
      <c r="AM33" s="23">
        <v>0</v>
      </c>
      <c r="AN33" s="23">
        <v>0</v>
      </c>
      <c r="AO33" s="23">
        <v>0</v>
      </c>
      <c r="AP33" s="23">
        <f t="shared" si="41"/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f t="shared" si="42"/>
        <v>0</v>
      </c>
      <c r="AX33" s="23">
        <f t="shared" si="45"/>
        <v>9</v>
      </c>
      <c r="AY33" s="23">
        <f t="shared" si="43"/>
        <v>0</v>
      </c>
      <c r="AZ33" s="23">
        <f t="shared" si="43"/>
        <v>0</v>
      </c>
      <c r="BA33" s="23">
        <f t="shared" si="43"/>
        <v>0</v>
      </c>
      <c r="BB33" s="23">
        <f t="shared" si="44"/>
        <v>9</v>
      </c>
    </row>
    <row r="34" spans="1:54" x14ac:dyDescent="0.25">
      <c r="A34" s="24" t="s">
        <v>34</v>
      </c>
      <c r="B34" s="23">
        <v>0</v>
      </c>
      <c r="C34" s="23">
        <v>0</v>
      </c>
      <c r="D34" s="23">
        <v>0</v>
      </c>
      <c r="E34" s="23">
        <v>0</v>
      </c>
      <c r="F34" s="23">
        <f t="shared" si="35"/>
        <v>0</v>
      </c>
      <c r="H34" s="23">
        <v>0</v>
      </c>
      <c r="I34" s="23">
        <v>0</v>
      </c>
      <c r="J34" s="23">
        <v>0</v>
      </c>
      <c r="K34" s="23">
        <v>0</v>
      </c>
      <c r="L34" s="23">
        <f t="shared" si="36"/>
        <v>0</v>
      </c>
      <c r="N34" s="23">
        <v>0</v>
      </c>
      <c r="O34" s="23">
        <v>0</v>
      </c>
      <c r="P34" s="23">
        <v>0</v>
      </c>
      <c r="Q34" s="23">
        <v>0</v>
      </c>
      <c r="R34" s="23">
        <f t="shared" si="37"/>
        <v>0</v>
      </c>
      <c r="T34" s="23">
        <v>0</v>
      </c>
      <c r="U34" s="23">
        <v>0</v>
      </c>
      <c r="V34" s="23">
        <v>0</v>
      </c>
      <c r="W34" s="23">
        <v>0</v>
      </c>
      <c r="X34" s="23">
        <f t="shared" si="38"/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f t="shared" si="39"/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f t="shared" si="40"/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f t="shared" si="41"/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f t="shared" si="42"/>
        <v>0</v>
      </c>
      <c r="AX34" s="23">
        <f t="shared" si="45"/>
        <v>0</v>
      </c>
      <c r="AY34" s="23">
        <f t="shared" si="43"/>
        <v>0</v>
      </c>
      <c r="AZ34" s="23">
        <f t="shared" si="43"/>
        <v>0</v>
      </c>
      <c r="BA34" s="23">
        <f t="shared" si="43"/>
        <v>0</v>
      </c>
      <c r="BB34" s="23">
        <f t="shared" si="44"/>
        <v>0</v>
      </c>
    </row>
    <row r="35" spans="1:54" x14ac:dyDescent="0.25">
      <c r="A35" s="27" t="s">
        <v>35</v>
      </c>
      <c r="B35" s="23">
        <v>1</v>
      </c>
      <c r="C35" s="23">
        <v>0</v>
      </c>
      <c r="D35" s="23">
        <v>0</v>
      </c>
      <c r="E35" s="23">
        <v>0</v>
      </c>
      <c r="F35" s="23">
        <f t="shared" si="35"/>
        <v>1</v>
      </c>
      <c r="H35" s="23">
        <v>2</v>
      </c>
      <c r="I35" s="23">
        <v>0</v>
      </c>
      <c r="J35" s="23">
        <v>0</v>
      </c>
      <c r="K35" s="23">
        <v>0</v>
      </c>
      <c r="L35" s="23">
        <f t="shared" si="36"/>
        <v>2</v>
      </c>
      <c r="N35" s="23">
        <v>1</v>
      </c>
      <c r="O35" s="23">
        <v>0</v>
      </c>
      <c r="P35" s="23">
        <v>0</v>
      </c>
      <c r="Q35" s="23">
        <v>0</v>
      </c>
      <c r="R35" s="23">
        <f t="shared" si="37"/>
        <v>1</v>
      </c>
      <c r="T35" s="23">
        <v>1</v>
      </c>
      <c r="U35" s="23">
        <v>0</v>
      </c>
      <c r="V35" s="23">
        <v>0</v>
      </c>
      <c r="W35" s="23">
        <v>0</v>
      </c>
      <c r="X35" s="23">
        <f t="shared" si="38"/>
        <v>1</v>
      </c>
      <c r="Z35" s="23">
        <v>2</v>
      </c>
      <c r="AA35" s="23">
        <v>0</v>
      </c>
      <c r="AB35" s="23">
        <v>0</v>
      </c>
      <c r="AC35" s="23">
        <v>0</v>
      </c>
      <c r="AD35" s="23">
        <f t="shared" si="39"/>
        <v>2</v>
      </c>
      <c r="AF35" s="23">
        <v>1</v>
      </c>
      <c r="AG35" s="23">
        <v>0</v>
      </c>
      <c r="AH35" s="23">
        <v>0</v>
      </c>
      <c r="AI35" s="23">
        <v>0</v>
      </c>
      <c r="AJ35" s="23">
        <f t="shared" si="40"/>
        <v>1</v>
      </c>
      <c r="AL35" s="23">
        <v>0</v>
      </c>
      <c r="AM35" s="23">
        <v>0</v>
      </c>
      <c r="AN35" s="23">
        <v>0</v>
      </c>
      <c r="AO35" s="23">
        <v>0</v>
      </c>
      <c r="AP35" s="23">
        <f t="shared" si="41"/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f t="shared" si="42"/>
        <v>0</v>
      </c>
      <c r="AX35" s="23">
        <f t="shared" si="45"/>
        <v>8</v>
      </c>
      <c r="AY35" s="23">
        <f t="shared" si="43"/>
        <v>0</v>
      </c>
      <c r="AZ35" s="23">
        <f t="shared" si="43"/>
        <v>0</v>
      </c>
      <c r="BA35" s="23">
        <f t="shared" si="43"/>
        <v>0</v>
      </c>
      <c r="BB35" s="23">
        <f t="shared" si="44"/>
        <v>8</v>
      </c>
    </row>
    <row r="36" spans="1:54" x14ac:dyDescent="0.25">
      <c r="A36" s="28" t="s">
        <v>36</v>
      </c>
      <c r="B36" s="23">
        <v>0</v>
      </c>
      <c r="C36" s="23">
        <v>0</v>
      </c>
      <c r="D36" s="23">
        <v>0</v>
      </c>
      <c r="E36" s="23">
        <v>0</v>
      </c>
      <c r="F36" s="23">
        <f t="shared" si="35"/>
        <v>0</v>
      </c>
      <c r="H36" s="23">
        <v>0</v>
      </c>
      <c r="I36" s="23">
        <v>0</v>
      </c>
      <c r="J36" s="23">
        <v>0</v>
      </c>
      <c r="K36" s="23">
        <v>0</v>
      </c>
      <c r="L36" s="23">
        <f t="shared" si="36"/>
        <v>0</v>
      </c>
      <c r="N36" s="23">
        <v>0</v>
      </c>
      <c r="O36" s="23">
        <v>0</v>
      </c>
      <c r="P36" s="23">
        <v>0</v>
      </c>
      <c r="Q36" s="23">
        <v>0</v>
      </c>
      <c r="R36" s="23">
        <f t="shared" si="37"/>
        <v>0</v>
      </c>
      <c r="T36" s="23">
        <v>0</v>
      </c>
      <c r="U36" s="23">
        <v>0</v>
      </c>
      <c r="V36" s="23">
        <v>0</v>
      </c>
      <c r="W36" s="23">
        <v>0</v>
      </c>
      <c r="X36" s="23">
        <f t="shared" si="38"/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f t="shared" si="39"/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f t="shared" si="40"/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f t="shared" si="41"/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f t="shared" si="42"/>
        <v>0</v>
      </c>
      <c r="AX36" s="23">
        <f t="shared" si="45"/>
        <v>0</v>
      </c>
      <c r="AY36" s="23">
        <f t="shared" si="43"/>
        <v>0</v>
      </c>
      <c r="AZ36" s="23">
        <f t="shared" si="43"/>
        <v>0</v>
      </c>
      <c r="BA36" s="23">
        <f t="shared" si="43"/>
        <v>0</v>
      </c>
      <c r="BB36" s="23">
        <f t="shared" si="44"/>
        <v>0</v>
      </c>
    </row>
    <row r="37" spans="1:54" x14ac:dyDescent="0.25">
      <c r="A37" s="27" t="s">
        <v>37</v>
      </c>
      <c r="B37" s="23">
        <v>1</v>
      </c>
      <c r="C37" s="23">
        <v>0</v>
      </c>
      <c r="D37" s="23">
        <v>0</v>
      </c>
      <c r="E37" s="23">
        <v>0</v>
      </c>
      <c r="F37" s="23">
        <f t="shared" si="35"/>
        <v>1</v>
      </c>
      <c r="H37" s="23">
        <v>2</v>
      </c>
      <c r="I37" s="23">
        <v>0</v>
      </c>
      <c r="J37" s="23">
        <v>0</v>
      </c>
      <c r="K37" s="23">
        <v>0</v>
      </c>
      <c r="L37" s="23">
        <f t="shared" si="36"/>
        <v>2</v>
      </c>
      <c r="N37" s="23">
        <v>1</v>
      </c>
      <c r="O37" s="23">
        <v>0</v>
      </c>
      <c r="P37" s="23">
        <v>0</v>
      </c>
      <c r="Q37" s="23">
        <v>0</v>
      </c>
      <c r="R37" s="23">
        <f t="shared" si="37"/>
        <v>1</v>
      </c>
      <c r="T37" s="23">
        <v>1</v>
      </c>
      <c r="U37" s="23">
        <v>0</v>
      </c>
      <c r="V37" s="23">
        <v>0</v>
      </c>
      <c r="W37" s="23">
        <v>0</v>
      </c>
      <c r="X37" s="23">
        <f t="shared" si="38"/>
        <v>1</v>
      </c>
      <c r="Z37" s="23">
        <v>1</v>
      </c>
      <c r="AA37" s="23">
        <v>0</v>
      </c>
      <c r="AB37" s="23">
        <v>0</v>
      </c>
      <c r="AC37" s="23">
        <v>0</v>
      </c>
      <c r="AD37" s="23">
        <f t="shared" si="39"/>
        <v>1</v>
      </c>
      <c r="AF37" s="23">
        <v>1</v>
      </c>
      <c r="AG37" s="23">
        <v>0</v>
      </c>
      <c r="AH37" s="23">
        <v>0</v>
      </c>
      <c r="AI37" s="23">
        <v>0</v>
      </c>
      <c r="AJ37" s="23">
        <f t="shared" si="40"/>
        <v>1</v>
      </c>
      <c r="AL37" s="23">
        <v>0</v>
      </c>
      <c r="AM37" s="23">
        <v>0</v>
      </c>
      <c r="AN37" s="23">
        <v>0</v>
      </c>
      <c r="AO37" s="23">
        <v>0</v>
      </c>
      <c r="AP37" s="23">
        <f t="shared" si="41"/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f t="shared" si="42"/>
        <v>0</v>
      </c>
      <c r="AX37" s="23">
        <f t="shared" si="45"/>
        <v>7</v>
      </c>
      <c r="AY37" s="23">
        <f t="shared" si="43"/>
        <v>0</v>
      </c>
      <c r="AZ37" s="23">
        <f t="shared" si="43"/>
        <v>0</v>
      </c>
      <c r="BA37" s="23">
        <f t="shared" si="43"/>
        <v>0</v>
      </c>
      <c r="BB37" s="23">
        <f t="shared" si="44"/>
        <v>7</v>
      </c>
    </row>
    <row r="38" spans="1:54" x14ac:dyDescent="0.25">
      <c r="A38" s="27" t="s">
        <v>38</v>
      </c>
      <c r="B38" s="23">
        <v>0.5</v>
      </c>
      <c r="C38" s="23">
        <v>0</v>
      </c>
      <c r="D38" s="23">
        <v>0</v>
      </c>
      <c r="E38" s="23">
        <v>0</v>
      </c>
      <c r="F38" s="23">
        <f t="shared" si="35"/>
        <v>0.5</v>
      </c>
      <c r="H38" s="23">
        <v>3</v>
      </c>
      <c r="I38" s="23">
        <v>0</v>
      </c>
      <c r="J38" s="23">
        <v>0</v>
      </c>
      <c r="K38" s="23">
        <v>0</v>
      </c>
      <c r="L38" s="23">
        <f t="shared" si="36"/>
        <v>3</v>
      </c>
      <c r="N38" s="23">
        <v>2</v>
      </c>
      <c r="O38" s="23">
        <v>0</v>
      </c>
      <c r="P38" s="23">
        <v>0</v>
      </c>
      <c r="Q38" s="23">
        <v>0</v>
      </c>
      <c r="R38" s="23">
        <f t="shared" si="37"/>
        <v>2</v>
      </c>
      <c r="T38" s="23">
        <v>3</v>
      </c>
      <c r="U38" s="23">
        <v>0</v>
      </c>
      <c r="V38" s="23">
        <v>0</v>
      </c>
      <c r="W38" s="23">
        <v>0</v>
      </c>
      <c r="X38" s="23">
        <f t="shared" si="38"/>
        <v>3</v>
      </c>
      <c r="Z38" s="23">
        <v>3.5</v>
      </c>
      <c r="AA38" s="23">
        <v>0</v>
      </c>
      <c r="AB38" s="23">
        <v>0</v>
      </c>
      <c r="AC38" s="23">
        <v>0</v>
      </c>
      <c r="AD38" s="23">
        <f t="shared" si="39"/>
        <v>3.5</v>
      </c>
      <c r="AF38" s="23">
        <v>1.5</v>
      </c>
      <c r="AG38" s="23">
        <v>0</v>
      </c>
      <c r="AH38" s="23">
        <v>0</v>
      </c>
      <c r="AI38" s="23">
        <v>0</v>
      </c>
      <c r="AJ38" s="23">
        <f t="shared" si="40"/>
        <v>1.5</v>
      </c>
      <c r="AL38" s="23">
        <v>0</v>
      </c>
      <c r="AM38" s="23">
        <v>0</v>
      </c>
      <c r="AN38" s="23">
        <v>0</v>
      </c>
      <c r="AO38" s="23">
        <v>0</v>
      </c>
      <c r="AP38" s="23">
        <f t="shared" si="41"/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f t="shared" si="42"/>
        <v>0</v>
      </c>
      <c r="AX38" s="23">
        <f t="shared" si="45"/>
        <v>13.5</v>
      </c>
      <c r="AY38" s="23">
        <f t="shared" si="43"/>
        <v>0</v>
      </c>
      <c r="AZ38" s="23">
        <f t="shared" si="43"/>
        <v>0</v>
      </c>
      <c r="BA38" s="23">
        <f t="shared" si="43"/>
        <v>0</v>
      </c>
      <c r="BB38" s="23">
        <f t="shared" si="44"/>
        <v>13.5</v>
      </c>
    </row>
    <row r="39" spans="1:54" x14ac:dyDescent="0.25">
      <c r="A39" s="29" t="s">
        <v>39</v>
      </c>
      <c r="B39" s="30">
        <f>SUM(B29:B38)</f>
        <v>41.5</v>
      </c>
      <c r="C39" s="30">
        <f>SUM(C29:C38)</f>
        <v>0</v>
      </c>
      <c r="D39" s="30">
        <f t="shared" ref="D39:F39" si="46">SUM(D29:D38)</f>
        <v>4</v>
      </c>
      <c r="E39" s="30">
        <f t="shared" si="46"/>
        <v>0</v>
      </c>
      <c r="F39" s="30">
        <f t="shared" si="46"/>
        <v>45.5</v>
      </c>
      <c r="H39" s="30">
        <f>SUM(H29:H38)</f>
        <v>100</v>
      </c>
      <c r="I39" s="30">
        <f>SUM(I29:I38)</f>
        <v>0</v>
      </c>
      <c r="J39" s="30">
        <f t="shared" ref="J39:L39" si="47">SUM(J29:J38)</f>
        <v>13</v>
      </c>
      <c r="K39" s="30">
        <f t="shared" si="47"/>
        <v>0</v>
      </c>
      <c r="L39" s="30">
        <f t="shared" si="47"/>
        <v>113</v>
      </c>
      <c r="N39" s="30">
        <f>SUM(N29:N38)</f>
        <v>43</v>
      </c>
      <c r="O39" s="30">
        <f>SUM(O29:O38)</f>
        <v>0</v>
      </c>
      <c r="P39" s="30">
        <f t="shared" ref="P39:R39" si="48">SUM(P29:P38)</f>
        <v>4</v>
      </c>
      <c r="Q39" s="30">
        <f t="shared" si="48"/>
        <v>0</v>
      </c>
      <c r="R39" s="30">
        <f t="shared" si="48"/>
        <v>47</v>
      </c>
      <c r="T39" s="30">
        <f>SUM(T29:T38)</f>
        <v>53</v>
      </c>
      <c r="U39" s="30">
        <f>SUM(U29:U38)</f>
        <v>0</v>
      </c>
      <c r="V39" s="30">
        <f t="shared" ref="V39:X39" si="49">SUM(V29:V38)</f>
        <v>5</v>
      </c>
      <c r="W39" s="30">
        <f t="shared" si="49"/>
        <v>0</v>
      </c>
      <c r="X39" s="30">
        <f t="shared" si="49"/>
        <v>58</v>
      </c>
      <c r="Z39" s="30">
        <f>SUM(Z29:Z38)</f>
        <v>97.5</v>
      </c>
      <c r="AA39" s="30">
        <f>SUM(AA29:AA38)</f>
        <v>0</v>
      </c>
      <c r="AB39" s="30">
        <f t="shared" ref="AB39:AD39" si="50">SUM(AB29:AB38)</f>
        <v>10</v>
      </c>
      <c r="AC39" s="30">
        <f t="shared" si="50"/>
        <v>0</v>
      </c>
      <c r="AD39" s="30">
        <f t="shared" si="50"/>
        <v>107.5</v>
      </c>
      <c r="AF39" s="30">
        <f>SUM(AF29:AF38)</f>
        <v>50.5</v>
      </c>
      <c r="AG39" s="30">
        <f>SUM(AG29:AG38)</f>
        <v>0</v>
      </c>
      <c r="AH39" s="30">
        <f t="shared" ref="AH39:AJ39" si="51">SUM(AH29:AH38)</f>
        <v>5.5</v>
      </c>
      <c r="AI39" s="30">
        <f t="shared" si="51"/>
        <v>0</v>
      </c>
      <c r="AJ39" s="30">
        <f t="shared" si="51"/>
        <v>56</v>
      </c>
      <c r="AL39" s="30">
        <f>SUM(AL29:AL38)</f>
        <v>0</v>
      </c>
      <c r="AM39" s="30">
        <f>SUM(AM29:AM38)</f>
        <v>0</v>
      </c>
      <c r="AN39" s="30">
        <f t="shared" ref="AN39:AP39" si="52">SUM(AN29:AN38)</f>
        <v>0</v>
      </c>
      <c r="AO39" s="30">
        <f t="shared" si="52"/>
        <v>0</v>
      </c>
      <c r="AP39" s="30">
        <f t="shared" si="52"/>
        <v>0</v>
      </c>
      <c r="AR39" s="30">
        <f>SUM(AR29:AR38)</f>
        <v>0</v>
      </c>
      <c r="AS39" s="30">
        <f>SUM(AS29:AS38)</f>
        <v>0</v>
      </c>
      <c r="AT39" s="30">
        <f t="shared" ref="AT39:AV39" si="53">SUM(AT29:AT38)</f>
        <v>1</v>
      </c>
      <c r="AU39" s="30">
        <f t="shared" si="53"/>
        <v>0</v>
      </c>
      <c r="AV39" s="30">
        <f t="shared" si="53"/>
        <v>1</v>
      </c>
      <c r="AX39" s="30">
        <f>SUM(AX29:AX38)</f>
        <v>385.5</v>
      </c>
      <c r="AY39" s="30">
        <f>SUM(AY29:AY38)</f>
        <v>0</v>
      </c>
      <c r="AZ39" s="30">
        <f t="shared" ref="AZ39:BB39" si="54">SUM(AZ29:AZ38)</f>
        <v>42.5</v>
      </c>
      <c r="BA39" s="30">
        <f t="shared" si="54"/>
        <v>0</v>
      </c>
      <c r="BB39" s="30">
        <f t="shared" si="54"/>
        <v>428</v>
      </c>
    </row>
    <row r="40" spans="1:54" x14ac:dyDescent="0.25">
      <c r="A40" s="31"/>
      <c r="B40" s="23"/>
      <c r="C40" s="23"/>
      <c r="D40" s="23"/>
      <c r="E40" s="23"/>
      <c r="F40" s="23"/>
      <c r="H40" s="23"/>
      <c r="I40" s="23"/>
      <c r="J40" s="23"/>
      <c r="K40" s="23"/>
      <c r="L40" s="23"/>
      <c r="N40" s="23"/>
      <c r="O40" s="23"/>
      <c r="P40" s="23"/>
      <c r="Q40" s="23"/>
      <c r="R40" s="23"/>
      <c r="T40" s="23"/>
      <c r="U40" s="23"/>
      <c r="V40" s="23"/>
      <c r="W40" s="23"/>
      <c r="X40" s="23"/>
      <c r="Z40" s="23"/>
      <c r="AA40" s="23"/>
      <c r="AB40" s="23"/>
      <c r="AC40" s="23"/>
      <c r="AD40" s="23"/>
      <c r="AF40" s="23"/>
      <c r="AG40" s="23"/>
      <c r="AH40" s="23"/>
      <c r="AI40" s="23"/>
      <c r="AJ40" s="23"/>
      <c r="AL40" s="23"/>
      <c r="AM40" s="23"/>
      <c r="AN40" s="23"/>
      <c r="AO40" s="23"/>
      <c r="AP40" s="23"/>
      <c r="AR40" s="23"/>
      <c r="AS40" s="23"/>
      <c r="AT40" s="23"/>
      <c r="AU40" s="23"/>
      <c r="AV40" s="23"/>
      <c r="AX40" s="23"/>
      <c r="AY40" s="23"/>
      <c r="AZ40" s="23"/>
      <c r="BA40" s="23"/>
      <c r="BB40" s="23"/>
    </row>
    <row r="41" spans="1:54" x14ac:dyDescent="0.25">
      <c r="A41" s="17" t="s">
        <v>40</v>
      </c>
      <c r="B41" s="32" t="str">
        <f>B1</f>
        <v>Operating</v>
      </c>
      <c r="C41" s="32" t="str">
        <f t="shared" ref="C41:F41" si="55">C1</f>
        <v>Weights</v>
      </c>
      <c r="D41" s="32" t="str">
        <f t="shared" si="55"/>
        <v>SPED</v>
      </c>
      <c r="E41" s="32" t="str">
        <f t="shared" si="55"/>
        <v>NSLP</v>
      </c>
      <c r="F41" s="32" t="str">
        <f t="shared" si="55"/>
        <v>Horizon</v>
      </c>
      <c r="H41" s="32" t="str">
        <f>H1</f>
        <v>Operating</v>
      </c>
      <c r="I41" s="32" t="str">
        <f t="shared" ref="I41:L41" si="56">I1</f>
        <v>Weights</v>
      </c>
      <c r="J41" s="32" t="str">
        <f t="shared" si="56"/>
        <v>SPED</v>
      </c>
      <c r="K41" s="32" t="str">
        <f t="shared" si="56"/>
        <v>NSLP</v>
      </c>
      <c r="L41" s="32" t="str">
        <f t="shared" si="56"/>
        <v>Cadence</v>
      </c>
      <c r="N41" s="32" t="str">
        <f>N1</f>
        <v>Operating</v>
      </c>
      <c r="O41" s="32" t="str">
        <f t="shared" ref="O41:R41" si="57">O1</f>
        <v>Weights</v>
      </c>
      <c r="P41" s="32" t="str">
        <f t="shared" si="57"/>
        <v>SPED</v>
      </c>
      <c r="Q41" s="32" t="str">
        <f t="shared" si="57"/>
        <v>NSLP</v>
      </c>
      <c r="R41" s="32" t="str">
        <f t="shared" si="57"/>
        <v>St. Rose</v>
      </c>
      <c r="T41" s="32" t="str">
        <f>T1</f>
        <v>Operating</v>
      </c>
      <c r="U41" s="32" t="str">
        <f t="shared" ref="U41:X41" si="58">U1</f>
        <v>Weights</v>
      </c>
      <c r="V41" s="32" t="str">
        <f t="shared" si="58"/>
        <v>SPED</v>
      </c>
      <c r="W41" s="32" t="str">
        <f t="shared" si="58"/>
        <v>NSLP</v>
      </c>
      <c r="X41" s="32" t="str">
        <f t="shared" si="58"/>
        <v>Inspirada</v>
      </c>
      <c r="Z41" s="32" t="str">
        <f>Z1</f>
        <v>Operating</v>
      </c>
      <c r="AA41" s="32" t="str">
        <f t="shared" ref="AA41:AD41" si="59">AA1</f>
        <v>Weights</v>
      </c>
      <c r="AB41" s="32" t="str">
        <f t="shared" si="59"/>
        <v>SPED</v>
      </c>
      <c r="AC41" s="32" t="str">
        <f t="shared" si="59"/>
        <v>NSLP</v>
      </c>
      <c r="AD41" s="32" t="str">
        <f t="shared" si="59"/>
        <v>Sloan Canyon</v>
      </c>
      <c r="AF41" s="32" t="str">
        <f>AF1</f>
        <v>Operating</v>
      </c>
      <c r="AG41" s="32" t="str">
        <f t="shared" ref="AG41:AJ41" si="60">AG1</f>
        <v>Weights</v>
      </c>
      <c r="AH41" s="32" t="str">
        <f t="shared" si="60"/>
        <v>SPED</v>
      </c>
      <c r="AI41" s="32" t="str">
        <f t="shared" si="60"/>
        <v>NSLP</v>
      </c>
      <c r="AJ41" s="32" t="str">
        <f t="shared" si="60"/>
        <v>Springs</v>
      </c>
      <c r="AL41" s="32" t="str">
        <f>AL1</f>
        <v>Operating</v>
      </c>
      <c r="AM41" s="32" t="str">
        <f t="shared" ref="AM41:AP41" si="61">AM1</f>
        <v>Weights</v>
      </c>
      <c r="AN41" s="32" t="str">
        <f t="shared" si="61"/>
        <v>SPED</v>
      </c>
      <c r="AO41" s="32" t="str">
        <f t="shared" si="61"/>
        <v>NSLP</v>
      </c>
      <c r="AP41" s="32" t="str">
        <f t="shared" si="61"/>
        <v>System Wide</v>
      </c>
      <c r="AR41" s="32" t="str">
        <f>AR1</f>
        <v>Operating</v>
      </c>
      <c r="AS41" s="32" t="str">
        <f t="shared" ref="AS41:AV41" si="62">AS1</f>
        <v>Weights</v>
      </c>
      <c r="AT41" s="32" t="str">
        <f t="shared" si="62"/>
        <v>SPED</v>
      </c>
      <c r="AU41" s="32" t="str">
        <f t="shared" si="62"/>
        <v>NSLP</v>
      </c>
      <c r="AV41" s="32" t="str">
        <f t="shared" si="62"/>
        <v>Virtual</v>
      </c>
      <c r="AX41" s="32" t="str">
        <f>AX1</f>
        <v>Operating</v>
      </c>
      <c r="AY41" s="32" t="str">
        <f t="shared" ref="AY41:BB41" si="63">AY1</f>
        <v>Weights</v>
      </c>
      <c r="AZ41" s="32" t="str">
        <f t="shared" si="63"/>
        <v>SPED</v>
      </c>
      <c r="BA41" s="32" t="str">
        <f t="shared" si="63"/>
        <v>NSLP</v>
      </c>
      <c r="BB41" s="32" t="str">
        <f t="shared" si="63"/>
        <v>Pinecrest System</v>
      </c>
    </row>
    <row r="42" spans="1:54" x14ac:dyDescent="0.25">
      <c r="A42" s="21" t="s">
        <v>41</v>
      </c>
      <c r="B42" s="23">
        <v>1</v>
      </c>
      <c r="C42" s="23">
        <v>0</v>
      </c>
      <c r="D42" s="23">
        <v>0</v>
      </c>
      <c r="E42" s="23">
        <v>0</v>
      </c>
      <c r="F42" s="23">
        <f>SUM(B42:E42)</f>
        <v>1</v>
      </c>
      <c r="H42" s="328">
        <v>1</v>
      </c>
      <c r="I42" s="328"/>
      <c r="J42" s="328"/>
      <c r="K42" s="328"/>
      <c r="L42" s="23">
        <f>SUM(H42:K42)</f>
        <v>1</v>
      </c>
      <c r="N42" s="328">
        <v>1</v>
      </c>
      <c r="O42" s="328"/>
      <c r="P42" s="328"/>
      <c r="Q42" s="328"/>
      <c r="R42" s="23">
        <f>SUM(N42:Q42)</f>
        <v>1</v>
      </c>
      <c r="T42" s="328">
        <v>1</v>
      </c>
      <c r="U42" s="328"/>
      <c r="V42" s="328"/>
      <c r="W42" s="328"/>
      <c r="X42" s="23">
        <f>SUM(T42:W42)</f>
        <v>1</v>
      </c>
      <c r="Z42" s="328">
        <v>1</v>
      </c>
      <c r="AA42" s="328"/>
      <c r="AB42" s="328"/>
      <c r="AC42" s="328"/>
      <c r="AD42" s="23">
        <f>SUM(Z42:AC42)</f>
        <v>1</v>
      </c>
      <c r="AF42" s="328">
        <v>1</v>
      </c>
      <c r="AG42" s="328"/>
      <c r="AH42" s="328"/>
      <c r="AI42" s="328"/>
      <c r="AJ42" s="23">
        <f>SUM(AF42:AI42)</f>
        <v>1</v>
      </c>
      <c r="AL42" s="23">
        <v>0</v>
      </c>
      <c r="AM42" s="23">
        <v>0</v>
      </c>
      <c r="AN42" s="23">
        <v>0</v>
      </c>
      <c r="AO42" s="23">
        <v>0</v>
      </c>
      <c r="AP42" s="23">
        <f>SUM(AL42:AO42)</f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f>SUM(AR42:AU42)</f>
        <v>0</v>
      </c>
      <c r="AX42" s="23">
        <f>B42+H42+N42+T42+Z42+AF42+AL42+AR42</f>
        <v>6</v>
      </c>
      <c r="AY42" s="23">
        <f t="shared" ref="AY42:BA57" si="64">C42+I42+O42+U42+AA42+AG42+AM42+AS42</f>
        <v>0</v>
      </c>
      <c r="AZ42" s="23">
        <f t="shared" si="64"/>
        <v>0</v>
      </c>
      <c r="BA42" s="23">
        <f t="shared" si="64"/>
        <v>0</v>
      </c>
      <c r="BB42" s="23">
        <f>SUM(AX42:BA42)</f>
        <v>6</v>
      </c>
    </row>
    <row r="43" spans="1:54" x14ac:dyDescent="0.25">
      <c r="A43" s="21" t="s">
        <v>42</v>
      </c>
      <c r="B43" s="23">
        <v>2</v>
      </c>
      <c r="C43" s="23">
        <v>1</v>
      </c>
      <c r="D43" s="23">
        <v>0</v>
      </c>
      <c r="E43" s="23">
        <v>0</v>
      </c>
      <c r="F43" s="23">
        <f t="shared" ref="F43:F61" si="65">SUM(B43:E43)</f>
        <v>3</v>
      </c>
      <c r="H43" s="328">
        <v>4</v>
      </c>
      <c r="I43" s="328"/>
      <c r="J43" s="328"/>
      <c r="K43" s="328"/>
      <c r="L43" s="23">
        <f t="shared" ref="L43:L61" si="66">SUM(H43:K43)</f>
        <v>4</v>
      </c>
      <c r="N43" s="328">
        <v>2</v>
      </c>
      <c r="O43" s="328"/>
      <c r="P43" s="328"/>
      <c r="Q43" s="328"/>
      <c r="R43" s="23">
        <f t="shared" ref="R43:R61" si="67">SUM(N43:Q43)</f>
        <v>2</v>
      </c>
      <c r="T43" s="328">
        <v>2</v>
      </c>
      <c r="U43" s="328"/>
      <c r="V43" s="328"/>
      <c r="W43" s="328"/>
      <c r="X43" s="23">
        <f t="shared" ref="X43:X61" si="68">SUM(T43:W43)</f>
        <v>2</v>
      </c>
      <c r="Z43" s="328">
        <v>3</v>
      </c>
      <c r="AA43" s="328"/>
      <c r="AB43" s="328">
        <v>1</v>
      </c>
      <c r="AC43" s="328"/>
      <c r="AD43" s="23">
        <f t="shared" ref="AD43:AD61" si="69">SUM(Z43:AC43)</f>
        <v>4</v>
      </c>
      <c r="AF43" s="328">
        <v>3</v>
      </c>
      <c r="AG43" s="328"/>
      <c r="AH43" s="328">
        <v>0</v>
      </c>
      <c r="AI43" s="328"/>
      <c r="AJ43" s="23">
        <f t="shared" ref="AJ43:AJ61" si="70">SUM(AF43:AI43)</f>
        <v>3</v>
      </c>
      <c r="AL43" s="23">
        <v>0</v>
      </c>
      <c r="AM43" s="23">
        <v>0</v>
      </c>
      <c r="AN43" s="23">
        <v>0</v>
      </c>
      <c r="AO43" s="23">
        <v>0</v>
      </c>
      <c r="AP43" s="23">
        <f t="shared" ref="AP43:AP61" si="71">SUM(AL43:AO43)</f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f t="shared" ref="AV43:AV61" si="72">SUM(AR43:AU43)</f>
        <v>0</v>
      </c>
      <c r="AX43" s="23">
        <f t="shared" ref="AX43:BA61" si="73">B43+H43+N43+T43+Z43+AF43+AL43+AR43</f>
        <v>16</v>
      </c>
      <c r="AY43" s="23">
        <f t="shared" si="64"/>
        <v>1</v>
      </c>
      <c r="AZ43" s="23">
        <f t="shared" si="64"/>
        <v>1</v>
      </c>
      <c r="BA43" s="23">
        <f t="shared" si="64"/>
        <v>0</v>
      </c>
      <c r="BB43" s="23">
        <f t="shared" ref="BB43:BB61" si="74">SUM(AX43:BA43)</f>
        <v>18</v>
      </c>
    </row>
    <row r="44" spans="1:54" x14ac:dyDescent="0.25">
      <c r="A44" s="34" t="s">
        <v>43</v>
      </c>
      <c r="B44" s="23">
        <v>0</v>
      </c>
      <c r="C44" s="23">
        <v>0</v>
      </c>
      <c r="D44" s="23">
        <v>0</v>
      </c>
      <c r="E44" s="23">
        <v>0</v>
      </c>
      <c r="F44" s="23">
        <f t="shared" si="65"/>
        <v>0</v>
      </c>
      <c r="H44" s="328">
        <v>0</v>
      </c>
      <c r="I44" s="328"/>
      <c r="J44" s="328"/>
      <c r="K44" s="328"/>
      <c r="L44" s="23">
        <f t="shared" si="66"/>
        <v>0</v>
      </c>
      <c r="N44" s="328">
        <v>0</v>
      </c>
      <c r="O44" s="328"/>
      <c r="P44" s="328"/>
      <c r="Q44" s="328"/>
      <c r="R44" s="23">
        <f t="shared" si="67"/>
        <v>0</v>
      </c>
      <c r="T44" s="328">
        <v>0</v>
      </c>
      <c r="U44" s="328"/>
      <c r="V44" s="328"/>
      <c r="W44" s="328"/>
      <c r="X44" s="23">
        <f t="shared" si="68"/>
        <v>0</v>
      </c>
      <c r="Z44" s="328">
        <v>0</v>
      </c>
      <c r="AA44" s="328"/>
      <c r="AB44" s="328"/>
      <c r="AC44" s="328"/>
      <c r="AD44" s="23">
        <f t="shared" si="69"/>
        <v>0</v>
      </c>
      <c r="AF44" s="328">
        <v>0</v>
      </c>
      <c r="AG44" s="328">
        <v>2</v>
      </c>
      <c r="AH44" s="328"/>
      <c r="AI44" s="328"/>
      <c r="AJ44" s="23">
        <f t="shared" si="70"/>
        <v>2</v>
      </c>
      <c r="AL44" s="23">
        <v>0</v>
      </c>
      <c r="AM44" s="23">
        <v>0</v>
      </c>
      <c r="AN44" s="23">
        <v>0</v>
      </c>
      <c r="AO44" s="23">
        <v>0</v>
      </c>
      <c r="AP44" s="23">
        <f t="shared" si="71"/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f t="shared" si="72"/>
        <v>0</v>
      </c>
      <c r="AX44" s="23">
        <f t="shared" si="73"/>
        <v>0</v>
      </c>
      <c r="AY44" s="23">
        <f t="shared" si="64"/>
        <v>2</v>
      </c>
      <c r="AZ44" s="23">
        <f t="shared" si="64"/>
        <v>0</v>
      </c>
      <c r="BA44" s="23">
        <f t="shared" si="64"/>
        <v>0</v>
      </c>
      <c r="BB44" s="23">
        <f t="shared" si="74"/>
        <v>2</v>
      </c>
    </row>
    <row r="45" spans="1:54" x14ac:dyDescent="0.25">
      <c r="A45" s="33" t="s">
        <v>44</v>
      </c>
      <c r="B45" s="23">
        <v>1</v>
      </c>
      <c r="C45" s="23">
        <v>0</v>
      </c>
      <c r="D45" s="23">
        <v>0</v>
      </c>
      <c r="E45" s="23">
        <v>0</v>
      </c>
      <c r="F45" s="23">
        <f t="shared" si="65"/>
        <v>1</v>
      </c>
      <c r="H45" s="328">
        <v>5</v>
      </c>
      <c r="I45" s="328"/>
      <c r="J45" s="328"/>
      <c r="K45" s="328"/>
      <c r="L45" s="23">
        <f t="shared" si="66"/>
        <v>5</v>
      </c>
      <c r="N45" s="328">
        <v>1</v>
      </c>
      <c r="O45" s="328"/>
      <c r="P45" s="328"/>
      <c r="Q45" s="328"/>
      <c r="R45" s="23">
        <f t="shared" si="67"/>
        <v>1</v>
      </c>
      <c r="T45" s="328">
        <v>1</v>
      </c>
      <c r="U45" s="328"/>
      <c r="V45" s="328"/>
      <c r="W45" s="328"/>
      <c r="X45" s="23">
        <f t="shared" si="68"/>
        <v>1</v>
      </c>
      <c r="Z45" s="328">
        <v>2</v>
      </c>
      <c r="AA45" s="328"/>
      <c r="AB45" s="328"/>
      <c r="AC45" s="328"/>
      <c r="AD45" s="23">
        <f t="shared" si="69"/>
        <v>2</v>
      </c>
      <c r="AF45" s="328">
        <v>0</v>
      </c>
      <c r="AG45" s="328">
        <v>1</v>
      </c>
      <c r="AH45" s="328"/>
      <c r="AI45" s="328"/>
      <c r="AJ45" s="23">
        <f t="shared" si="70"/>
        <v>1</v>
      </c>
      <c r="AL45" s="23">
        <v>0</v>
      </c>
      <c r="AM45" s="23">
        <v>0</v>
      </c>
      <c r="AN45" s="23">
        <v>0</v>
      </c>
      <c r="AO45" s="23">
        <v>0</v>
      </c>
      <c r="AP45" s="23">
        <f t="shared" si="71"/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f t="shared" si="72"/>
        <v>0</v>
      </c>
      <c r="AX45" s="23">
        <f t="shared" si="73"/>
        <v>10</v>
      </c>
      <c r="AY45" s="23">
        <f t="shared" si="64"/>
        <v>1</v>
      </c>
      <c r="AZ45" s="23">
        <f t="shared" si="64"/>
        <v>0</v>
      </c>
      <c r="BA45" s="23">
        <f t="shared" si="64"/>
        <v>0</v>
      </c>
      <c r="BB45" s="23">
        <f t="shared" si="74"/>
        <v>11</v>
      </c>
    </row>
    <row r="46" spans="1:54" x14ac:dyDescent="0.25">
      <c r="A46" s="33" t="s">
        <v>45</v>
      </c>
      <c r="B46" s="23">
        <v>0</v>
      </c>
      <c r="C46" s="23">
        <v>0</v>
      </c>
      <c r="D46" s="23">
        <v>0</v>
      </c>
      <c r="E46" s="23">
        <v>0</v>
      </c>
      <c r="F46" s="23">
        <f t="shared" si="65"/>
        <v>0</v>
      </c>
      <c r="H46" s="328">
        <v>1</v>
      </c>
      <c r="I46" s="328">
        <v>1</v>
      </c>
      <c r="J46" s="328"/>
      <c r="K46" s="328"/>
      <c r="L46" s="23">
        <f t="shared" si="66"/>
        <v>2</v>
      </c>
      <c r="N46" s="328">
        <v>1</v>
      </c>
      <c r="O46" s="328"/>
      <c r="P46" s="328"/>
      <c r="Q46" s="328"/>
      <c r="R46" s="23">
        <f t="shared" si="67"/>
        <v>1</v>
      </c>
      <c r="T46" s="328">
        <v>2</v>
      </c>
      <c r="U46" s="328"/>
      <c r="V46" s="328"/>
      <c r="W46" s="328"/>
      <c r="X46" s="23">
        <f t="shared" si="68"/>
        <v>2</v>
      </c>
      <c r="Z46" s="328">
        <v>2</v>
      </c>
      <c r="AA46" s="328"/>
      <c r="AB46" s="328"/>
      <c r="AC46" s="328"/>
      <c r="AD46" s="23">
        <f t="shared" si="69"/>
        <v>2</v>
      </c>
      <c r="AF46" s="328">
        <v>0</v>
      </c>
      <c r="AG46" s="328">
        <v>1</v>
      </c>
      <c r="AH46" s="328"/>
      <c r="AI46" s="328"/>
      <c r="AJ46" s="23">
        <f t="shared" si="70"/>
        <v>1</v>
      </c>
      <c r="AL46" s="23">
        <v>1</v>
      </c>
      <c r="AM46" s="23">
        <v>0</v>
      </c>
      <c r="AN46" s="23">
        <v>0</v>
      </c>
      <c r="AO46" s="23">
        <v>0</v>
      </c>
      <c r="AP46" s="23">
        <f t="shared" si="71"/>
        <v>1</v>
      </c>
      <c r="AR46" s="23">
        <v>0</v>
      </c>
      <c r="AS46" s="23">
        <v>0</v>
      </c>
      <c r="AT46" s="23">
        <v>0</v>
      </c>
      <c r="AU46" s="23">
        <v>0</v>
      </c>
      <c r="AV46" s="23">
        <f t="shared" si="72"/>
        <v>0</v>
      </c>
      <c r="AX46" s="23">
        <f t="shared" si="73"/>
        <v>7</v>
      </c>
      <c r="AY46" s="23">
        <f t="shared" si="64"/>
        <v>2</v>
      </c>
      <c r="AZ46" s="23">
        <f t="shared" si="64"/>
        <v>0</v>
      </c>
      <c r="BA46" s="23">
        <f t="shared" si="64"/>
        <v>0</v>
      </c>
      <c r="BB46" s="23">
        <f t="shared" si="74"/>
        <v>9</v>
      </c>
    </row>
    <row r="47" spans="1:54" x14ac:dyDescent="0.25">
      <c r="A47" s="21" t="s">
        <v>200</v>
      </c>
      <c r="B47" s="23">
        <v>1</v>
      </c>
      <c r="C47" s="23">
        <v>0</v>
      </c>
      <c r="D47" s="23">
        <v>0</v>
      </c>
      <c r="E47" s="23">
        <v>0</v>
      </c>
      <c r="F47" s="23">
        <f t="shared" si="65"/>
        <v>1</v>
      </c>
      <c r="H47" s="328">
        <v>2</v>
      </c>
      <c r="I47" s="328"/>
      <c r="J47" s="328"/>
      <c r="K47" s="328"/>
      <c r="L47" s="23">
        <f t="shared" si="66"/>
        <v>2</v>
      </c>
      <c r="N47" s="328">
        <v>1</v>
      </c>
      <c r="O47" s="328"/>
      <c r="P47" s="328"/>
      <c r="Q47" s="328"/>
      <c r="R47" s="23">
        <f t="shared" si="67"/>
        <v>1</v>
      </c>
      <c r="T47" s="328">
        <v>1</v>
      </c>
      <c r="U47" s="328"/>
      <c r="V47" s="328"/>
      <c r="W47" s="328"/>
      <c r="X47" s="23">
        <f t="shared" si="68"/>
        <v>1</v>
      </c>
      <c r="Z47" s="328">
        <v>2</v>
      </c>
      <c r="AA47" s="328"/>
      <c r="AB47" s="328"/>
      <c r="AC47" s="328"/>
      <c r="AD47" s="23">
        <f t="shared" si="69"/>
        <v>2</v>
      </c>
      <c r="AF47" s="328">
        <v>1</v>
      </c>
      <c r="AG47" s="328"/>
      <c r="AH47" s="328"/>
      <c r="AI47" s="328"/>
      <c r="AJ47" s="23">
        <f t="shared" si="70"/>
        <v>1</v>
      </c>
      <c r="AL47" s="23">
        <v>1</v>
      </c>
      <c r="AM47" s="23">
        <v>0</v>
      </c>
      <c r="AN47" s="23">
        <v>0</v>
      </c>
      <c r="AO47" s="23">
        <v>0</v>
      </c>
      <c r="AP47" s="23">
        <f t="shared" si="71"/>
        <v>1</v>
      </c>
      <c r="AR47" s="23">
        <v>0</v>
      </c>
      <c r="AS47" s="23">
        <v>0</v>
      </c>
      <c r="AT47" s="23">
        <v>0</v>
      </c>
      <c r="AU47" s="23">
        <v>0</v>
      </c>
      <c r="AV47" s="23">
        <f t="shared" si="72"/>
        <v>0</v>
      </c>
      <c r="AX47" s="23">
        <f t="shared" si="73"/>
        <v>9</v>
      </c>
      <c r="AY47" s="23">
        <f t="shared" si="64"/>
        <v>0</v>
      </c>
      <c r="AZ47" s="23">
        <f t="shared" si="64"/>
        <v>0</v>
      </c>
      <c r="BA47" s="23">
        <f t="shared" si="64"/>
        <v>0</v>
      </c>
      <c r="BB47" s="23">
        <f t="shared" si="74"/>
        <v>9</v>
      </c>
    </row>
    <row r="48" spans="1:54" x14ac:dyDescent="0.25">
      <c r="A48" s="21" t="s">
        <v>47</v>
      </c>
      <c r="B48" s="23">
        <v>1</v>
      </c>
      <c r="C48" s="23">
        <v>0</v>
      </c>
      <c r="D48" s="23">
        <v>0</v>
      </c>
      <c r="E48" s="23">
        <v>0</v>
      </c>
      <c r="F48" s="23">
        <f t="shared" si="65"/>
        <v>1</v>
      </c>
      <c r="H48" s="328">
        <v>2</v>
      </c>
      <c r="I48" s="328"/>
      <c r="J48" s="328"/>
      <c r="K48" s="328"/>
      <c r="L48" s="23">
        <f t="shared" si="66"/>
        <v>2</v>
      </c>
      <c r="N48" s="328">
        <v>1</v>
      </c>
      <c r="O48" s="328"/>
      <c r="P48" s="328"/>
      <c r="Q48" s="328"/>
      <c r="R48" s="23">
        <f t="shared" si="67"/>
        <v>1</v>
      </c>
      <c r="T48" s="328">
        <v>1</v>
      </c>
      <c r="U48" s="328"/>
      <c r="V48" s="328"/>
      <c r="W48" s="328"/>
      <c r="X48" s="23">
        <f t="shared" si="68"/>
        <v>1</v>
      </c>
      <c r="Z48" s="328">
        <v>1.5</v>
      </c>
      <c r="AA48" s="328"/>
      <c r="AB48" s="328"/>
      <c r="AC48" s="328"/>
      <c r="AD48" s="23">
        <f t="shared" si="69"/>
        <v>1.5</v>
      </c>
      <c r="AF48" s="328">
        <v>1</v>
      </c>
      <c r="AG48" s="328"/>
      <c r="AH48" s="328"/>
      <c r="AI48" s="328"/>
      <c r="AJ48" s="23">
        <f t="shared" si="70"/>
        <v>1</v>
      </c>
      <c r="AL48" s="23">
        <v>0</v>
      </c>
      <c r="AM48" s="23">
        <v>0</v>
      </c>
      <c r="AN48" s="23">
        <v>0</v>
      </c>
      <c r="AO48" s="23">
        <v>0</v>
      </c>
      <c r="AP48" s="23">
        <f t="shared" si="71"/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f t="shared" si="72"/>
        <v>0</v>
      </c>
      <c r="AX48" s="23">
        <f t="shared" si="73"/>
        <v>7.5</v>
      </c>
      <c r="AY48" s="23">
        <f t="shared" si="64"/>
        <v>0</v>
      </c>
      <c r="AZ48" s="23">
        <f t="shared" si="64"/>
        <v>0</v>
      </c>
      <c r="BA48" s="23">
        <f t="shared" si="64"/>
        <v>0</v>
      </c>
      <c r="BB48" s="23">
        <f t="shared" si="74"/>
        <v>7.5</v>
      </c>
    </row>
    <row r="49" spans="1:54" x14ac:dyDescent="0.25">
      <c r="A49" s="21" t="s">
        <v>48</v>
      </c>
      <c r="B49" s="23">
        <v>1</v>
      </c>
      <c r="C49" s="23">
        <v>0</v>
      </c>
      <c r="D49" s="23">
        <v>0</v>
      </c>
      <c r="E49" s="23">
        <v>0</v>
      </c>
      <c r="F49" s="23">
        <f t="shared" si="65"/>
        <v>1</v>
      </c>
      <c r="H49" s="328">
        <v>2</v>
      </c>
      <c r="I49" s="328"/>
      <c r="J49" s="328"/>
      <c r="K49" s="328"/>
      <c r="L49" s="23">
        <f t="shared" si="66"/>
        <v>2</v>
      </c>
      <c r="N49" s="328">
        <v>1</v>
      </c>
      <c r="O49" s="328"/>
      <c r="P49" s="328"/>
      <c r="Q49" s="328"/>
      <c r="R49" s="23">
        <f t="shared" si="67"/>
        <v>1</v>
      </c>
      <c r="T49" s="328">
        <v>1</v>
      </c>
      <c r="U49" s="328"/>
      <c r="V49" s="328"/>
      <c r="W49" s="328"/>
      <c r="X49" s="23">
        <f t="shared" si="68"/>
        <v>1</v>
      </c>
      <c r="Z49" s="328">
        <v>2</v>
      </c>
      <c r="AA49" s="328"/>
      <c r="AB49" s="328"/>
      <c r="AC49" s="328"/>
      <c r="AD49" s="23">
        <f t="shared" si="69"/>
        <v>2</v>
      </c>
      <c r="AF49" s="328">
        <v>1</v>
      </c>
      <c r="AG49" s="328"/>
      <c r="AH49" s="328"/>
      <c r="AI49" s="328"/>
      <c r="AJ49" s="23">
        <f t="shared" si="70"/>
        <v>1</v>
      </c>
      <c r="AL49" s="23">
        <v>0</v>
      </c>
      <c r="AM49" s="23">
        <v>0</v>
      </c>
      <c r="AN49" s="23">
        <v>0</v>
      </c>
      <c r="AO49" s="23">
        <v>0</v>
      </c>
      <c r="AP49" s="23">
        <f t="shared" si="71"/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f t="shared" si="72"/>
        <v>0</v>
      </c>
      <c r="AX49" s="23">
        <f t="shared" si="73"/>
        <v>8</v>
      </c>
      <c r="AY49" s="23">
        <f t="shared" si="64"/>
        <v>0</v>
      </c>
      <c r="AZ49" s="23">
        <f t="shared" si="64"/>
        <v>0</v>
      </c>
      <c r="BA49" s="23">
        <f t="shared" si="64"/>
        <v>0</v>
      </c>
      <c r="BB49" s="23">
        <f t="shared" si="74"/>
        <v>8</v>
      </c>
    </row>
    <row r="50" spans="1:54" x14ac:dyDescent="0.25">
      <c r="A50" s="21" t="s">
        <v>49</v>
      </c>
      <c r="B50" s="23">
        <v>1</v>
      </c>
      <c r="C50" s="23">
        <v>0</v>
      </c>
      <c r="D50" s="23">
        <v>0</v>
      </c>
      <c r="E50" s="23">
        <v>0</v>
      </c>
      <c r="F50" s="23">
        <f t="shared" si="65"/>
        <v>1</v>
      </c>
      <c r="H50" s="328">
        <v>2</v>
      </c>
      <c r="I50" s="328"/>
      <c r="J50" s="328"/>
      <c r="K50" s="328"/>
      <c r="L50" s="23">
        <f t="shared" si="66"/>
        <v>2</v>
      </c>
      <c r="N50" s="328">
        <v>1</v>
      </c>
      <c r="O50" s="328"/>
      <c r="P50" s="328"/>
      <c r="Q50" s="328"/>
      <c r="R50" s="23">
        <f t="shared" si="67"/>
        <v>1</v>
      </c>
      <c r="T50" s="328">
        <v>1</v>
      </c>
      <c r="U50" s="328"/>
      <c r="V50" s="328"/>
      <c r="W50" s="328"/>
      <c r="X50" s="23">
        <f t="shared" si="68"/>
        <v>1</v>
      </c>
      <c r="Z50" s="328">
        <v>2</v>
      </c>
      <c r="AA50" s="328"/>
      <c r="AB50" s="328"/>
      <c r="AC50" s="328"/>
      <c r="AD50" s="23">
        <f t="shared" si="69"/>
        <v>2</v>
      </c>
      <c r="AF50" s="328">
        <v>1</v>
      </c>
      <c r="AG50" s="328"/>
      <c r="AH50" s="328"/>
      <c r="AI50" s="328"/>
      <c r="AJ50" s="23">
        <f t="shared" si="70"/>
        <v>1</v>
      </c>
      <c r="AL50" s="23">
        <v>0</v>
      </c>
      <c r="AM50" s="23">
        <v>0</v>
      </c>
      <c r="AN50" s="23">
        <v>0</v>
      </c>
      <c r="AO50" s="23">
        <v>0</v>
      </c>
      <c r="AP50" s="23">
        <f t="shared" si="71"/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f t="shared" si="72"/>
        <v>0</v>
      </c>
      <c r="AX50" s="23">
        <f t="shared" si="73"/>
        <v>8</v>
      </c>
      <c r="AY50" s="23">
        <f t="shared" si="64"/>
        <v>0</v>
      </c>
      <c r="AZ50" s="23">
        <f t="shared" si="64"/>
        <v>0</v>
      </c>
      <c r="BA50" s="23">
        <f t="shared" si="64"/>
        <v>0</v>
      </c>
      <c r="BB50" s="23">
        <f t="shared" si="74"/>
        <v>8</v>
      </c>
    </row>
    <row r="51" spans="1:54" x14ac:dyDescent="0.25">
      <c r="A51" s="21" t="s">
        <v>50</v>
      </c>
      <c r="B51" s="23">
        <v>0</v>
      </c>
      <c r="C51" s="23">
        <v>1.5</v>
      </c>
      <c r="D51" s="23">
        <v>4</v>
      </c>
      <c r="E51" s="23">
        <v>0</v>
      </c>
      <c r="F51" s="23">
        <f t="shared" si="65"/>
        <v>5.5</v>
      </c>
      <c r="H51" s="328">
        <v>0</v>
      </c>
      <c r="I51" s="328">
        <v>10</v>
      </c>
      <c r="J51" s="328">
        <v>13</v>
      </c>
      <c r="K51" s="328">
        <v>0</v>
      </c>
      <c r="L51" s="23">
        <f t="shared" si="66"/>
        <v>23</v>
      </c>
      <c r="N51" s="328">
        <v>0</v>
      </c>
      <c r="O51" s="328">
        <v>4.5</v>
      </c>
      <c r="P51" s="328">
        <v>4</v>
      </c>
      <c r="Q51" s="328">
        <v>0</v>
      </c>
      <c r="R51" s="23">
        <f t="shared" si="67"/>
        <v>8.5</v>
      </c>
      <c r="T51" s="328">
        <v>1.5</v>
      </c>
      <c r="U51" s="328">
        <v>2</v>
      </c>
      <c r="V51" s="328">
        <v>5</v>
      </c>
      <c r="W51" s="328">
        <v>0</v>
      </c>
      <c r="X51" s="23">
        <f t="shared" si="68"/>
        <v>8.5</v>
      </c>
      <c r="Z51" s="328">
        <v>0</v>
      </c>
      <c r="AA51" s="328">
        <v>4</v>
      </c>
      <c r="AB51" s="328">
        <v>10</v>
      </c>
      <c r="AC51" s="328">
        <v>0</v>
      </c>
      <c r="AD51" s="23">
        <f t="shared" si="69"/>
        <v>14</v>
      </c>
      <c r="AF51" s="328">
        <v>0</v>
      </c>
      <c r="AG51" s="359">
        <v>0</v>
      </c>
      <c r="AH51" s="359">
        <v>5</v>
      </c>
      <c r="AI51" s="359">
        <v>0</v>
      </c>
      <c r="AJ51" s="23">
        <f t="shared" si="70"/>
        <v>5</v>
      </c>
      <c r="AL51" s="23">
        <v>1</v>
      </c>
      <c r="AM51" s="23">
        <v>0</v>
      </c>
      <c r="AN51" s="23">
        <v>0</v>
      </c>
      <c r="AO51" s="23">
        <v>0</v>
      </c>
      <c r="AP51" s="23">
        <f t="shared" si="71"/>
        <v>1</v>
      </c>
      <c r="AR51" s="23">
        <v>0</v>
      </c>
      <c r="AS51" s="23">
        <v>0</v>
      </c>
      <c r="AT51" s="23">
        <v>1</v>
      </c>
      <c r="AU51" s="23">
        <v>0</v>
      </c>
      <c r="AV51" s="23">
        <f t="shared" si="72"/>
        <v>1</v>
      </c>
      <c r="AX51" s="23">
        <f t="shared" si="73"/>
        <v>2.5</v>
      </c>
      <c r="AY51" s="23">
        <f t="shared" si="64"/>
        <v>22</v>
      </c>
      <c r="AZ51" s="23">
        <f t="shared" si="64"/>
        <v>42</v>
      </c>
      <c r="BA51" s="23">
        <f t="shared" si="64"/>
        <v>0</v>
      </c>
      <c r="BB51" s="23">
        <f t="shared" si="74"/>
        <v>66.5</v>
      </c>
    </row>
    <row r="52" spans="1:54" x14ac:dyDescent="0.25">
      <c r="A52" s="21" t="s">
        <v>51</v>
      </c>
      <c r="B52" s="23">
        <v>1</v>
      </c>
      <c r="C52" s="23">
        <v>0</v>
      </c>
      <c r="D52" s="23">
        <v>0</v>
      </c>
      <c r="E52" s="23">
        <v>0</v>
      </c>
      <c r="F52" s="23">
        <f t="shared" si="65"/>
        <v>1</v>
      </c>
      <c r="H52" s="328">
        <v>5</v>
      </c>
      <c r="I52" s="328"/>
      <c r="J52" s="328"/>
      <c r="K52" s="328"/>
      <c r="L52" s="23">
        <f t="shared" si="66"/>
        <v>5</v>
      </c>
      <c r="N52" s="328">
        <v>2</v>
      </c>
      <c r="O52" s="328"/>
      <c r="P52" s="328"/>
      <c r="Q52" s="328"/>
      <c r="R52" s="23">
        <f t="shared" si="67"/>
        <v>2</v>
      </c>
      <c r="T52" s="328">
        <v>2</v>
      </c>
      <c r="U52" s="328"/>
      <c r="V52" s="328"/>
      <c r="W52" s="328"/>
      <c r="X52" s="23">
        <f t="shared" si="68"/>
        <v>2</v>
      </c>
      <c r="Z52" s="328">
        <v>4</v>
      </c>
      <c r="AA52" s="328"/>
      <c r="AB52" s="328"/>
      <c r="AC52" s="328"/>
      <c r="AD52" s="23">
        <f t="shared" si="69"/>
        <v>4</v>
      </c>
      <c r="AF52" s="359">
        <v>2</v>
      </c>
      <c r="AG52" s="328"/>
      <c r="AH52" s="328"/>
      <c r="AI52" s="328"/>
      <c r="AJ52" s="23">
        <f t="shared" si="70"/>
        <v>2</v>
      </c>
      <c r="AL52" s="23">
        <v>0</v>
      </c>
      <c r="AM52" s="23">
        <v>0</v>
      </c>
      <c r="AN52" s="23">
        <v>0</v>
      </c>
      <c r="AO52" s="23">
        <v>0</v>
      </c>
      <c r="AP52" s="23">
        <f t="shared" si="71"/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f t="shared" si="72"/>
        <v>0</v>
      </c>
      <c r="AX52" s="23">
        <f t="shared" si="73"/>
        <v>16</v>
      </c>
      <c r="AY52" s="23">
        <f t="shared" si="64"/>
        <v>0</v>
      </c>
      <c r="AZ52" s="23">
        <f t="shared" si="64"/>
        <v>0</v>
      </c>
      <c r="BA52" s="23">
        <f t="shared" si="64"/>
        <v>0</v>
      </c>
      <c r="BB52" s="23">
        <f t="shared" si="74"/>
        <v>16</v>
      </c>
    </row>
    <row r="53" spans="1:54" x14ac:dyDescent="0.25">
      <c r="A53" s="21" t="s">
        <v>52</v>
      </c>
      <c r="B53" s="23">
        <v>0</v>
      </c>
      <c r="C53" s="23">
        <v>0</v>
      </c>
      <c r="D53" s="23">
        <v>0</v>
      </c>
      <c r="E53" s="23">
        <v>1</v>
      </c>
      <c r="F53" s="23">
        <f t="shared" si="65"/>
        <v>1</v>
      </c>
      <c r="H53" s="328">
        <v>0</v>
      </c>
      <c r="I53" s="328"/>
      <c r="J53" s="328"/>
      <c r="K53" s="328">
        <v>3</v>
      </c>
      <c r="L53" s="23">
        <f t="shared" si="66"/>
        <v>3</v>
      </c>
      <c r="N53" s="328"/>
      <c r="O53" s="328"/>
      <c r="P53" s="328"/>
      <c r="Q53" s="328">
        <v>1</v>
      </c>
      <c r="R53" s="23">
        <f t="shared" si="67"/>
        <v>1</v>
      </c>
      <c r="T53" s="328"/>
      <c r="U53" s="328"/>
      <c r="V53" s="328"/>
      <c r="W53" s="328">
        <v>1</v>
      </c>
      <c r="X53" s="23">
        <f t="shared" si="68"/>
        <v>1</v>
      </c>
      <c r="Z53" s="328"/>
      <c r="AA53" s="328"/>
      <c r="AB53" s="328"/>
      <c r="AC53" s="328">
        <v>2</v>
      </c>
      <c r="AD53" s="23">
        <f t="shared" si="69"/>
        <v>2</v>
      </c>
      <c r="AF53" s="328"/>
      <c r="AG53" s="328"/>
      <c r="AH53" s="328"/>
      <c r="AI53" s="328">
        <v>1</v>
      </c>
      <c r="AJ53" s="23">
        <f t="shared" si="70"/>
        <v>1</v>
      </c>
      <c r="AL53" s="23">
        <v>0</v>
      </c>
      <c r="AM53" s="23">
        <v>0</v>
      </c>
      <c r="AN53" s="23">
        <v>0</v>
      </c>
      <c r="AO53" s="23">
        <v>0</v>
      </c>
      <c r="AP53" s="23">
        <f t="shared" si="71"/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f t="shared" si="72"/>
        <v>0</v>
      </c>
      <c r="AX53" s="23">
        <f t="shared" si="73"/>
        <v>0</v>
      </c>
      <c r="AY53" s="23">
        <f t="shared" si="64"/>
        <v>0</v>
      </c>
      <c r="AZ53" s="23">
        <f t="shared" si="64"/>
        <v>0</v>
      </c>
      <c r="BA53" s="23">
        <f t="shared" si="64"/>
        <v>9</v>
      </c>
      <c r="BB53" s="23">
        <f t="shared" si="74"/>
        <v>9</v>
      </c>
    </row>
    <row r="54" spans="1:54" x14ac:dyDescent="0.25">
      <c r="A54" s="21" t="s">
        <v>244</v>
      </c>
      <c r="B54" s="23">
        <v>0</v>
      </c>
      <c r="C54" s="23">
        <v>0</v>
      </c>
      <c r="D54" s="23">
        <v>0</v>
      </c>
      <c r="E54" s="23">
        <v>0</v>
      </c>
      <c r="F54" s="23">
        <f t="shared" si="65"/>
        <v>0</v>
      </c>
      <c r="H54" s="328">
        <v>0</v>
      </c>
      <c r="I54" s="328">
        <v>0</v>
      </c>
      <c r="J54" s="328"/>
      <c r="K54" s="328"/>
      <c r="L54" s="23">
        <f t="shared" si="66"/>
        <v>0</v>
      </c>
      <c r="N54" s="328">
        <v>0</v>
      </c>
      <c r="O54" s="328">
        <v>0</v>
      </c>
      <c r="P54" s="328"/>
      <c r="Q54" s="328"/>
      <c r="R54" s="23">
        <f t="shared" si="67"/>
        <v>0</v>
      </c>
      <c r="T54" s="328">
        <v>0</v>
      </c>
      <c r="U54" s="328">
        <v>0</v>
      </c>
      <c r="V54" s="328"/>
      <c r="W54" s="328"/>
      <c r="X54" s="23">
        <f t="shared" si="68"/>
        <v>0</v>
      </c>
      <c r="Z54" s="328">
        <v>0</v>
      </c>
      <c r="AA54" s="328">
        <v>0</v>
      </c>
      <c r="AB54" s="328"/>
      <c r="AC54" s="328"/>
      <c r="AD54" s="23">
        <f t="shared" si="69"/>
        <v>0</v>
      </c>
      <c r="AF54" s="328">
        <v>0</v>
      </c>
      <c r="AG54" s="328">
        <v>0</v>
      </c>
      <c r="AH54" s="328"/>
      <c r="AI54" s="328"/>
      <c r="AJ54" s="23">
        <f t="shared" si="70"/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f t="shared" si="71"/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f t="shared" si="72"/>
        <v>0</v>
      </c>
      <c r="AX54" s="23">
        <f t="shared" si="73"/>
        <v>0</v>
      </c>
      <c r="AY54" s="23">
        <f t="shared" si="64"/>
        <v>0</v>
      </c>
      <c r="AZ54" s="23">
        <f t="shared" si="64"/>
        <v>0</v>
      </c>
      <c r="BA54" s="23">
        <f t="shared" si="64"/>
        <v>0</v>
      </c>
      <c r="BB54" s="23">
        <f t="shared" si="74"/>
        <v>0</v>
      </c>
    </row>
    <row r="55" spans="1:54" x14ac:dyDescent="0.25">
      <c r="A55" s="34" t="s">
        <v>54</v>
      </c>
      <c r="B55" s="23">
        <v>0</v>
      </c>
      <c r="C55" s="23">
        <v>0</v>
      </c>
      <c r="D55" s="23">
        <v>1</v>
      </c>
      <c r="E55" s="23">
        <v>0</v>
      </c>
      <c r="F55" s="23">
        <f t="shared" si="65"/>
        <v>1</v>
      </c>
      <c r="H55" s="328">
        <v>0</v>
      </c>
      <c r="I55" s="328"/>
      <c r="J55" s="328">
        <v>1</v>
      </c>
      <c r="K55" s="328"/>
      <c r="L55" s="23">
        <f t="shared" si="66"/>
        <v>1</v>
      </c>
      <c r="N55" s="328">
        <v>0</v>
      </c>
      <c r="O55" s="328"/>
      <c r="P55" s="328">
        <v>0.33</v>
      </c>
      <c r="Q55" s="328"/>
      <c r="R55" s="23">
        <f t="shared" si="67"/>
        <v>0.33</v>
      </c>
      <c r="T55" s="328">
        <v>0</v>
      </c>
      <c r="U55" s="328"/>
      <c r="V55" s="328">
        <v>1</v>
      </c>
      <c r="W55" s="328"/>
      <c r="X55" s="23">
        <f t="shared" si="68"/>
        <v>1</v>
      </c>
      <c r="Z55" s="328">
        <v>0</v>
      </c>
      <c r="AA55" s="328"/>
      <c r="AB55" s="328">
        <v>0</v>
      </c>
      <c r="AC55" s="328"/>
      <c r="AD55" s="23">
        <f t="shared" si="69"/>
        <v>0</v>
      </c>
      <c r="AF55" s="328">
        <v>0</v>
      </c>
      <c r="AG55" s="328"/>
      <c r="AH55" s="328">
        <v>0</v>
      </c>
      <c r="AI55" s="328">
        <v>0</v>
      </c>
      <c r="AJ55" s="23">
        <f t="shared" si="70"/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f t="shared" si="71"/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f t="shared" si="72"/>
        <v>0</v>
      </c>
      <c r="AX55" s="23">
        <f t="shared" si="73"/>
        <v>0</v>
      </c>
      <c r="AY55" s="23">
        <f t="shared" si="64"/>
        <v>0</v>
      </c>
      <c r="AZ55" s="23">
        <f t="shared" si="64"/>
        <v>3.33</v>
      </c>
      <c r="BA55" s="23">
        <f t="shared" si="64"/>
        <v>0</v>
      </c>
      <c r="BB55" s="23">
        <f t="shared" si="74"/>
        <v>3.33</v>
      </c>
    </row>
    <row r="56" spans="1:54" x14ac:dyDescent="0.25">
      <c r="A56" s="34" t="s">
        <v>55</v>
      </c>
      <c r="B56" s="23">
        <v>0</v>
      </c>
      <c r="C56" s="23">
        <v>0</v>
      </c>
      <c r="D56" s="23">
        <v>0</v>
      </c>
      <c r="E56" s="23">
        <v>0</v>
      </c>
      <c r="F56" s="23">
        <f t="shared" si="65"/>
        <v>0</v>
      </c>
      <c r="H56" s="328">
        <v>0</v>
      </c>
      <c r="I56" s="328">
        <v>0</v>
      </c>
      <c r="J56" s="328">
        <v>1</v>
      </c>
      <c r="K56" s="328"/>
      <c r="L56" s="23">
        <f t="shared" si="66"/>
        <v>1</v>
      </c>
      <c r="N56" s="328">
        <v>0</v>
      </c>
      <c r="O56" s="328">
        <v>0</v>
      </c>
      <c r="P56" s="328"/>
      <c r="Q56" s="328"/>
      <c r="R56" s="23">
        <f t="shared" si="67"/>
        <v>0</v>
      </c>
      <c r="T56" s="328">
        <v>0</v>
      </c>
      <c r="U56" s="328">
        <v>0</v>
      </c>
      <c r="V56" s="328">
        <v>1</v>
      </c>
      <c r="W56" s="328"/>
      <c r="X56" s="23">
        <f t="shared" si="68"/>
        <v>1</v>
      </c>
      <c r="Z56" s="328">
        <v>0</v>
      </c>
      <c r="AA56" s="328">
        <v>0</v>
      </c>
      <c r="AB56" s="328">
        <v>0</v>
      </c>
      <c r="AC56" s="328"/>
      <c r="AD56" s="23">
        <f t="shared" si="69"/>
        <v>0</v>
      </c>
      <c r="AF56" s="328">
        <v>0</v>
      </c>
      <c r="AG56" s="328">
        <v>0</v>
      </c>
      <c r="AH56" s="328">
        <v>0</v>
      </c>
      <c r="AI56" s="328"/>
      <c r="AJ56" s="23">
        <f t="shared" si="70"/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f t="shared" si="71"/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f t="shared" si="72"/>
        <v>0</v>
      </c>
      <c r="AX56" s="23">
        <f t="shared" si="73"/>
        <v>0</v>
      </c>
      <c r="AY56" s="23">
        <f t="shared" si="64"/>
        <v>0</v>
      </c>
      <c r="AZ56" s="23">
        <f t="shared" si="64"/>
        <v>2</v>
      </c>
      <c r="BA56" s="23">
        <f t="shared" si="64"/>
        <v>0</v>
      </c>
      <c r="BB56" s="23">
        <f t="shared" si="74"/>
        <v>2</v>
      </c>
    </row>
    <row r="57" spans="1:54" x14ac:dyDescent="0.25">
      <c r="A57" s="34" t="s">
        <v>56</v>
      </c>
      <c r="B57" s="23">
        <v>0</v>
      </c>
      <c r="C57" s="23">
        <v>0</v>
      </c>
      <c r="D57" s="23">
        <v>0</v>
      </c>
      <c r="E57" s="23">
        <v>0</v>
      </c>
      <c r="F57" s="23">
        <f t="shared" si="65"/>
        <v>0</v>
      </c>
      <c r="H57" s="328">
        <v>0</v>
      </c>
      <c r="I57" s="328">
        <v>0</v>
      </c>
      <c r="J57" s="328">
        <v>0</v>
      </c>
      <c r="K57" s="328"/>
      <c r="L57" s="23">
        <f t="shared" si="66"/>
        <v>0</v>
      </c>
      <c r="N57" s="328">
        <v>0</v>
      </c>
      <c r="O57" s="328">
        <v>0</v>
      </c>
      <c r="P57" s="328"/>
      <c r="Q57" s="328"/>
      <c r="R57" s="23">
        <f t="shared" si="67"/>
        <v>0</v>
      </c>
      <c r="T57" s="328">
        <v>0</v>
      </c>
      <c r="U57" s="328">
        <v>0</v>
      </c>
      <c r="V57" s="328">
        <v>1</v>
      </c>
      <c r="W57" s="328"/>
      <c r="X57" s="23">
        <f t="shared" si="68"/>
        <v>1</v>
      </c>
      <c r="Z57" s="328">
        <v>0</v>
      </c>
      <c r="AA57" s="328">
        <v>0</v>
      </c>
      <c r="AB57" s="328">
        <v>0.5</v>
      </c>
      <c r="AC57" s="328"/>
      <c r="AD57" s="23">
        <f t="shared" si="69"/>
        <v>0.5</v>
      </c>
      <c r="AF57" s="328">
        <v>0</v>
      </c>
      <c r="AG57" s="328">
        <v>0</v>
      </c>
      <c r="AH57" s="328">
        <v>0</v>
      </c>
      <c r="AI57" s="328"/>
      <c r="AJ57" s="23">
        <f t="shared" si="70"/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f t="shared" si="71"/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f t="shared" si="72"/>
        <v>0</v>
      </c>
      <c r="AX57" s="23">
        <f t="shared" si="73"/>
        <v>0</v>
      </c>
      <c r="AY57" s="23">
        <f t="shared" si="64"/>
        <v>0</v>
      </c>
      <c r="AZ57" s="23">
        <f t="shared" si="64"/>
        <v>1.5</v>
      </c>
      <c r="BA57" s="23">
        <f t="shared" si="64"/>
        <v>0</v>
      </c>
      <c r="BB57" s="23">
        <f t="shared" si="74"/>
        <v>1.5</v>
      </c>
    </row>
    <row r="58" spans="1:54" x14ac:dyDescent="0.25">
      <c r="A58" s="34" t="s">
        <v>57</v>
      </c>
      <c r="B58" s="23">
        <v>0</v>
      </c>
      <c r="C58" s="23">
        <v>0</v>
      </c>
      <c r="D58" s="23">
        <v>0</v>
      </c>
      <c r="E58" s="23">
        <v>0</v>
      </c>
      <c r="F58" s="23">
        <f t="shared" si="65"/>
        <v>0</v>
      </c>
      <c r="H58" s="328">
        <v>0</v>
      </c>
      <c r="I58" s="328">
        <v>0</v>
      </c>
      <c r="J58" s="328"/>
      <c r="K58" s="328"/>
      <c r="L58" s="23">
        <f t="shared" si="66"/>
        <v>0</v>
      </c>
      <c r="N58" s="328">
        <v>0</v>
      </c>
      <c r="O58" s="328">
        <v>0</v>
      </c>
      <c r="P58" s="328"/>
      <c r="Q58" s="328"/>
      <c r="R58" s="23">
        <f t="shared" si="67"/>
        <v>0</v>
      </c>
      <c r="T58" s="328">
        <v>0</v>
      </c>
      <c r="U58" s="328">
        <v>0</v>
      </c>
      <c r="V58" s="328">
        <v>0.34</v>
      </c>
      <c r="W58" s="328"/>
      <c r="X58" s="23">
        <f t="shared" si="68"/>
        <v>0.34</v>
      </c>
      <c r="Z58" s="328">
        <v>0</v>
      </c>
      <c r="AA58" s="328">
        <v>0</v>
      </c>
      <c r="AB58" s="328">
        <v>0.33</v>
      </c>
      <c r="AC58" s="328"/>
      <c r="AD58" s="23">
        <f t="shared" si="69"/>
        <v>0.33</v>
      </c>
      <c r="AF58" s="328">
        <v>0</v>
      </c>
      <c r="AG58" s="328">
        <v>0</v>
      </c>
      <c r="AH58" s="328">
        <v>0</v>
      </c>
      <c r="AI58" s="328"/>
      <c r="AJ58" s="23">
        <f t="shared" si="70"/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f t="shared" si="71"/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f t="shared" si="72"/>
        <v>0</v>
      </c>
      <c r="AX58" s="23">
        <f t="shared" si="73"/>
        <v>0</v>
      </c>
      <c r="AY58" s="23">
        <f t="shared" si="73"/>
        <v>0</v>
      </c>
      <c r="AZ58" s="23">
        <f t="shared" si="73"/>
        <v>0.67</v>
      </c>
      <c r="BA58" s="23">
        <f t="shared" si="73"/>
        <v>0</v>
      </c>
      <c r="BB58" s="23">
        <f t="shared" si="74"/>
        <v>0.67</v>
      </c>
    </row>
    <row r="59" spans="1:54" x14ac:dyDescent="0.25">
      <c r="A59" s="34" t="s">
        <v>58</v>
      </c>
      <c r="B59" s="23">
        <v>0</v>
      </c>
      <c r="C59" s="23">
        <v>0</v>
      </c>
      <c r="D59" s="23">
        <v>0</v>
      </c>
      <c r="E59" s="23">
        <v>0</v>
      </c>
      <c r="F59" s="23">
        <f t="shared" si="65"/>
        <v>0</v>
      </c>
      <c r="H59" s="328">
        <v>0</v>
      </c>
      <c r="I59" s="328">
        <v>0</v>
      </c>
      <c r="J59" s="328">
        <v>1</v>
      </c>
      <c r="K59" s="328"/>
      <c r="L59" s="23">
        <f t="shared" si="66"/>
        <v>1</v>
      </c>
      <c r="N59" s="328">
        <v>0</v>
      </c>
      <c r="O59" s="328">
        <v>0</v>
      </c>
      <c r="P59" s="328"/>
      <c r="Q59" s="328"/>
      <c r="R59" s="23">
        <f t="shared" si="67"/>
        <v>0</v>
      </c>
      <c r="T59" s="328">
        <v>0</v>
      </c>
      <c r="U59" s="328">
        <v>0</v>
      </c>
      <c r="V59" s="328"/>
      <c r="W59" s="328"/>
      <c r="X59" s="23">
        <f t="shared" si="68"/>
        <v>0</v>
      </c>
      <c r="Z59" s="328">
        <v>0</v>
      </c>
      <c r="AA59" s="328">
        <v>0</v>
      </c>
      <c r="AB59" s="328">
        <v>1</v>
      </c>
      <c r="AC59" s="328"/>
      <c r="AD59" s="23">
        <f t="shared" si="69"/>
        <v>1</v>
      </c>
      <c r="AF59" s="328">
        <v>0</v>
      </c>
      <c r="AG59" s="328">
        <v>0</v>
      </c>
      <c r="AH59" s="328">
        <v>0</v>
      </c>
      <c r="AI59" s="328"/>
      <c r="AJ59" s="23">
        <f t="shared" si="70"/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f t="shared" si="71"/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f t="shared" si="72"/>
        <v>0</v>
      </c>
      <c r="AX59" s="23">
        <f t="shared" si="73"/>
        <v>0</v>
      </c>
      <c r="AY59" s="23">
        <f t="shared" si="73"/>
        <v>0</v>
      </c>
      <c r="AZ59" s="23">
        <f t="shared" si="73"/>
        <v>2</v>
      </c>
      <c r="BA59" s="23">
        <f t="shared" si="73"/>
        <v>0</v>
      </c>
      <c r="BB59" s="23">
        <f t="shared" si="74"/>
        <v>2</v>
      </c>
    </row>
    <row r="60" spans="1:54" x14ac:dyDescent="0.25">
      <c r="A60" s="34" t="s">
        <v>59</v>
      </c>
      <c r="B60" s="23">
        <v>0</v>
      </c>
      <c r="C60" s="23">
        <v>0.5</v>
      </c>
      <c r="D60" s="23">
        <v>0</v>
      </c>
      <c r="E60" s="23">
        <v>0</v>
      </c>
      <c r="F60" s="23">
        <f t="shared" si="65"/>
        <v>0.5</v>
      </c>
      <c r="H60" s="328">
        <v>0</v>
      </c>
      <c r="I60" s="328">
        <v>1</v>
      </c>
      <c r="J60" s="328"/>
      <c r="K60" s="328"/>
      <c r="L60" s="23">
        <f t="shared" si="66"/>
        <v>1</v>
      </c>
      <c r="N60" s="328">
        <v>0</v>
      </c>
      <c r="O60" s="328">
        <v>0.5</v>
      </c>
      <c r="P60" s="328"/>
      <c r="Q60" s="328"/>
      <c r="R60" s="23">
        <f t="shared" si="67"/>
        <v>0.5</v>
      </c>
      <c r="T60" s="328">
        <v>0</v>
      </c>
      <c r="U60" s="328">
        <v>1.5</v>
      </c>
      <c r="V60" s="328"/>
      <c r="W60" s="328"/>
      <c r="X60" s="23">
        <f t="shared" si="68"/>
        <v>1.5</v>
      </c>
      <c r="Z60" s="328">
        <v>0</v>
      </c>
      <c r="AA60" s="328">
        <v>1.5</v>
      </c>
      <c r="AB60" s="328"/>
      <c r="AC60" s="328"/>
      <c r="AD60" s="23">
        <f t="shared" si="69"/>
        <v>1.5</v>
      </c>
      <c r="AF60" s="328">
        <v>0</v>
      </c>
      <c r="AG60" s="328">
        <v>0.5</v>
      </c>
      <c r="AH60" s="328"/>
      <c r="AI60" s="328"/>
      <c r="AJ60" s="23">
        <f t="shared" si="70"/>
        <v>0.5</v>
      </c>
      <c r="AL60" s="23">
        <v>0</v>
      </c>
      <c r="AM60" s="23">
        <v>0.5</v>
      </c>
      <c r="AN60" s="23">
        <v>0</v>
      </c>
      <c r="AO60" s="23">
        <v>0</v>
      </c>
      <c r="AP60" s="23">
        <f t="shared" si="71"/>
        <v>0.5</v>
      </c>
      <c r="AR60" s="23">
        <v>0</v>
      </c>
      <c r="AS60" s="23">
        <v>0</v>
      </c>
      <c r="AT60" s="23">
        <v>0</v>
      </c>
      <c r="AU60" s="23">
        <v>0</v>
      </c>
      <c r="AV60" s="23">
        <f t="shared" si="72"/>
        <v>0</v>
      </c>
      <c r="AX60" s="23">
        <f t="shared" si="73"/>
        <v>0</v>
      </c>
      <c r="AY60" s="23">
        <f t="shared" si="73"/>
        <v>6</v>
      </c>
      <c r="AZ60" s="23">
        <f t="shared" si="73"/>
        <v>0</v>
      </c>
      <c r="BA60" s="23">
        <f t="shared" si="73"/>
        <v>0</v>
      </c>
      <c r="BB60" s="23">
        <f t="shared" si="74"/>
        <v>6</v>
      </c>
    </row>
    <row r="61" spans="1:54" x14ac:dyDescent="0.25">
      <c r="A61" s="35" t="s">
        <v>245</v>
      </c>
      <c r="B61" s="23">
        <v>0</v>
      </c>
      <c r="C61" s="23">
        <v>0</v>
      </c>
      <c r="D61" s="23">
        <v>0</v>
      </c>
      <c r="E61" s="23">
        <v>0</v>
      </c>
      <c r="F61" s="23">
        <f t="shared" si="65"/>
        <v>0</v>
      </c>
      <c r="H61" s="23">
        <v>0</v>
      </c>
      <c r="I61" s="23">
        <v>0</v>
      </c>
      <c r="J61" s="23">
        <v>0</v>
      </c>
      <c r="K61" s="23">
        <v>0</v>
      </c>
      <c r="L61" s="23">
        <f t="shared" si="66"/>
        <v>0</v>
      </c>
      <c r="N61" s="23">
        <v>0</v>
      </c>
      <c r="O61" s="23">
        <v>0</v>
      </c>
      <c r="P61" s="23">
        <v>0</v>
      </c>
      <c r="Q61" s="23">
        <v>0</v>
      </c>
      <c r="R61" s="23">
        <f t="shared" si="67"/>
        <v>0</v>
      </c>
      <c r="T61" s="328">
        <v>0</v>
      </c>
      <c r="U61" s="328">
        <v>0</v>
      </c>
      <c r="V61" s="328"/>
      <c r="W61" s="328"/>
      <c r="X61" s="23">
        <f t="shared" si="68"/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f t="shared" si="69"/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f t="shared" si="70"/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f t="shared" si="71"/>
        <v>0</v>
      </c>
      <c r="AR61" s="23">
        <v>1</v>
      </c>
      <c r="AS61" s="23">
        <v>0</v>
      </c>
      <c r="AT61" s="23">
        <v>0</v>
      </c>
      <c r="AU61" s="23">
        <v>0</v>
      </c>
      <c r="AV61" s="23">
        <f t="shared" si="72"/>
        <v>1</v>
      </c>
      <c r="AX61" s="23">
        <f t="shared" si="73"/>
        <v>1</v>
      </c>
      <c r="AY61" s="23">
        <f t="shared" si="73"/>
        <v>0</v>
      </c>
      <c r="AZ61" s="23">
        <f t="shared" si="73"/>
        <v>0</v>
      </c>
      <c r="BA61" s="23">
        <f t="shared" si="73"/>
        <v>0</v>
      </c>
      <c r="BB61" s="23">
        <f t="shared" si="74"/>
        <v>1</v>
      </c>
    </row>
    <row r="62" spans="1:54" x14ac:dyDescent="0.25">
      <c r="A62" s="29" t="s">
        <v>60</v>
      </c>
      <c r="B62" s="30">
        <f>SUM(B42:B61)</f>
        <v>9</v>
      </c>
      <c r="C62" s="30">
        <f t="shared" ref="C62:F62" si="75">SUM(C42:C61)</f>
        <v>3</v>
      </c>
      <c r="D62" s="30">
        <f t="shared" si="75"/>
        <v>5</v>
      </c>
      <c r="E62" s="30">
        <f t="shared" si="75"/>
        <v>1</v>
      </c>
      <c r="F62" s="30">
        <f t="shared" si="75"/>
        <v>18</v>
      </c>
      <c r="H62" s="30">
        <f>SUM(H42:H61)</f>
        <v>24</v>
      </c>
      <c r="I62" s="30">
        <f t="shared" ref="I62:L62" si="76">SUM(I42:I61)</f>
        <v>12</v>
      </c>
      <c r="J62" s="30">
        <f t="shared" si="76"/>
        <v>16</v>
      </c>
      <c r="K62" s="30">
        <f t="shared" si="76"/>
        <v>3</v>
      </c>
      <c r="L62" s="30">
        <f t="shared" si="76"/>
        <v>55</v>
      </c>
      <c r="N62" s="30">
        <f>SUM(N42:N61)</f>
        <v>11</v>
      </c>
      <c r="O62" s="30">
        <f t="shared" ref="O62:R62" si="77">SUM(O42:O61)</f>
        <v>5</v>
      </c>
      <c r="P62" s="30">
        <f t="shared" si="77"/>
        <v>4.33</v>
      </c>
      <c r="Q62" s="30">
        <f t="shared" si="77"/>
        <v>1</v>
      </c>
      <c r="R62" s="30">
        <f t="shared" si="77"/>
        <v>21.33</v>
      </c>
      <c r="T62" s="30">
        <f>SUM(T42:T61)</f>
        <v>13.5</v>
      </c>
      <c r="U62" s="30">
        <f t="shared" ref="U62:X62" si="78">SUM(U42:U61)</f>
        <v>3.5</v>
      </c>
      <c r="V62" s="30">
        <f t="shared" si="78"/>
        <v>8.34</v>
      </c>
      <c r="W62" s="30">
        <f t="shared" si="78"/>
        <v>1</v>
      </c>
      <c r="X62" s="30">
        <f t="shared" si="78"/>
        <v>26.34</v>
      </c>
      <c r="Z62" s="30">
        <f>SUM(Z42:Z61)</f>
        <v>19.5</v>
      </c>
      <c r="AA62" s="30">
        <f t="shared" ref="AA62:AD62" si="79">SUM(AA42:AA61)</f>
        <v>5.5</v>
      </c>
      <c r="AB62" s="30">
        <f t="shared" si="79"/>
        <v>12.83</v>
      </c>
      <c r="AC62" s="30">
        <f t="shared" si="79"/>
        <v>2</v>
      </c>
      <c r="AD62" s="30">
        <f t="shared" si="79"/>
        <v>39.83</v>
      </c>
      <c r="AF62" s="30">
        <f>SUM(AF42:AF61)</f>
        <v>10</v>
      </c>
      <c r="AG62" s="30">
        <f t="shared" ref="AG62:AJ62" si="80">SUM(AG42:AG61)</f>
        <v>4.5</v>
      </c>
      <c r="AH62" s="30">
        <f t="shared" si="80"/>
        <v>5</v>
      </c>
      <c r="AI62" s="30">
        <f t="shared" si="80"/>
        <v>1</v>
      </c>
      <c r="AJ62" s="30">
        <f t="shared" si="80"/>
        <v>20.5</v>
      </c>
      <c r="AL62" s="30">
        <f>SUM(AL42:AL61)</f>
        <v>3</v>
      </c>
      <c r="AM62" s="30">
        <f t="shared" ref="AM62:AP62" si="81">SUM(AM42:AM61)</f>
        <v>0.5</v>
      </c>
      <c r="AN62" s="30">
        <f t="shared" si="81"/>
        <v>0</v>
      </c>
      <c r="AO62" s="30">
        <f t="shared" si="81"/>
        <v>0</v>
      </c>
      <c r="AP62" s="30">
        <f t="shared" si="81"/>
        <v>3.5</v>
      </c>
      <c r="AR62" s="30">
        <f>SUM(AR42:AR61)</f>
        <v>1</v>
      </c>
      <c r="AS62" s="30">
        <f t="shared" ref="AS62:AV62" si="82">SUM(AS42:AS61)</f>
        <v>0</v>
      </c>
      <c r="AT62" s="30">
        <f t="shared" si="82"/>
        <v>1</v>
      </c>
      <c r="AU62" s="30">
        <f t="shared" si="82"/>
        <v>0</v>
      </c>
      <c r="AV62" s="30">
        <f t="shared" si="82"/>
        <v>2</v>
      </c>
      <c r="AX62" s="30">
        <f>SUM(AX42:AX61)</f>
        <v>91</v>
      </c>
      <c r="AY62" s="30">
        <f t="shared" ref="AY62:BB62" si="83">SUM(AY42:AY61)</f>
        <v>34</v>
      </c>
      <c r="AZ62" s="30">
        <f t="shared" si="83"/>
        <v>52.5</v>
      </c>
      <c r="BA62" s="30">
        <f t="shared" si="83"/>
        <v>9</v>
      </c>
      <c r="BB62" s="30">
        <f t="shared" si="83"/>
        <v>186.5</v>
      </c>
    </row>
    <row r="63" spans="1:54" ht="15.75" thickBot="1" x14ac:dyDescent="0.3">
      <c r="A63" s="36"/>
      <c r="B63" s="38"/>
      <c r="C63" s="38"/>
      <c r="D63" s="38"/>
      <c r="E63" s="38"/>
      <c r="F63" s="38"/>
      <c r="H63" s="38"/>
      <c r="I63" s="38"/>
      <c r="J63" s="38"/>
      <c r="K63" s="38"/>
      <c r="L63" s="38"/>
      <c r="N63" s="38"/>
      <c r="O63" s="38"/>
      <c r="P63" s="38"/>
      <c r="Q63" s="38"/>
      <c r="R63" s="38"/>
      <c r="T63" s="38"/>
      <c r="U63" s="38"/>
      <c r="V63" s="38"/>
      <c r="W63" s="38"/>
      <c r="X63" s="38"/>
      <c r="Z63" s="38"/>
      <c r="AA63" s="38"/>
      <c r="AB63" s="38"/>
      <c r="AC63" s="38"/>
      <c r="AD63" s="38"/>
      <c r="AF63" s="38"/>
      <c r="AG63" s="38"/>
      <c r="AH63" s="38"/>
      <c r="AI63" s="38"/>
      <c r="AJ63" s="38"/>
      <c r="AL63" s="38"/>
      <c r="AM63" s="38"/>
      <c r="AN63" s="38"/>
      <c r="AO63" s="38"/>
      <c r="AP63" s="38"/>
      <c r="AR63" s="38"/>
      <c r="AS63" s="38"/>
      <c r="AT63" s="38"/>
      <c r="AU63" s="38"/>
      <c r="AV63" s="38"/>
      <c r="AX63" s="38"/>
      <c r="AY63" s="38"/>
      <c r="AZ63" s="38"/>
      <c r="BA63" s="38"/>
      <c r="BB63" s="38"/>
    </row>
    <row r="64" spans="1:54" x14ac:dyDescent="0.25">
      <c r="A64" s="40" t="s">
        <v>61</v>
      </c>
      <c r="B64" s="39">
        <f>B39</f>
        <v>41.5</v>
      </c>
      <c r="C64" s="39">
        <f>C39</f>
        <v>0</v>
      </c>
      <c r="D64" s="39">
        <f>D39</f>
        <v>4</v>
      </c>
      <c r="E64" s="39">
        <f t="shared" ref="E64" si="84">E39</f>
        <v>0</v>
      </c>
      <c r="F64" s="39">
        <f>F39</f>
        <v>45.5</v>
      </c>
      <c r="H64" s="39">
        <f>H39</f>
        <v>100</v>
      </c>
      <c r="I64" s="39">
        <f>I39</f>
        <v>0</v>
      </c>
      <c r="J64" s="39">
        <f>J39</f>
        <v>13</v>
      </c>
      <c r="K64" s="39">
        <f t="shared" ref="K64" si="85">K39</f>
        <v>0</v>
      </c>
      <c r="L64" s="39">
        <f>L39</f>
        <v>113</v>
      </c>
      <c r="N64" s="39">
        <f>N39</f>
        <v>43</v>
      </c>
      <c r="O64" s="39">
        <f>O39</f>
        <v>0</v>
      </c>
      <c r="P64" s="39">
        <f>P39</f>
        <v>4</v>
      </c>
      <c r="Q64" s="39">
        <f t="shared" ref="Q64" si="86">Q39</f>
        <v>0</v>
      </c>
      <c r="R64" s="39">
        <f>R39</f>
        <v>47</v>
      </c>
      <c r="T64" s="39">
        <f>T39</f>
        <v>53</v>
      </c>
      <c r="U64" s="39">
        <f>U39</f>
        <v>0</v>
      </c>
      <c r="V64" s="39">
        <f>V39</f>
        <v>5</v>
      </c>
      <c r="W64" s="39">
        <f t="shared" ref="W64" si="87">W39</f>
        <v>0</v>
      </c>
      <c r="X64" s="39">
        <f>X39</f>
        <v>58</v>
      </c>
      <c r="Z64" s="39">
        <f>Z39</f>
        <v>97.5</v>
      </c>
      <c r="AA64" s="39">
        <f>AA39</f>
        <v>0</v>
      </c>
      <c r="AB64" s="39">
        <f>AB39</f>
        <v>10</v>
      </c>
      <c r="AC64" s="39">
        <f t="shared" ref="AC64" si="88">AC39</f>
        <v>0</v>
      </c>
      <c r="AD64" s="39">
        <f>AD39</f>
        <v>107.5</v>
      </c>
      <c r="AF64" s="39">
        <f>AF39</f>
        <v>50.5</v>
      </c>
      <c r="AG64" s="39">
        <f>AG39</f>
        <v>0</v>
      </c>
      <c r="AH64" s="39">
        <f>AH39</f>
        <v>5.5</v>
      </c>
      <c r="AI64" s="39">
        <f t="shared" ref="AI64" si="89">AI39</f>
        <v>0</v>
      </c>
      <c r="AJ64" s="39">
        <f>AJ39</f>
        <v>56</v>
      </c>
      <c r="AL64" s="39">
        <f>AL39</f>
        <v>0</v>
      </c>
      <c r="AM64" s="39">
        <f>AM39</f>
        <v>0</v>
      </c>
      <c r="AN64" s="39">
        <f>AN39</f>
        <v>0</v>
      </c>
      <c r="AO64" s="39">
        <f t="shared" ref="AO64" si="90">AO39</f>
        <v>0</v>
      </c>
      <c r="AP64" s="39">
        <f>AP39</f>
        <v>0</v>
      </c>
      <c r="AR64" s="39">
        <f>AR39</f>
        <v>0</v>
      </c>
      <c r="AS64" s="39">
        <f>AS39</f>
        <v>0</v>
      </c>
      <c r="AT64" s="39">
        <f>AT39</f>
        <v>1</v>
      </c>
      <c r="AU64" s="39">
        <f t="shared" ref="AU64" si="91">AU39</f>
        <v>0</v>
      </c>
      <c r="AV64" s="39">
        <f>AV39</f>
        <v>1</v>
      </c>
      <c r="AX64" s="39">
        <f>AX39</f>
        <v>385.5</v>
      </c>
      <c r="AY64" s="39">
        <f>AY39</f>
        <v>0</v>
      </c>
      <c r="AZ64" s="39">
        <f>AZ39</f>
        <v>42.5</v>
      </c>
      <c r="BA64" s="39">
        <f t="shared" ref="BA64" si="92">BA39</f>
        <v>0</v>
      </c>
      <c r="BB64" s="39">
        <f>BB39</f>
        <v>428</v>
      </c>
    </row>
    <row r="65" spans="1:54" ht="15.75" thickBot="1" x14ac:dyDescent="0.3">
      <c r="A65" s="42" t="s">
        <v>62</v>
      </c>
      <c r="B65" s="41">
        <f>B62</f>
        <v>9</v>
      </c>
      <c r="C65" s="41">
        <f>C62</f>
        <v>3</v>
      </c>
      <c r="D65" s="41">
        <f>D62</f>
        <v>5</v>
      </c>
      <c r="E65" s="41">
        <f t="shared" ref="E65:F65" si="93">E62</f>
        <v>1</v>
      </c>
      <c r="F65" s="41">
        <f t="shared" si="93"/>
        <v>18</v>
      </c>
      <c r="H65" s="41">
        <f>H62</f>
        <v>24</v>
      </c>
      <c r="I65" s="41">
        <f>I62</f>
        <v>12</v>
      </c>
      <c r="J65" s="41">
        <f>J62</f>
        <v>16</v>
      </c>
      <c r="K65" s="41">
        <f t="shared" ref="K65:L65" si="94">K62</f>
        <v>3</v>
      </c>
      <c r="L65" s="41">
        <f t="shared" si="94"/>
        <v>55</v>
      </c>
      <c r="N65" s="41">
        <f>N62</f>
        <v>11</v>
      </c>
      <c r="O65" s="41">
        <f>O62</f>
        <v>5</v>
      </c>
      <c r="P65" s="41">
        <f>P62</f>
        <v>4.33</v>
      </c>
      <c r="Q65" s="41">
        <f t="shared" ref="Q65:R65" si="95">Q62</f>
        <v>1</v>
      </c>
      <c r="R65" s="41">
        <f t="shared" si="95"/>
        <v>21.33</v>
      </c>
      <c r="T65" s="41">
        <f>T62</f>
        <v>13.5</v>
      </c>
      <c r="U65" s="41">
        <f>U62</f>
        <v>3.5</v>
      </c>
      <c r="V65" s="41">
        <f>V62</f>
        <v>8.34</v>
      </c>
      <c r="W65" s="41">
        <f t="shared" ref="W65:X65" si="96">W62</f>
        <v>1</v>
      </c>
      <c r="X65" s="41">
        <f t="shared" si="96"/>
        <v>26.34</v>
      </c>
      <c r="Z65" s="41">
        <f>Z62</f>
        <v>19.5</v>
      </c>
      <c r="AA65" s="41">
        <f>AA62</f>
        <v>5.5</v>
      </c>
      <c r="AB65" s="41">
        <f>AB62</f>
        <v>12.83</v>
      </c>
      <c r="AC65" s="41">
        <f t="shared" ref="AC65:AD65" si="97">AC62</f>
        <v>2</v>
      </c>
      <c r="AD65" s="41">
        <f t="shared" si="97"/>
        <v>39.83</v>
      </c>
      <c r="AF65" s="41">
        <f>AF62</f>
        <v>10</v>
      </c>
      <c r="AG65" s="41">
        <f>AG62</f>
        <v>4.5</v>
      </c>
      <c r="AH65" s="41">
        <f>AH62</f>
        <v>5</v>
      </c>
      <c r="AI65" s="41">
        <f t="shared" ref="AI65:AJ65" si="98">AI62</f>
        <v>1</v>
      </c>
      <c r="AJ65" s="41">
        <f t="shared" si="98"/>
        <v>20.5</v>
      </c>
      <c r="AL65" s="41">
        <f>AL62</f>
        <v>3</v>
      </c>
      <c r="AM65" s="41">
        <f>AM62</f>
        <v>0.5</v>
      </c>
      <c r="AN65" s="41">
        <f>AN62</f>
        <v>0</v>
      </c>
      <c r="AO65" s="41">
        <f t="shared" ref="AO65:AP65" si="99">AO62</f>
        <v>0</v>
      </c>
      <c r="AP65" s="41">
        <f t="shared" si="99"/>
        <v>3.5</v>
      </c>
      <c r="AR65" s="41">
        <f>AR62</f>
        <v>1</v>
      </c>
      <c r="AS65" s="41">
        <f>AS62</f>
        <v>0</v>
      </c>
      <c r="AT65" s="41">
        <f>AT62</f>
        <v>1</v>
      </c>
      <c r="AU65" s="41">
        <f t="shared" ref="AU65:AV65" si="100">AU62</f>
        <v>0</v>
      </c>
      <c r="AV65" s="41">
        <f t="shared" si="100"/>
        <v>2</v>
      </c>
      <c r="AX65" s="41">
        <f>AX62</f>
        <v>91</v>
      </c>
      <c r="AY65" s="41">
        <f>AY62</f>
        <v>34</v>
      </c>
      <c r="AZ65" s="41">
        <f>AZ62</f>
        <v>52.5</v>
      </c>
      <c r="BA65" s="41">
        <f t="shared" ref="BA65:BB65" si="101">BA62</f>
        <v>9</v>
      </c>
      <c r="BB65" s="41">
        <f t="shared" si="101"/>
        <v>186.5</v>
      </c>
    </row>
    <row r="66" spans="1:54" ht="15.75" thickBot="1" x14ac:dyDescent="0.3">
      <c r="A66" s="44" t="s">
        <v>63</v>
      </c>
      <c r="B66" s="43">
        <f>SUM(B64:B65)</f>
        <v>50.5</v>
      </c>
      <c r="C66" s="43">
        <f>SUM(C64:C65)</f>
        <v>3</v>
      </c>
      <c r="D66" s="43">
        <f>SUM(D64:D65)</f>
        <v>9</v>
      </c>
      <c r="E66" s="43">
        <f t="shared" ref="E66:F66" si="102">SUM(E64:E65)</f>
        <v>1</v>
      </c>
      <c r="F66" s="43">
        <f t="shared" si="102"/>
        <v>63.5</v>
      </c>
      <c r="H66" s="43">
        <f>SUM(H64:H65)</f>
        <v>124</v>
      </c>
      <c r="I66" s="43">
        <f>SUM(I64:I65)</f>
        <v>12</v>
      </c>
      <c r="J66" s="43">
        <f>SUM(J64:J65)</f>
        <v>29</v>
      </c>
      <c r="K66" s="43">
        <f t="shared" ref="K66:L66" si="103">SUM(K64:K65)</f>
        <v>3</v>
      </c>
      <c r="L66" s="43">
        <f t="shared" si="103"/>
        <v>168</v>
      </c>
      <c r="N66" s="43">
        <f>SUM(N64:N65)</f>
        <v>54</v>
      </c>
      <c r="O66" s="43">
        <f>SUM(O64:O65)</f>
        <v>5</v>
      </c>
      <c r="P66" s="43">
        <f>SUM(P64:P65)</f>
        <v>8.33</v>
      </c>
      <c r="Q66" s="43">
        <f t="shared" ref="Q66:R66" si="104">SUM(Q64:Q65)</f>
        <v>1</v>
      </c>
      <c r="R66" s="43">
        <f t="shared" si="104"/>
        <v>68.33</v>
      </c>
      <c r="T66" s="43">
        <f>SUM(T64:T65)</f>
        <v>66.5</v>
      </c>
      <c r="U66" s="43">
        <f>SUM(U64:U65)</f>
        <v>3.5</v>
      </c>
      <c r="V66" s="43">
        <f>SUM(V64:V65)</f>
        <v>13.34</v>
      </c>
      <c r="W66" s="43">
        <f t="shared" ref="W66:X66" si="105">SUM(W64:W65)</f>
        <v>1</v>
      </c>
      <c r="X66" s="43">
        <f t="shared" si="105"/>
        <v>84.34</v>
      </c>
      <c r="Z66" s="43">
        <f>SUM(Z64:Z65)</f>
        <v>117</v>
      </c>
      <c r="AA66" s="43">
        <f>SUM(AA64:AA65)</f>
        <v>5.5</v>
      </c>
      <c r="AB66" s="43">
        <f>SUM(AB64:AB65)</f>
        <v>22.83</v>
      </c>
      <c r="AC66" s="43">
        <f t="shared" ref="AC66:AD66" si="106">SUM(AC64:AC65)</f>
        <v>2</v>
      </c>
      <c r="AD66" s="43">
        <f t="shared" si="106"/>
        <v>147.32999999999998</v>
      </c>
      <c r="AF66" s="43">
        <f>SUM(AF64:AF65)</f>
        <v>60.5</v>
      </c>
      <c r="AG66" s="43">
        <f>SUM(AG64:AG65)</f>
        <v>4.5</v>
      </c>
      <c r="AH66" s="43">
        <f>SUM(AH64:AH65)</f>
        <v>10.5</v>
      </c>
      <c r="AI66" s="43">
        <f t="shared" ref="AI66:AJ66" si="107">SUM(AI64:AI65)</f>
        <v>1</v>
      </c>
      <c r="AJ66" s="43">
        <f t="shared" si="107"/>
        <v>76.5</v>
      </c>
      <c r="AL66" s="43">
        <f>SUM(AL64:AL65)</f>
        <v>3</v>
      </c>
      <c r="AM66" s="43">
        <f>SUM(AM64:AM65)</f>
        <v>0.5</v>
      </c>
      <c r="AN66" s="43">
        <f>SUM(AN64:AN65)</f>
        <v>0</v>
      </c>
      <c r="AO66" s="43">
        <f t="shared" ref="AO66:AP66" si="108">SUM(AO64:AO65)</f>
        <v>0</v>
      </c>
      <c r="AP66" s="43">
        <f t="shared" si="108"/>
        <v>3.5</v>
      </c>
      <c r="AR66" s="43">
        <f>SUM(AR64:AR65)</f>
        <v>1</v>
      </c>
      <c r="AS66" s="43">
        <f>SUM(AS64:AS65)</f>
        <v>0</v>
      </c>
      <c r="AT66" s="43">
        <f>SUM(AT64:AT65)</f>
        <v>2</v>
      </c>
      <c r="AU66" s="43">
        <f t="shared" ref="AU66:AV66" si="109">SUM(AU64:AU65)</f>
        <v>0</v>
      </c>
      <c r="AV66" s="43">
        <f t="shared" si="109"/>
        <v>3</v>
      </c>
      <c r="AX66" s="43">
        <f>SUM(AX64:AX65)</f>
        <v>476.5</v>
      </c>
      <c r="AY66" s="43">
        <f>SUM(AY64:AY65)</f>
        <v>34</v>
      </c>
      <c r="AZ66" s="43">
        <f>SUM(AZ64:AZ65)</f>
        <v>95</v>
      </c>
      <c r="BA66" s="43">
        <f t="shared" ref="BA66:BB66" si="110">SUM(BA64:BA65)</f>
        <v>9</v>
      </c>
      <c r="BB66" s="43">
        <f t="shared" si="110"/>
        <v>614.5</v>
      </c>
    </row>
    <row r="67" spans="1:54" ht="15.75" thickBot="1" x14ac:dyDescent="0.3">
      <c r="A67" s="34"/>
      <c r="B67" s="45"/>
      <c r="C67" s="45"/>
      <c r="D67" s="45"/>
      <c r="E67" s="45"/>
      <c r="F67" s="45"/>
      <c r="H67" s="45"/>
      <c r="I67" s="45"/>
      <c r="J67" s="45"/>
      <c r="K67" s="45"/>
      <c r="L67" s="45"/>
      <c r="N67" s="45"/>
      <c r="O67" s="45"/>
      <c r="P67" s="45"/>
      <c r="Q67" s="45"/>
      <c r="R67" s="45"/>
      <c r="T67" s="45"/>
      <c r="U67" s="45"/>
      <c r="V67" s="45"/>
      <c r="W67" s="45"/>
      <c r="X67" s="45"/>
      <c r="Z67" s="45"/>
      <c r="AA67" s="45"/>
      <c r="AB67" s="45"/>
      <c r="AC67" s="45"/>
      <c r="AD67" s="45"/>
      <c r="AF67" s="45"/>
      <c r="AG67" s="45"/>
      <c r="AH67" s="45"/>
      <c r="AI67" s="45"/>
      <c r="AJ67" s="45"/>
      <c r="AL67" s="45"/>
      <c r="AM67" s="45"/>
      <c r="AN67" s="45"/>
      <c r="AO67" s="45"/>
      <c r="AP67" s="45"/>
      <c r="AR67" s="45"/>
      <c r="AS67" s="45"/>
      <c r="AT67" s="45"/>
      <c r="AU67" s="45"/>
      <c r="AV67" s="45"/>
      <c r="AX67" s="45"/>
      <c r="AY67" s="45"/>
      <c r="AZ67" s="45"/>
      <c r="BA67" s="45"/>
      <c r="BB67" s="45"/>
    </row>
    <row r="68" spans="1:54" x14ac:dyDescent="0.25">
      <c r="A68" s="47" t="s">
        <v>64</v>
      </c>
      <c r="B68" s="46"/>
      <c r="C68" s="46"/>
      <c r="D68" s="46"/>
      <c r="E68" s="46"/>
      <c r="F68" s="46">
        <f>F139/(SUM(F207:F217))</f>
        <v>0.64307634315652451</v>
      </c>
      <c r="H68" s="46"/>
      <c r="I68" s="46"/>
      <c r="J68" s="46"/>
      <c r="K68" s="46"/>
      <c r="L68" s="46">
        <f>L139/(SUM(L207:L217))</f>
        <v>0.63191107080970155</v>
      </c>
      <c r="N68" s="46"/>
      <c r="O68" s="46"/>
      <c r="P68" s="46"/>
      <c r="Q68" s="46"/>
      <c r="R68" s="46">
        <f>R139/(SUM(R207:R217))</f>
        <v>0.66023863828473517</v>
      </c>
      <c r="T68" s="46"/>
      <c r="U68" s="46"/>
      <c r="V68" s="46"/>
      <c r="W68" s="46"/>
      <c r="X68" s="46">
        <f>X139/(SUM(X207:X217))</f>
        <v>0.67448568582881774</v>
      </c>
      <c r="Z68" s="46"/>
      <c r="AA68" s="46"/>
      <c r="AB68" s="46"/>
      <c r="AC68" s="46"/>
      <c r="AD68" s="46">
        <f>AD139/(SUM(AD207:AD217))</f>
        <v>0.58487292418795245</v>
      </c>
      <c r="AF68" s="46"/>
      <c r="AG68" s="46"/>
      <c r="AH68" s="46"/>
      <c r="AI68" s="46"/>
      <c r="AJ68" s="46">
        <f>AJ139/(SUM(AJ207:AJ217))</f>
        <v>0.56161929619275108</v>
      </c>
      <c r="AL68" s="46"/>
      <c r="AM68" s="46"/>
      <c r="AN68" s="46"/>
      <c r="AO68" s="46"/>
      <c r="AP68" s="46">
        <f>AP139/(SUM(AP207:AP217))</f>
        <v>0.98674484642444704</v>
      </c>
      <c r="AR68" s="46"/>
      <c r="AS68" s="46"/>
      <c r="AT68" s="46"/>
      <c r="AU68" s="46"/>
      <c r="AV68" s="46">
        <f>AV139/(SUM(AV207:AV217))</f>
        <v>0.27163800085447892</v>
      </c>
      <c r="AX68" s="46"/>
      <c r="AY68" s="46"/>
      <c r="AZ68" s="46"/>
      <c r="BA68" s="46"/>
      <c r="BB68" s="46">
        <f>BB139/(SUM(BB207:BB217))</f>
        <v>0.60855470927617117</v>
      </c>
    </row>
    <row r="69" spans="1:54" x14ac:dyDescent="0.25">
      <c r="A69" s="49" t="s">
        <v>65</v>
      </c>
      <c r="B69" s="48"/>
      <c r="C69" s="48"/>
      <c r="D69" s="48"/>
      <c r="E69" s="48"/>
      <c r="F69" s="48">
        <f t="shared" ref="F69" si="111">(F108+F109+F110+F113)/F129</f>
        <v>0.75282752639705186</v>
      </c>
      <c r="H69" s="48"/>
      <c r="I69" s="48"/>
      <c r="J69" s="48"/>
      <c r="K69" s="48"/>
      <c r="L69" s="48">
        <f t="shared" ref="L69" si="112">(L108+L109+L110+L113)/L129</f>
        <v>0.76880561528758207</v>
      </c>
      <c r="N69" s="48"/>
      <c r="O69" s="48"/>
      <c r="P69" s="48"/>
      <c r="Q69" s="48"/>
      <c r="R69" s="48">
        <f t="shared" ref="R69" si="113">(R108+R109+R110+R113)/R129</f>
        <v>0.76174484598607117</v>
      </c>
      <c r="T69" s="48"/>
      <c r="U69" s="48"/>
      <c r="V69" s="48"/>
      <c r="W69" s="48"/>
      <c r="X69" s="48">
        <f t="shared" ref="X69" si="114">(X108+X109+X110+X113)/X129</f>
        <v>0.76956485882635028</v>
      </c>
      <c r="Z69" s="48"/>
      <c r="AA69" s="48"/>
      <c r="AB69" s="48"/>
      <c r="AC69" s="48"/>
      <c r="AD69" s="48">
        <f t="shared" ref="AD69" si="115">(AD108+AD109+AD110+AD113)/AD129</f>
        <v>0.80346070861667562</v>
      </c>
      <c r="AF69" s="48"/>
      <c r="AG69" s="48"/>
      <c r="AH69" s="48"/>
      <c r="AI69" s="48"/>
      <c r="AJ69" s="48">
        <f t="shared" ref="AJ69" si="116">(AJ108+AJ109+AJ110+AJ113)/AJ129</f>
        <v>0.77129782991465845</v>
      </c>
      <c r="AL69" s="48"/>
      <c r="AM69" s="48"/>
      <c r="AN69" s="48"/>
      <c r="AO69" s="48"/>
      <c r="AP69" s="48">
        <f t="shared" ref="AP69" si="117">(AP108+AP109+AP110+AP113)/AP129</f>
        <v>0</v>
      </c>
      <c r="AR69" s="48"/>
      <c r="AS69" s="48"/>
      <c r="AT69" s="48"/>
      <c r="AU69" s="48"/>
      <c r="AV69" s="48">
        <f t="shared" ref="AV69" si="118">(AV108+AV109+AV110+AV113)/AV129</f>
        <v>0.75360553306873113</v>
      </c>
      <c r="AX69" s="48"/>
      <c r="AY69" s="48"/>
      <c r="AZ69" s="48"/>
      <c r="BA69" s="48"/>
      <c r="BB69" s="48">
        <f t="shared" ref="BB69" si="119">(BB108+BB109+BB110+BB113)/BB129</f>
        <v>0.77006155188778114</v>
      </c>
    </row>
    <row r="70" spans="1:54" x14ac:dyDescent="0.25">
      <c r="A70" s="51" t="s">
        <v>66</v>
      </c>
      <c r="B70" s="48"/>
      <c r="C70" s="48"/>
      <c r="D70" s="48"/>
      <c r="E70" s="48"/>
      <c r="F70" s="48">
        <f t="shared" ref="F70" si="120">(F103+F104+F106+F107+F111+F112+F114+F115+F118+F119+F120+F121+F122+F105+F123+F124+F125+F126+F127)/F129</f>
        <v>0.24717247360294822</v>
      </c>
      <c r="H70" s="48"/>
      <c r="I70" s="48"/>
      <c r="J70" s="48"/>
      <c r="K70" s="48"/>
      <c r="L70" s="48">
        <f t="shared" ref="L70" si="121">(L103+L104+L106+L107+L111+L112+L114+L115+L118+L119+L120+L121+L122+L105+L123+L124+L125+L126+L127)/L129</f>
        <v>0.23119438471241774</v>
      </c>
      <c r="N70" s="48"/>
      <c r="O70" s="48"/>
      <c r="P70" s="48"/>
      <c r="Q70" s="48"/>
      <c r="R70" s="48">
        <f t="shared" ref="R70" si="122">(R103+R104+R106+R107+R111+R112+R114+R115+R118+R119+R120+R121+R122+R105+R123+R124+R125+R126+R127)/R129</f>
        <v>0.23825515401392897</v>
      </c>
      <c r="T70" s="48"/>
      <c r="U70" s="48"/>
      <c r="V70" s="48"/>
      <c r="W70" s="48"/>
      <c r="X70" s="48">
        <f t="shared" ref="X70" si="123">(X103+X104+X106+X107+X111+X112+X114+X115+X118+X119+X120+X121+X122+X105+X123+X124+X125+X126+X127)/X129</f>
        <v>0.23043514117364966</v>
      </c>
      <c r="Z70" s="48"/>
      <c r="AA70" s="48"/>
      <c r="AB70" s="48"/>
      <c r="AC70" s="48"/>
      <c r="AD70" s="48">
        <f t="shared" ref="AD70" si="124">(AD103+AD104+AD106+AD107+AD111+AD112+AD114+AD115+AD118+AD119+AD120+AD121+AD122+AD105+AD123+AD124+AD125+AD126+AD127)/AD129</f>
        <v>0.1965392913833244</v>
      </c>
      <c r="AF70" s="48"/>
      <c r="AG70" s="48"/>
      <c r="AH70" s="48"/>
      <c r="AI70" s="48"/>
      <c r="AJ70" s="48">
        <f t="shared" ref="AJ70" si="125">(AJ103+AJ104+AJ106+AJ107+AJ111+AJ112+AJ114+AJ115+AJ118+AJ119+AJ120+AJ121+AJ122+AJ105+AJ123+AJ124+AJ125+AJ126+AJ127)/AJ129</f>
        <v>0.22870217008534155</v>
      </c>
      <c r="AL70" s="48"/>
      <c r="AM70" s="48"/>
      <c r="AN70" s="48"/>
      <c r="AO70" s="48"/>
      <c r="AP70" s="48">
        <f t="shared" ref="AP70" si="126">(AP103+AP104+AP106+AP107+AP111+AP112+AP114+AP115+AP118+AP119+AP120+AP121+AP122+AP105+AP123+AP124+AP125+AP126+AP127)/AP129</f>
        <v>1</v>
      </c>
      <c r="AR70" s="48"/>
      <c r="AS70" s="48"/>
      <c r="AT70" s="48"/>
      <c r="AU70" s="48"/>
      <c r="AV70" s="48">
        <f t="shared" ref="AV70" si="127">(AV103+AV104+AV106+AV107+AV111+AV112+AV114+AV115+AV118+AV119+AV120+AV121+AV122+AV105+AV123+AV124+AV125+AV126+AV127)/AV129</f>
        <v>0.24639446693126887</v>
      </c>
      <c r="AX70" s="48"/>
      <c r="AY70" s="48"/>
      <c r="AZ70" s="48"/>
      <c r="BA70" s="48"/>
      <c r="BB70" s="48">
        <f t="shared" ref="BB70" si="128">(BB103+BB104+BB106+BB107+BB111+BB112+BB114+BB115+BB118+BB119+BB120+BB121+BB122+BB105+BB123+BB124+BB125+BB126+BB127)/BB129</f>
        <v>0.22993844811221878</v>
      </c>
    </row>
    <row r="71" spans="1:54" ht="15.75" thickBot="1" x14ac:dyDescent="0.3">
      <c r="A71" s="53" t="s">
        <v>67</v>
      </c>
      <c r="B71" s="52"/>
      <c r="C71" s="52"/>
      <c r="D71" s="52"/>
      <c r="E71" s="52"/>
      <c r="F71" s="52">
        <f>SUM(F209:F217)/F86</f>
        <v>0.11870417255406142</v>
      </c>
      <c r="H71" s="52"/>
      <c r="I71" s="52"/>
      <c r="J71" s="52"/>
      <c r="K71" s="52"/>
      <c r="L71" s="52">
        <f>SUM(L209:L217)/L86</f>
        <v>0.11539595127947558</v>
      </c>
      <c r="N71" s="52"/>
      <c r="O71" s="52"/>
      <c r="P71" s="52"/>
      <c r="Q71" s="52"/>
      <c r="R71" s="52">
        <f>SUM(R209:R217)/R86</f>
        <v>0.11397373635524309</v>
      </c>
      <c r="T71" s="52"/>
      <c r="U71" s="52"/>
      <c r="V71" s="52"/>
      <c r="W71" s="52"/>
      <c r="X71" s="52">
        <f>SUM(X209:X217)/X86</f>
        <v>0.11536572968822355</v>
      </c>
      <c r="Z71" s="52"/>
      <c r="AA71" s="52"/>
      <c r="AB71" s="52"/>
      <c r="AC71" s="52"/>
      <c r="AD71" s="52">
        <f>SUM(AD209:AD217)/AD86</f>
        <v>0.19362119446020615</v>
      </c>
      <c r="AF71" s="52"/>
      <c r="AG71" s="52"/>
      <c r="AH71" s="52"/>
      <c r="AI71" s="52"/>
      <c r="AJ71" s="52">
        <f>SUM(AJ209:AJ217)/AJ86</f>
        <v>0.19499784543829898</v>
      </c>
      <c r="AL71" s="52"/>
      <c r="AM71" s="52"/>
      <c r="AN71" s="52"/>
      <c r="AO71" s="52"/>
      <c r="AP71" s="52">
        <f>SUM(AP209:AP217)/AP86</f>
        <v>0</v>
      </c>
      <c r="AR71" s="52"/>
      <c r="AS71" s="52"/>
      <c r="AT71" s="52"/>
      <c r="AU71" s="52"/>
      <c r="AV71" s="52">
        <f>SUM(AV209:AV217)/AV86</f>
        <v>0</v>
      </c>
      <c r="AX71" s="52"/>
      <c r="AY71" s="52"/>
      <c r="AZ71" s="52"/>
      <c r="BA71" s="52"/>
      <c r="BB71" s="52">
        <f>SUM(BB209:BB217)/BB86</f>
        <v>0.14056960165722776</v>
      </c>
    </row>
    <row r="72" spans="1:54" x14ac:dyDescent="0.25">
      <c r="A72" s="54"/>
      <c r="B72" s="55"/>
      <c r="C72" s="55"/>
      <c r="D72" s="55"/>
      <c r="E72" s="55"/>
      <c r="F72" s="55"/>
      <c r="H72" s="55"/>
      <c r="I72" s="55"/>
      <c r="J72" s="55"/>
      <c r="K72" s="55"/>
      <c r="L72" s="55"/>
      <c r="N72" s="55"/>
      <c r="O72" s="55"/>
      <c r="P72" s="55"/>
      <c r="Q72" s="55"/>
      <c r="R72" s="55"/>
      <c r="T72" s="55"/>
      <c r="U72" s="55"/>
      <c r="V72" s="55"/>
      <c r="W72" s="55"/>
      <c r="X72" s="55"/>
      <c r="Z72" s="55"/>
      <c r="AA72" s="55"/>
      <c r="AB72" s="55"/>
      <c r="AC72" s="55"/>
      <c r="AD72" s="55"/>
      <c r="AF72" s="55"/>
      <c r="AG72" s="55"/>
      <c r="AH72" s="55"/>
      <c r="AI72" s="55"/>
      <c r="AJ72" s="55"/>
      <c r="AL72" s="55"/>
      <c r="AM72" s="55"/>
      <c r="AN72" s="55"/>
      <c r="AO72" s="55"/>
      <c r="AP72" s="55"/>
      <c r="AR72" s="55"/>
      <c r="AS72" s="55"/>
      <c r="AT72" s="55"/>
      <c r="AU72" s="55"/>
      <c r="AV72" s="55"/>
      <c r="AX72" s="55"/>
      <c r="AY72" s="55"/>
      <c r="AZ72" s="55"/>
      <c r="BA72" s="55"/>
      <c r="BB72" s="55"/>
    </row>
    <row r="73" spans="1:54" x14ac:dyDescent="0.25">
      <c r="A73" s="57" t="s">
        <v>246</v>
      </c>
      <c r="B73" s="58" t="str">
        <f>B1</f>
        <v>Operating</v>
      </c>
      <c r="C73" s="58" t="str">
        <f>C1</f>
        <v>Weights</v>
      </c>
      <c r="D73" s="58" t="s">
        <v>3</v>
      </c>
      <c r="E73" s="58" t="str">
        <f t="shared" ref="E73" si="129">E1</f>
        <v>NSLP</v>
      </c>
      <c r="F73" s="58" t="str">
        <f>F1</f>
        <v>Horizon</v>
      </c>
      <c r="H73" s="58" t="str">
        <f>H1</f>
        <v>Operating</v>
      </c>
      <c r="I73" s="58" t="str">
        <f>I1</f>
        <v>Weights</v>
      </c>
      <c r="J73" s="58" t="s">
        <v>3</v>
      </c>
      <c r="K73" s="58" t="str">
        <f t="shared" ref="K73" si="130">K1</f>
        <v>NSLP</v>
      </c>
      <c r="L73" s="58" t="str">
        <f>L1</f>
        <v>Cadence</v>
      </c>
      <c r="N73" s="58" t="str">
        <f>N1</f>
        <v>Operating</v>
      </c>
      <c r="O73" s="58" t="str">
        <f>O1</f>
        <v>Weights</v>
      </c>
      <c r="P73" s="58" t="s">
        <v>3</v>
      </c>
      <c r="Q73" s="58" t="str">
        <f t="shared" ref="Q73" si="131">Q1</f>
        <v>NSLP</v>
      </c>
      <c r="R73" s="58" t="str">
        <f>R1</f>
        <v>St. Rose</v>
      </c>
      <c r="T73" s="58" t="str">
        <f>T1</f>
        <v>Operating</v>
      </c>
      <c r="U73" s="58" t="str">
        <f>U1</f>
        <v>Weights</v>
      </c>
      <c r="V73" s="58" t="s">
        <v>3</v>
      </c>
      <c r="W73" s="58" t="str">
        <f t="shared" ref="W73" si="132">W1</f>
        <v>NSLP</v>
      </c>
      <c r="X73" s="58" t="str">
        <f>X1</f>
        <v>Inspirada</v>
      </c>
      <c r="Z73" s="58" t="str">
        <f>Z1</f>
        <v>Operating</v>
      </c>
      <c r="AA73" s="58" t="str">
        <f>AA1</f>
        <v>Weights</v>
      </c>
      <c r="AB73" s="58" t="s">
        <v>3</v>
      </c>
      <c r="AC73" s="58" t="str">
        <f t="shared" ref="AC73" si="133">AC1</f>
        <v>NSLP</v>
      </c>
      <c r="AD73" s="58" t="str">
        <f>AD1</f>
        <v>Sloan Canyon</v>
      </c>
      <c r="AF73" s="58" t="str">
        <f>AF1</f>
        <v>Operating</v>
      </c>
      <c r="AG73" s="58" t="str">
        <f>AG1</f>
        <v>Weights</v>
      </c>
      <c r="AH73" s="58" t="s">
        <v>3</v>
      </c>
      <c r="AI73" s="58" t="str">
        <f t="shared" ref="AI73" si="134">AI1</f>
        <v>NSLP</v>
      </c>
      <c r="AJ73" s="58" t="str">
        <f>AJ1</f>
        <v>Springs</v>
      </c>
      <c r="AL73" s="58" t="str">
        <f>AL1</f>
        <v>Operating</v>
      </c>
      <c r="AM73" s="58" t="str">
        <f>AM1</f>
        <v>Weights</v>
      </c>
      <c r="AN73" s="58" t="s">
        <v>3</v>
      </c>
      <c r="AO73" s="58" t="str">
        <f t="shared" ref="AO73" si="135">AO1</f>
        <v>NSLP</v>
      </c>
      <c r="AP73" s="58" t="str">
        <f>AP1</f>
        <v>System Wide</v>
      </c>
      <c r="AR73" s="58" t="str">
        <f>AR1</f>
        <v>Operating</v>
      </c>
      <c r="AS73" s="58" t="str">
        <f>AS1</f>
        <v>Weights</v>
      </c>
      <c r="AT73" s="58" t="s">
        <v>3</v>
      </c>
      <c r="AU73" s="58" t="str">
        <f t="shared" ref="AU73" si="136">AU1</f>
        <v>NSLP</v>
      </c>
      <c r="AV73" s="58" t="str">
        <f>AV1</f>
        <v>Virtual</v>
      </c>
      <c r="AX73" s="58" t="str">
        <f>AX1</f>
        <v>Operating</v>
      </c>
      <c r="AY73" s="58" t="str">
        <f>AY1</f>
        <v>Weights</v>
      </c>
      <c r="AZ73" s="58" t="s">
        <v>3</v>
      </c>
      <c r="BA73" s="58" t="str">
        <f t="shared" ref="BA73" si="137">BA1</f>
        <v>NSLP</v>
      </c>
      <c r="BB73" s="58" t="str">
        <f>BB1</f>
        <v>Pinecrest System</v>
      </c>
    </row>
    <row r="74" spans="1:54" x14ac:dyDescent="0.25">
      <c r="A74" s="60" t="s">
        <v>69</v>
      </c>
      <c r="B74" s="7">
        <f>(B2*B5)</f>
        <v>7281641.4291454405</v>
      </c>
      <c r="C74" s="7">
        <v>0</v>
      </c>
      <c r="D74" s="7">
        <v>0</v>
      </c>
      <c r="E74" s="7">
        <v>0</v>
      </c>
      <c r="F74" s="7">
        <f t="shared" ref="F74:F85" si="138">SUM(B74:E74)</f>
        <v>7281641.4291454405</v>
      </c>
      <c r="H74" s="7">
        <f>(H2*H5)</f>
        <v>19090970.157182597</v>
      </c>
      <c r="I74" s="7">
        <v>0</v>
      </c>
      <c r="J74" s="7">
        <v>0</v>
      </c>
      <c r="K74" s="7">
        <v>0</v>
      </c>
      <c r="L74" s="7">
        <f t="shared" ref="L74:L85" si="139">SUM(H74:K74)</f>
        <v>19090970.157182597</v>
      </c>
      <c r="N74" s="7">
        <f>(N2*N5)</f>
        <v>7904003.9444570169</v>
      </c>
      <c r="O74" s="7">
        <v>0</v>
      </c>
      <c r="P74" s="7">
        <v>0</v>
      </c>
      <c r="Q74" s="7">
        <v>0</v>
      </c>
      <c r="R74" s="7">
        <f t="shared" ref="R74:R85" si="140">SUM(N74:Q74)</f>
        <v>7904003.9444570169</v>
      </c>
      <c r="T74" s="7">
        <f>(T2*T5)</f>
        <v>9452130.7012945618</v>
      </c>
      <c r="U74" s="7">
        <v>0</v>
      </c>
      <c r="V74" s="7">
        <v>0</v>
      </c>
      <c r="W74" s="7">
        <v>0</v>
      </c>
      <c r="X74" s="7">
        <f t="shared" ref="X74:X85" si="141">SUM(T74:W74)</f>
        <v>9452130.7012945618</v>
      </c>
      <c r="Z74" s="7">
        <f>(Z2*Z5)</f>
        <v>18888702.339706335</v>
      </c>
      <c r="AA74" s="7">
        <v>0</v>
      </c>
      <c r="AB74" s="7">
        <v>0</v>
      </c>
      <c r="AC74" s="7">
        <v>0</v>
      </c>
      <c r="AD74" s="7">
        <f t="shared" ref="AD74:AD85" si="142">SUM(Z74:AC74)</f>
        <v>18888702.339706335</v>
      </c>
      <c r="AF74" s="7">
        <f>(AF2*AF5)</f>
        <v>9335437.7296736427</v>
      </c>
      <c r="AG74" s="7">
        <v>0</v>
      </c>
      <c r="AH74" s="7">
        <v>0</v>
      </c>
      <c r="AI74" s="7">
        <v>0</v>
      </c>
      <c r="AJ74" s="7">
        <f t="shared" ref="AJ74:AJ85" si="143">SUM(AF74:AI74)</f>
        <v>9335437.7296736427</v>
      </c>
      <c r="AL74" s="7">
        <f>(AL2*AL5)*0.97</f>
        <v>0</v>
      </c>
      <c r="AM74" s="7">
        <v>0</v>
      </c>
      <c r="AN74" s="7">
        <v>0</v>
      </c>
      <c r="AO74" s="7">
        <v>0</v>
      </c>
      <c r="AP74" s="7">
        <f t="shared" ref="AP74:AP85" si="144">SUM(AL74:AO74)</f>
        <v>0</v>
      </c>
      <c r="AR74" s="7">
        <f>(AR2*AR5)</f>
        <v>3114974.9999999995</v>
      </c>
      <c r="AS74" s="7">
        <v>0</v>
      </c>
      <c r="AT74" s="7">
        <v>0</v>
      </c>
      <c r="AU74" s="7">
        <v>0</v>
      </c>
      <c r="AV74" s="7">
        <f t="shared" ref="AV74:AV85" si="145">SUM(AR74:AU74)</f>
        <v>3114974.9999999995</v>
      </c>
      <c r="AX74" s="7">
        <f>B74+H74+N74+T74+Z74+AF74+AL74+AR74</f>
        <v>75067861.301459596</v>
      </c>
      <c r="AY74" s="7">
        <f t="shared" ref="AY74:BA85" si="146">C74+I74+O74+U74+AA74+AG74+AM74+AS74</f>
        <v>0</v>
      </c>
      <c r="AZ74" s="7">
        <f t="shared" si="146"/>
        <v>0</v>
      </c>
      <c r="BA74" s="7">
        <f t="shared" si="146"/>
        <v>0</v>
      </c>
      <c r="BB74" s="7">
        <f t="shared" ref="BB74:BB98" si="147">SUM(AX74:BA74)</f>
        <v>75067861.301459596</v>
      </c>
    </row>
    <row r="75" spans="1:54" x14ac:dyDescent="0.25">
      <c r="A75" s="62" t="s">
        <v>70</v>
      </c>
      <c r="B75" s="7">
        <f>(B3*B5)*0.95</f>
        <v>0</v>
      </c>
      <c r="C75" s="7">
        <v>0</v>
      </c>
      <c r="D75" s="7">
        <v>0</v>
      </c>
      <c r="E75" s="7">
        <v>0</v>
      </c>
      <c r="F75" s="7">
        <f t="shared" si="138"/>
        <v>0</v>
      </c>
      <c r="H75" s="7">
        <f>(H3*H5)*0.95</f>
        <v>0</v>
      </c>
      <c r="I75" s="7">
        <v>0</v>
      </c>
      <c r="J75" s="7">
        <v>0</v>
      </c>
      <c r="K75" s="7">
        <v>0</v>
      </c>
      <c r="L75" s="7">
        <f t="shared" si="139"/>
        <v>0</v>
      </c>
      <c r="N75" s="7">
        <f>(N3*N5)*0.95</f>
        <v>0</v>
      </c>
      <c r="O75" s="7">
        <v>0</v>
      </c>
      <c r="P75" s="7">
        <v>0</v>
      </c>
      <c r="Q75" s="7">
        <v>0</v>
      </c>
      <c r="R75" s="7">
        <f t="shared" si="140"/>
        <v>0</v>
      </c>
      <c r="T75" s="7">
        <f>(T3*T5)*0.95</f>
        <v>0</v>
      </c>
      <c r="U75" s="7">
        <v>0</v>
      </c>
      <c r="V75" s="7">
        <v>0</v>
      </c>
      <c r="W75" s="7">
        <v>0</v>
      </c>
      <c r="X75" s="7">
        <f t="shared" si="141"/>
        <v>0</v>
      </c>
      <c r="Z75" s="7">
        <f>(Z3*Z5)*0.95</f>
        <v>0</v>
      </c>
      <c r="AA75" s="7">
        <v>0</v>
      </c>
      <c r="AB75" s="7">
        <v>0</v>
      </c>
      <c r="AC75" s="7">
        <v>0</v>
      </c>
      <c r="AD75" s="7">
        <f t="shared" si="142"/>
        <v>0</v>
      </c>
      <c r="AF75" s="7">
        <f>(AF3*AF5)*0.95</f>
        <v>0</v>
      </c>
      <c r="AG75" s="7">
        <v>0</v>
      </c>
      <c r="AH75" s="7">
        <v>0</v>
      </c>
      <c r="AI75" s="7">
        <v>0</v>
      </c>
      <c r="AJ75" s="7">
        <f t="shared" si="143"/>
        <v>0</v>
      </c>
      <c r="AL75" s="7">
        <f>(AL3*AL5)*0.95</f>
        <v>0</v>
      </c>
      <c r="AM75" s="7">
        <v>0</v>
      </c>
      <c r="AN75" s="7">
        <v>0</v>
      </c>
      <c r="AO75" s="7">
        <v>0</v>
      </c>
      <c r="AP75" s="7">
        <f t="shared" si="144"/>
        <v>0</v>
      </c>
      <c r="AR75" s="7">
        <f>(AR3*AR5)*0.95</f>
        <v>0</v>
      </c>
      <c r="AS75" s="7">
        <v>0</v>
      </c>
      <c r="AT75" s="7">
        <v>0</v>
      </c>
      <c r="AU75" s="7">
        <v>15000</v>
      </c>
      <c r="AV75" s="7">
        <f t="shared" si="145"/>
        <v>15000</v>
      </c>
      <c r="AX75" s="7">
        <f t="shared" ref="AX75:AX85" si="148">B75+H75+N75+T75+Z75+AF75+AL75+AR75</f>
        <v>0</v>
      </c>
      <c r="AY75" s="7">
        <f t="shared" si="146"/>
        <v>0</v>
      </c>
      <c r="AZ75" s="7">
        <f t="shared" si="146"/>
        <v>0</v>
      </c>
      <c r="BA75" s="7">
        <f t="shared" si="146"/>
        <v>15000</v>
      </c>
      <c r="BB75" s="7">
        <f t="shared" si="147"/>
        <v>15000</v>
      </c>
    </row>
    <row r="76" spans="1:54" x14ac:dyDescent="0.25">
      <c r="A76" s="62" t="s">
        <v>71</v>
      </c>
      <c r="B76" s="7">
        <f>($C$19*B25)*3.15*180</f>
        <v>0</v>
      </c>
      <c r="C76" s="7">
        <f t="shared" ref="C76" si="149">($C$19*C25)*3.15*180</f>
        <v>0</v>
      </c>
      <c r="D76" s="7"/>
      <c r="E76" s="7">
        <f>((B19*E25)*3.5)*180</f>
        <v>224078.40000000002</v>
      </c>
      <c r="F76" s="7">
        <f t="shared" si="138"/>
        <v>224078.40000000002</v>
      </c>
      <c r="H76" s="7">
        <f>($C$19*H25)*3.15*180</f>
        <v>0</v>
      </c>
      <c r="I76" s="7">
        <f t="shared" ref="I76" si="150">($C$19*I25)*3.15*180</f>
        <v>0</v>
      </c>
      <c r="J76" s="7"/>
      <c r="K76" s="7">
        <f>((H19*K25)*3.5)*180</f>
        <v>618408</v>
      </c>
      <c r="L76" s="7">
        <f t="shared" si="139"/>
        <v>618408</v>
      </c>
      <c r="N76" s="7">
        <f>($C$19*N25)*3.15*180</f>
        <v>0</v>
      </c>
      <c r="O76" s="7">
        <f t="shared" ref="O76" si="151">($C$19*O25)*3.15*180</f>
        <v>0</v>
      </c>
      <c r="P76" s="7"/>
      <c r="Q76" s="7">
        <f>((N19*Q25)*3.5)*180</f>
        <v>192024</v>
      </c>
      <c r="R76" s="7">
        <f t="shared" si="140"/>
        <v>192024</v>
      </c>
      <c r="T76" s="7">
        <f>($C$19*T25)*3.15*180</f>
        <v>0</v>
      </c>
      <c r="U76" s="7">
        <f t="shared" ref="U76" si="152">($C$19*U25)*3.15*180</f>
        <v>0</v>
      </c>
      <c r="V76" s="7"/>
      <c r="W76" s="7">
        <f>((T19*W25)*3.5)*180</f>
        <v>114817.5</v>
      </c>
      <c r="X76" s="7">
        <f t="shared" si="141"/>
        <v>114817.5</v>
      </c>
      <c r="Z76" s="7">
        <f>($C$19*Z25)*3.15*180</f>
        <v>0</v>
      </c>
      <c r="AA76" s="7">
        <f t="shared" ref="AA76" si="153">($C$19*AA25)*3.15*180</f>
        <v>0</v>
      </c>
      <c r="AB76" s="7"/>
      <c r="AC76" s="7">
        <f>((Z19*AC25)*3.5)*180</f>
        <v>367113.6</v>
      </c>
      <c r="AD76" s="7">
        <f t="shared" si="142"/>
        <v>367113.6</v>
      </c>
      <c r="AF76" s="7">
        <f>($C$19*AF25)*3.15*180</f>
        <v>0</v>
      </c>
      <c r="AG76" s="7">
        <f t="shared" ref="AG76" si="154">($C$19*AG25)*3.15*180</f>
        <v>0</v>
      </c>
      <c r="AH76" s="7"/>
      <c r="AI76" s="357">
        <f>((AF19*AI25)*4.05)*180</f>
        <v>559871.99999999988</v>
      </c>
      <c r="AJ76" s="7">
        <f t="shared" si="143"/>
        <v>559871.99999999988</v>
      </c>
      <c r="AL76" s="7">
        <f>($C$19*AL25)*3.15*180</f>
        <v>0</v>
      </c>
      <c r="AM76" s="7">
        <f t="shared" ref="AM76" si="155">($C$19*AM25)*3.15*180</f>
        <v>0</v>
      </c>
      <c r="AN76" s="7"/>
      <c r="AO76" s="7">
        <f>((AL19*AO25)*3.5)*180</f>
        <v>0</v>
      </c>
      <c r="AP76" s="7">
        <f t="shared" si="144"/>
        <v>0</v>
      </c>
      <c r="AR76" s="7">
        <f>($C$19*AR25)*3.15*180</f>
        <v>0</v>
      </c>
      <c r="AS76" s="7">
        <f t="shared" ref="AS76" si="156">($C$19*AS25)*3.15*180</f>
        <v>0</v>
      </c>
      <c r="AT76" s="7"/>
      <c r="AU76" s="7">
        <f>(AR19*AU25)*3.3*180</f>
        <v>97415.999999999985</v>
      </c>
      <c r="AV76" s="7">
        <f t="shared" si="145"/>
        <v>97415.999999999985</v>
      </c>
      <c r="AX76" s="7">
        <f t="shared" si="148"/>
        <v>0</v>
      </c>
      <c r="AY76" s="7">
        <f t="shared" si="146"/>
        <v>0</v>
      </c>
      <c r="AZ76" s="7">
        <f t="shared" si="146"/>
        <v>0</v>
      </c>
      <c r="BA76" s="7">
        <f t="shared" si="146"/>
        <v>2173729.5</v>
      </c>
      <c r="BB76" s="7">
        <f t="shared" si="147"/>
        <v>2173729.5</v>
      </c>
    </row>
    <row r="77" spans="1:54" x14ac:dyDescent="0.25">
      <c r="A77" s="62" t="s">
        <v>72</v>
      </c>
      <c r="B77" s="7">
        <f>950*B22</f>
        <v>0</v>
      </c>
      <c r="C77" s="7">
        <f t="shared" ref="C77" si="157">950*C22</f>
        <v>0</v>
      </c>
      <c r="D77" s="7">
        <f>950*D22</f>
        <v>95942.602892102339</v>
      </c>
      <c r="E77" s="7">
        <v>0</v>
      </c>
      <c r="F77" s="7">
        <f t="shared" si="138"/>
        <v>95942.602892102339</v>
      </c>
      <c r="H77" s="7">
        <f>950*H22</f>
        <v>0</v>
      </c>
      <c r="I77" s="7">
        <f t="shared" ref="I77" si="158">950*I22</f>
        <v>0</v>
      </c>
      <c r="J77" s="7">
        <f>950*J22</f>
        <v>296087.56684491981</v>
      </c>
      <c r="K77" s="7">
        <v>0</v>
      </c>
      <c r="L77" s="7">
        <f t="shared" si="139"/>
        <v>296087.56684491981</v>
      </c>
      <c r="N77" s="7">
        <f>950*N22</f>
        <v>0</v>
      </c>
      <c r="O77" s="7">
        <f t="shared" ref="O77" si="159">950*O22</f>
        <v>0</v>
      </c>
      <c r="P77" s="7">
        <f>950*P22</f>
        <v>70300</v>
      </c>
      <c r="Q77" s="7">
        <v>0</v>
      </c>
      <c r="R77" s="7">
        <f t="shared" si="140"/>
        <v>70300</v>
      </c>
      <c r="T77" s="7">
        <f>950*T22</f>
        <v>0</v>
      </c>
      <c r="U77" s="7">
        <f t="shared" ref="U77" si="160">950*U22</f>
        <v>0</v>
      </c>
      <c r="V77" s="7">
        <f>950*V22</f>
        <v>103969.14095079232</v>
      </c>
      <c r="W77" s="7">
        <v>0</v>
      </c>
      <c r="X77" s="7">
        <f t="shared" si="141"/>
        <v>103969.14095079232</v>
      </c>
      <c r="Z77" s="7">
        <f>950*Z22</f>
        <v>0</v>
      </c>
      <c r="AA77" s="7">
        <f t="shared" ref="AA77" si="161">950*AA22</f>
        <v>0</v>
      </c>
      <c r="AB77" s="7">
        <f>950*AB22</f>
        <v>188721.81818181818</v>
      </c>
      <c r="AC77" s="7">
        <v>0</v>
      </c>
      <c r="AD77" s="7">
        <f t="shared" si="142"/>
        <v>188721.81818181818</v>
      </c>
      <c r="AF77" s="7">
        <f>950*AF22</f>
        <v>0</v>
      </c>
      <c r="AG77" s="7">
        <f t="shared" ref="AG77" si="162">950*AG22</f>
        <v>0</v>
      </c>
      <c r="AH77" s="7">
        <f>950*AH22</f>
        <v>123120</v>
      </c>
      <c r="AI77" s="7">
        <v>0</v>
      </c>
      <c r="AJ77" s="7">
        <f t="shared" si="143"/>
        <v>123120</v>
      </c>
      <c r="AL77" s="7">
        <f>950*AL22</f>
        <v>0</v>
      </c>
      <c r="AM77" s="7">
        <f t="shared" ref="AM77" si="163">950*AM22</f>
        <v>0</v>
      </c>
      <c r="AN77" s="7">
        <f>950*AN22</f>
        <v>0</v>
      </c>
      <c r="AO77" s="7">
        <v>0</v>
      </c>
      <c r="AP77" s="7">
        <f t="shared" si="144"/>
        <v>0</v>
      </c>
      <c r="AR77" s="7">
        <f>950*AR22</f>
        <v>0</v>
      </c>
      <c r="AS77" s="7">
        <f t="shared" ref="AS77" si="164">950*AS22</f>
        <v>0</v>
      </c>
      <c r="AT77" s="7">
        <f>950*AT22</f>
        <v>30400</v>
      </c>
      <c r="AU77" s="7">
        <v>0</v>
      </c>
      <c r="AV77" s="7">
        <f t="shared" si="145"/>
        <v>30400</v>
      </c>
      <c r="AX77" s="7">
        <f t="shared" si="148"/>
        <v>0</v>
      </c>
      <c r="AY77" s="7">
        <f t="shared" si="146"/>
        <v>0</v>
      </c>
      <c r="AZ77" s="7">
        <f t="shared" si="146"/>
        <v>908541.12886963272</v>
      </c>
      <c r="BA77" s="7">
        <f t="shared" si="146"/>
        <v>0</v>
      </c>
      <c r="BB77" s="7">
        <f t="shared" si="147"/>
        <v>908541.12886963272</v>
      </c>
    </row>
    <row r="78" spans="1:54" x14ac:dyDescent="0.25">
      <c r="A78" s="141" t="s">
        <v>73</v>
      </c>
      <c r="B78" s="37">
        <f>3200*B22</f>
        <v>0</v>
      </c>
      <c r="C78" s="37">
        <f t="shared" ref="C78" si="165">3200*C22</f>
        <v>0</v>
      </c>
      <c r="D78" s="37">
        <f>2600*D22</f>
        <v>262579.7552836485</v>
      </c>
      <c r="E78" s="7">
        <v>0</v>
      </c>
      <c r="F78" s="7">
        <f t="shared" si="138"/>
        <v>262579.7552836485</v>
      </c>
      <c r="H78" s="37">
        <f>3200*H22</f>
        <v>0</v>
      </c>
      <c r="I78" s="37">
        <f t="shared" ref="I78" si="166">3200*I22</f>
        <v>0</v>
      </c>
      <c r="J78" s="225">
        <f>2550*J22</f>
        <v>794761.36363636365</v>
      </c>
      <c r="K78" s="7">
        <v>0</v>
      </c>
      <c r="L78" s="7">
        <f t="shared" si="139"/>
        <v>794761.36363636365</v>
      </c>
      <c r="N78" s="37">
        <f>3200*N22</f>
        <v>0</v>
      </c>
      <c r="O78" s="37">
        <f t="shared" ref="O78" si="167">3200*O22</f>
        <v>0</v>
      </c>
      <c r="P78" s="225">
        <f>2550*P22</f>
        <v>188700</v>
      </c>
      <c r="Q78" s="7">
        <v>0</v>
      </c>
      <c r="R78" s="7">
        <f t="shared" si="140"/>
        <v>188700</v>
      </c>
      <c r="T78" s="37">
        <f>3200*T22</f>
        <v>0</v>
      </c>
      <c r="U78" s="37">
        <f t="shared" ref="U78" si="168">3200*U22</f>
        <v>0</v>
      </c>
      <c r="V78" s="225">
        <f>2550*V22</f>
        <v>279075.06255212676</v>
      </c>
      <c r="W78" s="7">
        <v>0</v>
      </c>
      <c r="X78" s="7">
        <f t="shared" si="141"/>
        <v>279075.06255212676</v>
      </c>
      <c r="Z78" s="37">
        <f>3200*Z22</f>
        <v>0</v>
      </c>
      <c r="AA78" s="37">
        <f t="shared" ref="AA78" si="169">3200*AA22</f>
        <v>0</v>
      </c>
      <c r="AB78" s="225">
        <f>2550*AB22</f>
        <v>506569.09090909094</v>
      </c>
      <c r="AC78" s="7">
        <v>0</v>
      </c>
      <c r="AD78" s="7">
        <f t="shared" si="142"/>
        <v>506569.09090909094</v>
      </c>
      <c r="AF78" s="37">
        <f>3200*AF22</f>
        <v>0</v>
      </c>
      <c r="AG78" s="37">
        <f t="shared" ref="AG78" si="170">3200*AG22</f>
        <v>0</v>
      </c>
      <c r="AH78" s="37">
        <f>2500*AH22</f>
        <v>324000</v>
      </c>
      <c r="AI78" s="7">
        <v>0</v>
      </c>
      <c r="AJ78" s="7">
        <f t="shared" si="143"/>
        <v>324000</v>
      </c>
      <c r="AL78" s="37">
        <f>3200*AL22</f>
        <v>0</v>
      </c>
      <c r="AM78" s="37">
        <f t="shared" ref="AM78" si="171">3200*AM22</f>
        <v>0</v>
      </c>
      <c r="AN78" s="37">
        <f>2600*AN22</f>
        <v>0</v>
      </c>
      <c r="AO78" s="7">
        <v>0</v>
      </c>
      <c r="AP78" s="7">
        <f t="shared" si="144"/>
        <v>0</v>
      </c>
      <c r="AR78" s="37">
        <f>3200*AR22</f>
        <v>0</v>
      </c>
      <c r="AS78" s="37">
        <f t="shared" ref="AS78" si="172">3200*AS22</f>
        <v>0</v>
      </c>
      <c r="AT78" s="37">
        <f>2350*AT22</f>
        <v>75200</v>
      </c>
      <c r="AU78" s="7">
        <v>0</v>
      </c>
      <c r="AV78" s="7">
        <f t="shared" si="145"/>
        <v>75200</v>
      </c>
      <c r="AX78" s="7">
        <f t="shared" si="148"/>
        <v>0</v>
      </c>
      <c r="AY78" s="7">
        <f t="shared" si="146"/>
        <v>0</v>
      </c>
      <c r="AZ78" s="7">
        <f t="shared" si="146"/>
        <v>2430885.2723812298</v>
      </c>
      <c r="BA78" s="7">
        <f t="shared" si="146"/>
        <v>0</v>
      </c>
      <c r="BB78" s="7">
        <f t="shared" si="147"/>
        <v>2430885.2723812298</v>
      </c>
    </row>
    <row r="79" spans="1:54" x14ac:dyDescent="0.25">
      <c r="A79" s="62" t="s">
        <v>74</v>
      </c>
      <c r="B79" s="37">
        <f>1400*B23</f>
        <v>0</v>
      </c>
      <c r="C79" s="37">
        <f>1817*C23</f>
        <v>28376.729699666295</v>
      </c>
      <c r="D79" s="37">
        <v>0</v>
      </c>
      <c r="E79" s="7">
        <v>0</v>
      </c>
      <c r="F79" s="7">
        <f t="shared" si="138"/>
        <v>28376.729699666295</v>
      </c>
      <c r="H79" s="37">
        <f>1400*H23</f>
        <v>0</v>
      </c>
      <c r="I79" s="37">
        <f>1794*I23</f>
        <v>64742.294117647056</v>
      </c>
      <c r="J79" s="37">
        <v>0</v>
      </c>
      <c r="K79" s="7">
        <v>0</v>
      </c>
      <c r="L79" s="7">
        <f t="shared" si="139"/>
        <v>64742.294117647056</v>
      </c>
      <c r="N79" s="37">
        <f>1400*N23</f>
        <v>0</v>
      </c>
      <c r="O79" s="37">
        <f>1794*O23</f>
        <v>32292</v>
      </c>
      <c r="P79" s="37">
        <v>0</v>
      </c>
      <c r="Q79" s="7">
        <v>0</v>
      </c>
      <c r="R79" s="7">
        <f t="shared" si="140"/>
        <v>32292</v>
      </c>
      <c r="T79" s="37">
        <f>1400*T23</f>
        <v>0</v>
      </c>
      <c r="U79" s="37">
        <f>1794*U23</f>
        <v>14543.51959966639</v>
      </c>
      <c r="V79" s="37">
        <v>0</v>
      </c>
      <c r="W79" s="7">
        <v>0</v>
      </c>
      <c r="X79" s="7">
        <f t="shared" si="141"/>
        <v>14543.51959966639</v>
      </c>
      <c r="Z79" s="37">
        <f>1400*Z23</f>
        <v>0</v>
      </c>
      <c r="AA79" s="37">
        <f>1794*AA23</f>
        <v>47934.99330143541</v>
      </c>
      <c r="AB79" s="37">
        <v>0</v>
      </c>
      <c r="AC79" s="7">
        <v>0</v>
      </c>
      <c r="AD79" s="7">
        <f t="shared" si="142"/>
        <v>47934.99330143541</v>
      </c>
      <c r="AF79" s="37">
        <f>1400*AF23</f>
        <v>0</v>
      </c>
      <c r="AG79" s="37">
        <f>1794*AG23</f>
        <v>561880.79999999993</v>
      </c>
      <c r="AH79" s="37">
        <v>0</v>
      </c>
      <c r="AI79" s="7">
        <v>0</v>
      </c>
      <c r="AJ79" s="7">
        <f t="shared" si="143"/>
        <v>561880.79999999993</v>
      </c>
      <c r="AL79" s="37">
        <f>1400*AL23</f>
        <v>0</v>
      </c>
      <c r="AM79" s="37">
        <f>1669*AM23</f>
        <v>0</v>
      </c>
      <c r="AN79" s="37">
        <v>0</v>
      </c>
      <c r="AO79" s="7">
        <v>0</v>
      </c>
      <c r="AP79" s="7">
        <f t="shared" si="144"/>
        <v>0</v>
      </c>
      <c r="AR79" s="37">
        <f>1400*AR23</f>
        <v>0</v>
      </c>
      <c r="AS79" s="37">
        <f>1740*AS23</f>
        <v>0</v>
      </c>
      <c r="AT79" s="37">
        <v>0</v>
      </c>
      <c r="AU79" s="7">
        <v>0</v>
      </c>
      <c r="AV79" s="7">
        <f t="shared" si="145"/>
        <v>0</v>
      </c>
      <c r="AX79" s="7">
        <f t="shared" si="148"/>
        <v>0</v>
      </c>
      <c r="AY79" s="7">
        <f t="shared" si="146"/>
        <v>749770.33671841514</v>
      </c>
      <c r="AZ79" s="7">
        <f t="shared" si="146"/>
        <v>0</v>
      </c>
      <c r="BA79" s="7">
        <f t="shared" si="146"/>
        <v>0</v>
      </c>
      <c r="BB79" s="7">
        <f t="shared" si="147"/>
        <v>749770.33671841514</v>
      </c>
    </row>
    <row r="80" spans="1:54" x14ac:dyDescent="0.25">
      <c r="A80" s="62" t="s">
        <v>75</v>
      </c>
      <c r="B80" s="7">
        <f>830*B24</f>
        <v>0</v>
      </c>
      <c r="C80" s="7">
        <f>928*C24</f>
        <v>42512.516129032258</v>
      </c>
      <c r="D80" s="37">
        <v>0</v>
      </c>
      <c r="E80" s="7">
        <v>0</v>
      </c>
      <c r="F80" s="7">
        <f t="shared" si="138"/>
        <v>42512.516129032258</v>
      </c>
      <c r="H80" s="7">
        <f>830*H24</f>
        <v>0</v>
      </c>
      <c r="I80" s="7">
        <f>916*I24</f>
        <v>52089.54010695187</v>
      </c>
      <c r="J80" s="37">
        <v>0</v>
      </c>
      <c r="K80" s="7">
        <v>0</v>
      </c>
      <c r="L80" s="7">
        <f t="shared" si="139"/>
        <v>52089.54010695187</v>
      </c>
      <c r="N80" s="7">
        <f>830*N24</f>
        <v>0</v>
      </c>
      <c r="O80" s="7">
        <f>916*O24</f>
        <v>42136</v>
      </c>
      <c r="P80" s="37">
        <v>0</v>
      </c>
      <c r="Q80" s="7">
        <v>0</v>
      </c>
      <c r="R80" s="7">
        <f t="shared" si="140"/>
        <v>42136</v>
      </c>
      <c r="T80" s="7">
        <f>830*T24</f>
        <v>0</v>
      </c>
      <c r="U80" s="7">
        <f>916*U24</f>
        <v>71473.211009174309</v>
      </c>
      <c r="V80" s="37">
        <v>0</v>
      </c>
      <c r="W80" s="7">
        <v>0</v>
      </c>
      <c r="X80" s="7">
        <f t="shared" si="141"/>
        <v>71473.211009174309</v>
      </c>
      <c r="Z80" s="7">
        <f>830*Z24</f>
        <v>0</v>
      </c>
      <c r="AA80" s="7">
        <f>916*AA24</f>
        <v>68104.819138755978</v>
      </c>
      <c r="AB80" s="37">
        <v>0</v>
      </c>
      <c r="AC80" s="7">
        <v>0</v>
      </c>
      <c r="AD80" s="7">
        <f t="shared" si="142"/>
        <v>68104.819138755978</v>
      </c>
      <c r="AF80" s="7">
        <f>830*AF24</f>
        <v>0</v>
      </c>
      <c r="AG80" s="7">
        <f>916*AG24</f>
        <v>29678.399999999998</v>
      </c>
      <c r="AH80" s="37">
        <v>0</v>
      </c>
      <c r="AI80" s="7">
        <v>0</v>
      </c>
      <c r="AJ80" s="7">
        <f t="shared" si="143"/>
        <v>29678.399999999998</v>
      </c>
      <c r="AL80" s="7">
        <f>830*AL24</f>
        <v>0</v>
      </c>
      <c r="AM80" s="7">
        <f>862*AM24</f>
        <v>0</v>
      </c>
      <c r="AN80" s="37">
        <v>0</v>
      </c>
      <c r="AO80" s="7">
        <v>0</v>
      </c>
      <c r="AP80" s="7">
        <f t="shared" si="144"/>
        <v>0</v>
      </c>
      <c r="AR80" s="7">
        <f>830*AR24</f>
        <v>0</v>
      </c>
      <c r="AS80" s="7">
        <v>0</v>
      </c>
      <c r="AT80" s="37">
        <v>0</v>
      </c>
      <c r="AU80" s="7">
        <v>0</v>
      </c>
      <c r="AV80" s="7">
        <f t="shared" si="145"/>
        <v>0</v>
      </c>
      <c r="AX80" s="7">
        <f t="shared" si="148"/>
        <v>0</v>
      </c>
      <c r="AY80" s="7">
        <f t="shared" si="146"/>
        <v>305994.48638391442</v>
      </c>
      <c r="AZ80" s="7">
        <f t="shared" si="146"/>
        <v>0</v>
      </c>
      <c r="BA80" s="7">
        <f t="shared" si="146"/>
        <v>0</v>
      </c>
      <c r="BB80" s="7">
        <f t="shared" si="147"/>
        <v>305994.48638391442</v>
      </c>
    </row>
    <row r="81" spans="1:54" x14ac:dyDescent="0.25">
      <c r="A81" s="62" t="s">
        <v>76</v>
      </c>
      <c r="B81" s="7">
        <f>240*B26</f>
        <v>0</v>
      </c>
      <c r="C81" s="7">
        <f>C26*271</f>
        <v>65459.612903225803</v>
      </c>
      <c r="D81" s="37">
        <v>0</v>
      </c>
      <c r="E81" s="7">
        <v>0</v>
      </c>
      <c r="F81" s="7">
        <f t="shared" si="138"/>
        <v>65459.612903225803</v>
      </c>
      <c r="H81" s="7">
        <f>240*H26</f>
        <v>0</v>
      </c>
      <c r="I81" s="7">
        <f>I26*271</f>
        <v>153218.61764705883</v>
      </c>
      <c r="J81" s="37">
        <v>0</v>
      </c>
      <c r="K81" s="7">
        <v>0</v>
      </c>
      <c r="L81" s="7">
        <f t="shared" si="139"/>
        <v>153218.61764705883</v>
      </c>
      <c r="N81" s="7">
        <f>240*N26</f>
        <v>0</v>
      </c>
      <c r="O81" s="7">
        <f>O26*271</f>
        <v>65311</v>
      </c>
      <c r="P81" s="37">
        <v>0</v>
      </c>
      <c r="Q81" s="7">
        <v>0</v>
      </c>
      <c r="R81" s="7">
        <f t="shared" si="140"/>
        <v>65311</v>
      </c>
      <c r="T81" s="7">
        <f>240*T26</f>
        <v>0</v>
      </c>
      <c r="U81" s="7">
        <f>U26*271</f>
        <v>35974.741451209346</v>
      </c>
      <c r="V81" s="37">
        <v>0</v>
      </c>
      <c r="W81" s="7">
        <v>0</v>
      </c>
      <c r="X81" s="7">
        <f t="shared" si="141"/>
        <v>35974.741451209346</v>
      </c>
      <c r="Z81" s="7">
        <f>240*Z26</f>
        <v>0</v>
      </c>
      <c r="AA81" s="7">
        <f>AA26*271</f>
        <v>77132.564593301431</v>
      </c>
      <c r="AB81" s="37">
        <v>0</v>
      </c>
      <c r="AC81" s="7">
        <v>0</v>
      </c>
      <c r="AD81" s="7">
        <f t="shared" si="142"/>
        <v>77132.564593301431</v>
      </c>
      <c r="AF81" s="7">
        <f>240*AF26</f>
        <v>0</v>
      </c>
      <c r="AG81" s="7">
        <f>AG26*271</f>
        <v>71413.920000000027</v>
      </c>
      <c r="AH81" s="37">
        <v>0</v>
      </c>
      <c r="AI81" s="7">
        <v>0</v>
      </c>
      <c r="AJ81" s="7">
        <f t="shared" si="143"/>
        <v>71413.920000000027</v>
      </c>
      <c r="AL81" s="7">
        <f>240*AL26</f>
        <v>0</v>
      </c>
      <c r="AM81" s="7">
        <f>AM26*247</f>
        <v>0</v>
      </c>
      <c r="AN81" s="37">
        <v>0</v>
      </c>
      <c r="AO81" s="7">
        <v>0</v>
      </c>
      <c r="AP81" s="7">
        <f t="shared" si="144"/>
        <v>0</v>
      </c>
      <c r="AR81" s="7">
        <f>240*AR26</f>
        <v>0</v>
      </c>
      <c r="AS81" s="7">
        <f>263*'FY24'!AS26</f>
        <v>10520</v>
      </c>
      <c r="AT81" s="37">
        <v>0</v>
      </c>
      <c r="AU81" s="7">
        <v>0</v>
      </c>
      <c r="AV81" s="7">
        <f t="shared" si="145"/>
        <v>10520</v>
      </c>
      <c r="AX81" s="7">
        <f t="shared" si="148"/>
        <v>0</v>
      </c>
      <c r="AY81" s="7">
        <f t="shared" si="146"/>
        <v>479030.45659479545</v>
      </c>
      <c r="AZ81" s="7">
        <f t="shared" si="146"/>
        <v>0</v>
      </c>
      <c r="BA81" s="7">
        <f t="shared" si="146"/>
        <v>0</v>
      </c>
      <c r="BB81" s="7">
        <f t="shared" si="147"/>
        <v>479030.45659479545</v>
      </c>
    </row>
    <row r="82" spans="1:54" x14ac:dyDescent="0.25">
      <c r="A82" s="62" t="s">
        <v>247</v>
      </c>
      <c r="B82" s="7"/>
      <c r="C82" s="7">
        <v>0</v>
      </c>
      <c r="D82" s="37">
        <v>0</v>
      </c>
      <c r="E82" s="7">
        <v>0</v>
      </c>
      <c r="F82" s="7">
        <f t="shared" si="138"/>
        <v>0</v>
      </c>
      <c r="H82" s="7">
        <f>AV155</f>
        <v>492000</v>
      </c>
      <c r="I82" s="7">
        <v>0</v>
      </c>
      <c r="J82" s="37">
        <v>0</v>
      </c>
      <c r="K82" s="7">
        <v>0</v>
      </c>
      <c r="L82" s="7">
        <f t="shared" si="139"/>
        <v>492000</v>
      </c>
      <c r="N82" s="7">
        <v>0</v>
      </c>
      <c r="O82" s="7">
        <v>0</v>
      </c>
      <c r="P82" s="37">
        <v>0</v>
      </c>
      <c r="Q82" s="7">
        <v>0</v>
      </c>
      <c r="R82" s="7">
        <f t="shared" si="140"/>
        <v>0</v>
      </c>
      <c r="T82" s="7">
        <v>0</v>
      </c>
      <c r="U82" s="7">
        <v>0</v>
      </c>
      <c r="V82" s="37">
        <v>0</v>
      </c>
      <c r="W82" s="7">
        <v>0</v>
      </c>
      <c r="X82" s="7">
        <f t="shared" si="141"/>
        <v>0</v>
      </c>
      <c r="Z82" s="7">
        <v>0</v>
      </c>
      <c r="AA82" s="7">
        <v>0</v>
      </c>
      <c r="AB82" s="37">
        <v>0</v>
      </c>
      <c r="AC82" s="7">
        <v>0</v>
      </c>
      <c r="AD82" s="7">
        <f t="shared" si="142"/>
        <v>0</v>
      </c>
      <c r="AF82" s="7">
        <v>0</v>
      </c>
      <c r="AG82" s="7">
        <v>0</v>
      </c>
      <c r="AH82" s="37">
        <v>0</v>
      </c>
      <c r="AI82" s="7">
        <v>0</v>
      </c>
      <c r="AJ82" s="7">
        <f t="shared" si="143"/>
        <v>0</v>
      </c>
      <c r="AL82" s="7">
        <v>0</v>
      </c>
      <c r="AM82" s="7">
        <v>0</v>
      </c>
      <c r="AN82" s="37">
        <v>0</v>
      </c>
      <c r="AO82" s="7">
        <v>0</v>
      </c>
      <c r="AP82" s="7">
        <f t="shared" si="144"/>
        <v>0</v>
      </c>
      <c r="AR82" s="7"/>
      <c r="AS82" s="7">
        <v>0</v>
      </c>
      <c r="AT82" s="37">
        <v>0</v>
      </c>
      <c r="AU82" s="7">
        <v>0</v>
      </c>
      <c r="AV82" s="7">
        <f t="shared" si="145"/>
        <v>0</v>
      </c>
      <c r="AX82" s="7">
        <f t="shared" si="148"/>
        <v>492000</v>
      </c>
      <c r="AY82" s="7">
        <f t="shared" si="146"/>
        <v>0</v>
      </c>
      <c r="AZ82" s="7">
        <f t="shared" si="146"/>
        <v>0</v>
      </c>
      <c r="BA82" s="7">
        <f t="shared" si="146"/>
        <v>0</v>
      </c>
      <c r="BB82" s="7">
        <f t="shared" si="147"/>
        <v>492000</v>
      </c>
    </row>
    <row r="83" spans="1:54" x14ac:dyDescent="0.25">
      <c r="A83" s="154" t="s">
        <v>78</v>
      </c>
      <c r="B83" s="7">
        <v>0</v>
      </c>
      <c r="C83" s="7">
        <v>0</v>
      </c>
      <c r="D83" s="37">
        <v>0</v>
      </c>
      <c r="E83" s="7">
        <v>0</v>
      </c>
      <c r="F83" s="7">
        <f t="shared" si="138"/>
        <v>0</v>
      </c>
      <c r="H83" s="7">
        <v>0</v>
      </c>
      <c r="I83" s="7">
        <v>0</v>
      </c>
      <c r="J83" s="37">
        <v>0</v>
      </c>
      <c r="K83" s="7">
        <v>0</v>
      </c>
      <c r="L83" s="7">
        <f t="shared" si="139"/>
        <v>0</v>
      </c>
      <c r="N83" s="7">
        <v>0</v>
      </c>
      <c r="O83" s="7">
        <v>0</v>
      </c>
      <c r="P83" s="37">
        <v>0</v>
      </c>
      <c r="Q83" s="7">
        <v>0</v>
      </c>
      <c r="R83" s="7">
        <f t="shared" si="140"/>
        <v>0</v>
      </c>
      <c r="T83" s="7">
        <v>0</v>
      </c>
      <c r="U83" s="7">
        <v>0</v>
      </c>
      <c r="V83" s="37">
        <v>0</v>
      </c>
      <c r="W83" s="7">
        <v>0</v>
      </c>
      <c r="X83" s="7">
        <f t="shared" si="141"/>
        <v>0</v>
      </c>
      <c r="Z83" s="7">
        <v>0</v>
      </c>
      <c r="AA83" s="7">
        <v>0</v>
      </c>
      <c r="AB83" s="37">
        <v>0</v>
      </c>
      <c r="AC83" s="7">
        <v>0</v>
      </c>
      <c r="AD83" s="7">
        <f t="shared" si="142"/>
        <v>0</v>
      </c>
      <c r="AF83" s="7">
        <v>0</v>
      </c>
      <c r="AG83" s="7">
        <v>0</v>
      </c>
      <c r="AH83" s="37">
        <v>0</v>
      </c>
      <c r="AI83" s="7">
        <v>0</v>
      </c>
      <c r="AJ83" s="7">
        <f t="shared" si="143"/>
        <v>0</v>
      </c>
      <c r="AL83" s="7">
        <v>0</v>
      </c>
      <c r="AM83" s="7">
        <v>0</v>
      </c>
      <c r="AN83" s="37">
        <v>0</v>
      </c>
      <c r="AO83" s="7">
        <v>0</v>
      </c>
      <c r="AP83" s="7">
        <f t="shared" si="144"/>
        <v>0</v>
      </c>
      <c r="AR83" s="7">
        <v>0</v>
      </c>
      <c r="AS83" s="7">
        <v>0</v>
      </c>
      <c r="AT83" s="37">
        <v>0</v>
      </c>
      <c r="AU83" s="7">
        <v>0</v>
      </c>
      <c r="AV83" s="7">
        <f t="shared" si="145"/>
        <v>0</v>
      </c>
      <c r="AX83" s="7">
        <f t="shared" si="148"/>
        <v>0</v>
      </c>
      <c r="AY83" s="7">
        <f t="shared" si="146"/>
        <v>0</v>
      </c>
      <c r="AZ83" s="7">
        <f t="shared" si="146"/>
        <v>0</v>
      </c>
      <c r="BA83" s="7">
        <f t="shared" si="146"/>
        <v>0</v>
      </c>
      <c r="BB83" s="7">
        <f t="shared" si="147"/>
        <v>0</v>
      </c>
    </row>
    <row r="84" spans="1:54" x14ac:dyDescent="0.25">
      <c r="A84" s="62" t="s">
        <v>77</v>
      </c>
      <c r="B84" s="7"/>
      <c r="C84" s="7">
        <v>0</v>
      </c>
      <c r="D84" s="37">
        <v>0</v>
      </c>
      <c r="E84" s="7">
        <v>0</v>
      </c>
      <c r="F84" s="7">
        <f t="shared" si="138"/>
        <v>0</v>
      </c>
      <c r="H84" s="7"/>
      <c r="I84" s="7">
        <v>0</v>
      </c>
      <c r="J84" s="37">
        <v>0</v>
      </c>
      <c r="K84" s="7">
        <v>0</v>
      </c>
      <c r="L84" s="7">
        <f t="shared" si="139"/>
        <v>0</v>
      </c>
      <c r="N84" s="7"/>
      <c r="O84" s="7">
        <v>0</v>
      </c>
      <c r="P84" s="37">
        <v>0</v>
      </c>
      <c r="Q84" s="7">
        <v>0</v>
      </c>
      <c r="R84" s="7">
        <f t="shared" si="140"/>
        <v>0</v>
      </c>
      <c r="T84" s="7"/>
      <c r="U84" s="7">
        <v>0</v>
      </c>
      <c r="V84" s="37">
        <v>0</v>
      </c>
      <c r="W84" s="7">
        <v>0</v>
      </c>
      <c r="X84" s="7">
        <f t="shared" si="141"/>
        <v>0</v>
      </c>
      <c r="Z84" s="7"/>
      <c r="AA84" s="7">
        <v>0</v>
      </c>
      <c r="AB84" s="37">
        <v>0</v>
      </c>
      <c r="AC84" s="7">
        <v>0</v>
      </c>
      <c r="AD84" s="7">
        <f t="shared" si="142"/>
        <v>0</v>
      </c>
      <c r="AF84" s="7"/>
      <c r="AG84" s="7">
        <v>0</v>
      </c>
      <c r="AH84" s="37">
        <v>0</v>
      </c>
      <c r="AI84" s="7">
        <v>0</v>
      </c>
      <c r="AJ84" s="7">
        <f t="shared" si="143"/>
        <v>0</v>
      </c>
      <c r="AL84" s="7"/>
      <c r="AM84" s="7">
        <v>0</v>
      </c>
      <c r="AN84" s="37">
        <v>0</v>
      </c>
      <c r="AO84" s="7">
        <v>0</v>
      </c>
      <c r="AP84" s="7">
        <f t="shared" si="144"/>
        <v>0</v>
      </c>
      <c r="AR84" s="7"/>
      <c r="AS84" s="7">
        <v>0</v>
      </c>
      <c r="AT84" s="37">
        <v>0</v>
      </c>
      <c r="AU84" s="7">
        <v>0</v>
      </c>
      <c r="AV84" s="7">
        <f t="shared" si="145"/>
        <v>0</v>
      </c>
      <c r="AX84" s="7">
        <f t="shared" si="148"/>
        <v>0</v>
      </c>
      <c r="AY84" s="7">
        <f t="shared" si="146"/>
        <v>0</v>
      </c>
      <c r="AZ84" s="7">
        <f t="shared" si="146"/>
        <v>0</v>
      </c>
      <c r="BA84" s="7">
        <f t="shared" si="146"/>
        <v>0</v>
      </c>
      <c r="BB84" s="7">
        <f t="shared" si="147"/>
        <v>0</v>
      </c>
    </row>
    <row r="85" spans="1:54" ht="15.75" thickBot="1" x14ac:dyDescent="0.3">
      <c r="A85" s="65" t="s">
        <v>79</v>
      </c>
      <c r="B85" s="37">
        <f>B158</f>
        <v>14120</v>
      </c>
      <c r="C85" s="37">
        <f>C158</f>
        <v>720</v>
      </c>
      <c r="D85" s="37">
        <f>D158</f>
        <v>2160</v>
      </c>
      <c r="E85" s="37">
        <f>E158</f>
        <v>240</v>
      </c>
      <c r="F85" s="7">
        <f t="shared" si="138"/>
        <v>17240</v>
      </c>
      <c r="H85" s="37">
        <f>H158</f>
        <v>31760</v>
      </c>
      <c r="I85" s="37">
        <f>I158</f>
        <v>2880</v>
      </c>
      <c r="J85" s="37">
        <f>J158</f>
        <v>6960</v>
      </c>
      <c r="K85" s="7">
        <v>0</v>
      </c>
      <c r="L85" s="7">
        <f t="shared" si="139"/>
        <v>41600</v>
      </c>
      <c r="N85" s="37">
        <f>N158</f>
        <v>14960</v>
      </c>
      <c r="O85" s="37">
        <f>O158</f>
        <v>1200</v>
      </c>
      <c r="P85" s="37">
        <f>P158</f>
        <v>1999.2</v>
      </c>
      <c r="Q85" s="7">
        <v>0</v>
      </c>
      <c r="R85" s="7">
        <f t="shared" si="140"/>
        <v>18159.2</v>
      </c>
      <c r="T85" s="37">
        <f>T158</f>
        <v>17960</v>
      </c>
      <c r="U85" s="37">
        <f>U158</f>
        <v>840</v>
      </c>
      <c r="V85" s="37">
        <f>V158</f>
        <v>3201.6</v>
      </c>
      <c r="W85" s="7">
        <v>0</v>
      </c>
      <c r="X85" s="7">
        <f t="shared" si="141"/>
        <v>22001.599999999999</v>
      </c>
      <c r="Z85" s="37">
        <f>Z158</f>
        <v>30080</v>
      </c>
      <c r="AA85" s="37">
        <f>AA158</f>
        <v>1320</v>
      </c>
      <c r="AB85" s="37">
        <f>AB158</f>
        <v>5479.2</v>
      </c>
      <c r="AC85" s="7">
        <v>0</v>
      </c>
      <c r="AD85" s="7">
        <f t="shared" si="142"/>
        <v>36879.199999999997</v>
      </c>
      <c r="AF85" s="37">
        <f>AF158</f>
        <v>16520</v>
      </c>
      <c r="AG85" s="37">
        <f>AG158</f>
        <v>1080</v>
      </c>
      <c r="AH85" s="37">
        <f>AH158</f>
        <v>2520</v>
      </c>
      <c r="AI85" s="37">
        <f>AI158</f>
        <v>240</v>
      </c>
      <c r="AJ85" s="7">
        <f t="shared" si="143"/>
        <v>20360</v>
      </c>
      <c r="AL85" s="37">
        <f>AL158</f>
        <v>2720</v>
      </c>
      <c r="AM85" s="37">
        <f>AM158</f>
        <v>120</v>
      </c>
      <c r="AN85" s="37">
        <f>AN158</f>
        <v>0</v>
      </c>
      <c r="AO85" s="7">
        <v>0</v>
      </c>
      <c r="AP85" s="7">
        <f t="shared" si="144"/>
        <v>2840</v>
      </c>
      <c r="AR85" s="37">
        <f>AR158</f>
        <v>2240</v>
      </c>
      <c r="AS85" s="37">
        <f>AS158</f>
        <v>0</v>
      </c>
      <c r="AT85" s="37">
        <f>AT158</f>
        <v>480</v>
      </c>
      <c r="AU85" s="7">
        <v>0</v>
      </c>
      <c r="AV85" s="7">
        <f t="shared" si="145"/>
        <v>2720</v>
      </c>
      <c r="AX85" s="7">
        <f t="shared" si="148"/>
        <v>130360</v>
      </c>
      <c r="AY85" s="7">
        <f t="shared" si="146"/>
        <v>8160</v>
      </c>
      <c r="AZ85" s="7">
        <f t="shared" si="146"/>
        <v>22800</v>
      </c>
      <c r="BA85" s="7">
        <f t="shared" si="146"/>
        <v>480</v>
      </c>
      <c r="BB85" s="7">
        <f t="shared" si="147"/>
        <v>161800</v>
      </c>
    </row>
    <row r="86" spans="1:54" ht="15.75" thickBot="1" x14ac:dyDescent="0.3">
      <c r="A86" s="67" t="s">
        <v>80</v>
      </c>
      <c r="B86" s="68">
        <f>SUM(B74:B85)</f>
        <v>7295761.4291454405</v>
      </c>
      <c r="C86" s="68">
        <f>SUM(C74:C85)</f>
        <v>137068.85873192435</v>
      </c>
      <c r="D86" s="68">
        <f>SUM(D74:D85)</f>
        <v>360682.35817575082</v>
      </c>
      <c r="E86" s="68">
        <f t="shared" ref="E86:F86" si="173">SUM(E74:E85)</f>
        <v>224318.40000000002</v>
      </c>
      <c r="F86" s="68">
        <f t="shared" si="173"/>
        <v>8017831.0460531171</v>
      </c>
      <c r="H86" s="68">
        <f>SUM(H74:H85)</f>
        <v>19614730.157182597</v>
      </c>
      <c r="I86" s="68">
        <f>SUM(I74:I85)</f>
        <v>272930.45187165774</v>
      </c>
      <c r="J86" s="68">
        <f>SUM(J74:J85)</f>
        <v>1097808.9304812835</v>
      </c>
      <c r="K86" s="68">
        <f t="shared" ref="K86:L86" si="174">SUM(K74:K85)</f>
        <v>618408</v>
      </c>
      <c r="L86" s="68">
        <f t="shared" si="174"/>
        <v>21603877.539535541</v>
      </c>
      <c r="N86" s="68">
        <f>SUM(N74:N85)</f>
        <v>7918963.9444570169</v>
      </c>
      <c r="O86" s="68">
        <f>SUM(O74:O85)</f>
        <v>140939</v>
      </c>
      <c r="P86" s="68">
        <f>SUM(P74:P85)</f>
        <v>260999.2</v>
      </c>
      <c r="Q86" s="68">
        <f t="shared" ref="Q86:R86" si="175">SUM(Q74:Q85)</f>
        <v>192024</v>
      </c>
      <c r="R86" s="68">
        <f t="shared" si="175"/>
        <v>8512926.1444570161</v>
      </c>
      <c r="T86" s="68">
        <f>SUM(T74:T85)</f>
        <v>9470090.7012945618</v>
      </c>
      <c r="U86" s="68">
        <f>SUM(U74:U85)</f>
        <v>122831.47206005006</v>
      </c>
      <c r="V86" s="68">
        <f>SUM(V74:V85)</f>
        <v>386245.80350291904</v>
      </c>
      <c r="W86" s="68">
        <f t="shared" ref="W86:X86" si="176">SUM(W74:W85)</f>
        <v>114817.5</v>
      </c>
      <c r="X86" s="68">
        <f t="shared" si="176"/>
        <v>10093985.47685753</v>
      </c>
      <c r="Z86" s="68">
        <f>SUM(Z74:Z85)</f>
        <v>18918782.339706335</v>
      </c>
      <c r="AA86" s="68">
        <f>SUM(AA74:AA85)</f>
        <v>194492.37703349284</v>
      </c>
      <c r="AB86" s="68">
        <f>SUM(AB74:AB85)</f>
        <v>700770.10909090913</v>
      </c>
      <c r="AC86" s="68">
        <f t="shared" ref="AC86:AD86" si="177">SUM(AC74:AC85)</f>
        <v>367113.6</v>
      </c>
      <c r="AD86" s="68">
        <f t="shared" si="177"/>
        <v>20181158.425830733</v>
      </c>
      <c r="AF86" s="68">
        <f>SUM(AF74:AF85)</f>
        <v>9351957.7296736427</v>
      </c>
      <c r="AG86" s="68">
        <f>SUM(AG74:AG85)</f>
        <v>664053.12</v>
      </c>
      <c r="AH86" s="68">
        <f>SUM(AH74:AH85)</f>
        <v>449640</v>
      </c>
      <c r="AI86" s="68">
        <f t="shared" ref="AI86:AJ86" si="178">SUM(AI74:AI85)</f>
        <v>560111.99999999988</v>
      </c>
      <c r="AJ86" s="68">
        <f t="shared" si="178"/>
        <v>11025762.849673644</v>
      </c>
      <c r="AL86" s="68">
        <f>SUM(AL74:AL85)</f>
        <v>2720</v>
      </c>
      <c r="AM86" s="68">
        <f>SUM(AM74:AM85)</f>
        <v>120</v>
      </c>
      <c r="AN86" s="68">
        <f>SUM(AN74:AN85)</f>
        <v>0</v>
      </c>
      <c r="AO86" s="68">
        <f t="shared" ref="AO86:AP86" si="179">SUM(AO74:AO85)</f>
        <v>0</v>
      </c>
      <c r="AP86" s="68">
        <f t="shared" si="179"/>
        <v>2840</v>
      </c>
      <c r="AR86" s="68">
        <f>SUM(AR74:AR85)</f>
        <v>3117214.9999999995</v>
      </c>
      <c r="AS86" s="68">
        <f>SUM(AS74:AS85)</f>
        <v>10520</v>
      </c>
      <c r="AT86" s="68">
        <f>SUM(AT74:AT85)</f>
        <v>106080</v>
      </c>
      <c r="AU86" s="68">
        <f t="shared" ref="AU86:AV86" si="180">SUM(AU74:AU85)</f>
        <v>112415.99999999999</v>
      </c>
      <c r="AV86" s="68">
        <f t="shared" si="180"/>
        <v>3346230.9999999995</v>
      </c>
      <c r="AX86" s="68">
        <f>SUM(AX74:AX85)</f>
        <v>75690221.301459596</v>
      </c>
      <c r="AY86" s="68">
        <f>SUM(AY74:AY85)</f>
        <v>1542955.2796971251</v>
      </c>
      <c r="AZ86" s="68">
        <f>SUM(AZ74:AZ85)</f>
        <v>3362226.4012508625</v>
      </c>
      <c r="BA86" s="68">
        <f t="shared" ref="BA86:BB86" si="181">SUM(BA74:BA85)</f>
        <v>2189209.5</v>
      </c>
      <c r="BB86" s="68">
        <f t="shared" si="181"/>
        <v>82784612.482407585</v>
      </c>
    </row>
    <row r="87" spans="1:54" hidden="1" x14ac:dyDescent="0.25">
      <c r="A87" s="60" t="s">
        <v>69</v>
      </c>
      <c r="B87" s="61">
        <f>B2*B5</f>
        <v>7281641.4291454405</v>
      </c>
      <c r="C87" s="61">
        <f>C2*C5</f>
        <v>0</v>
      </c>
      <c r="D87" s="61">
        <f>D2*D5</f>
        <v>0</v>
      </c>
      <c r="E87" s="61">
        <f t="shared" ref="E87:F87" si="182">E2*E5</f>
        <v>0</v>
      </c>
      <c r="F87" s="61">
        <f t="shared" si="182"/>
        <v>7281641.4291454405</v>
      </c>
      <c r="H87" s="61">
        <f>H2*H5</f>
        <v>19090970.157182597</v>
      </c>
      <c r="I87" s="61">
        <f>I2*I5</f>
        <v>0</v>
      </c>
      <c r="J87" s="61">
        <f>J2*J5</f>
        <v>0</v>
      </c>
      <c r="K87" s="61">
        <f t="shared" ref="K87:L87" si="183">K2*K5</f>
        <v>0</v>
      </c>
      <c r="L87" s="61">
        <f t="shared" si="183"/>
        <v>19090970.157182597</v>
      </c>
      <c r="N87" s="61">
        <f>N2*N5</f>
        <v>7904003.9444570169</v>
      </c>
      <c r="O87" s="61">
        <f>O2*O5</f>
        <v>0</v>
      </c>
      <c r="P87" s="61">
        <f>P2*P5</f>
        <v>0</v>
      </c>
      <c r="Q87" s="61">
        <f t="shared" ref="Q87:R87" si="184">Q2*Q5</f>
        <v>0</v>
      </c>
      <c r="R87" s="61">
        <f t="shared" si="184"/>
        <v>7904003.9444570169</v>
      </c>
      <c r="T87" s="61">
        <f>T2*T5</f>
        <v>9452130.7012945618</v>
      </c>
      <c r="U87" s="61">
        <f>U2*U5</f>
        <v>0</v>
      </c>
      <c r="V87" s="61">
        <f>V2*V5</f>
        <v>0</v>
      </c>
      <c r="W87" s="61">
        <f t="shared" ref="W87:X87" si="185">W2*W5</f>
        <v>0</v>
      </c>
      <c r="X87" s="61">
        <f t="shared" si="185"/>
        <v>9452130.7012945618</v>
      </c>
      <c r="Z87" s="61">
        <f>Z2*Z5</f>
        <v>18888702.339706335</v>
      </c>
      <c r="AA87" s="61">
        <f>AA2*AA5</f>
        <v>0</v>
      </c>
      <c r="AB87" s="61">
        <f>AB2*AB5</f>
        <v>0</v>
      </c>
      <c r="AC87" s="61">
        <f t="shared" ref="AC87:AD87" si="186">AC2*AC5</f>
        <v>0</v>
      </c>
      <c r="AD87" s="61">
        <f t="shared" si="186"/>
        <v>18888702.339706335</v>
      </c>
      <c r="AF87" s="61">
        <f>AF2*AF5</f>
        <v>9335437.7296736427</v>
      </c>
      <c r="AG87" s="61">
        <f>AG2*AG5</f>
        <v>0</v>
      </c>
      <c r="AH87" s="61">
        <f>AH2*AH5</f>
        <v>0</v>
      </c>
      <c r="AI87" s="61">
        <f t="shared" ref="AI87:AJ87" si="187">AI2*AI5</f>
        <v>0</v>
      </c>
      <c r="AJ87" s="61">
        <f t="shared" si="187"/>
        <v>9335437.7296736427</v>
      </c>
      <c r="AL87" s="61">
        <f>AL2*AL5</f>
        <v>0</v>
      </c>
      <c r="AM87" s="61">
        <f>AM2*AM5</f>
        <v>0</v>
      </c>
      <c r="AN87" s="61">
        <f>AN2*AN5</f>
        <v>0</v>
      </c>
      <c r="AO87" s="61">
        <f t="shared" ref="AO87:AP87" si="188">AO2*AO5</f>
        <v>0</v>
      </c>
      <c r="AP87" s="61">
        <f t="shared" si="188"/>
        <v>0</v>
      </c>
      <c r="AR87" s="61">
        <f>AR2*AR5</f>
        <v>3114974.9999999995</v>
      </c>
      <c r="AS87" s="61">
        <f>AS2*AS5</f>
        <v>0</v>
      </c>
      <c r="AT87" s="61">
        <f>AT2*AT5</f>
        <v>0</v>
      </c>
      <c r="AU87" s="61">
        <f t="shared" ref="AU87:AV87" si="189">AU2*AU5</f>
        <v>0</v>
      </c>
      <c r="AV87" s="61">
        <f t="shared" si="189"/>
        <v>3114974.9999999995</v>
      </c>
      <c r="AX87" s="7">
        <f>B87+H87+N87+T87+Z87+AF87+AL87+AR87</f>
        <v>75067861.301459596</v>
      </c>
      <c r="AY87" s="7">
        <f t="shared" ref="AY87:BA98" si="190">C87+I87+O87+U87+AA87+AG87+AM87+AS87</f>
        <v>0</v>
      </c>
      <c r="AZ87" s="7">
        <f t="shared" si="190"/>
        <v>0</v>
      </c>
      <c r="BA87" s="7">
        <f t="shared" si="190"/>
        <v>0</v>
      </c>
      <c r="BB87" s="7">
        <f t="shared" si="147"/>
        <v>75067861.301459596</v>
      </c>
    </row>
    <row r="88" spans="1:54" hidden="1" x14ac:dyDescent="0.25">
      <c r="A88" s="62" t="s">
        <v>201</v>
      </c>
      <c r="B88" s="61">
        <f>B3*B5</f>
        <v>0</v>
      </c>
      <c r="C88" s="61">
        <f>C3*C5</f>
        <v>0</v>
      </c>
      <c r="D88" s="61">
        <f>D3*D5</f>
        <v>0</v>
      </c>
      <c r="E88" s="61">
        <f t="shared" ref="E88:F88" si="191">E3*E5</f>
        <v>0</v>
      </c>
      <c r="F88" s="61">
        <f t="shared" si="191"/>
        <v>0</v>
      </c>
      <c r="H88" s="61">
        <f>H3*H5</f>
        <v>0</v>
      </c>
      <c r="I88" s="61">
        <f>I3*I5</f>
        <v>0</v>
      </c>
      <c r="J88" s="61">
        <f>J3*J5</f>
        <v>0</v>
      </c>
      <c r="K88" s="61">
        <f t="shared" ref="K88:L88" si="192">K3*K5</f>
        <v>0</v>
      </c>
      <c r="L88" s="61">
        <f t="shared" si="192"/>
        <v>0</v>
      </c>
      <c r="N88" s="61">
        <f>N3*N5</f>
        <v>0</v>
      </c>
      <c r="O88" s="61">
        <f>O3*O5</f>
        <v>0</v>
      </c>
      <c r="P88" s="61">
        <f>P3*P5</f>
        <v>0</v>
      </c>
      <c r="Q88" s="61">
        <f t="shared" ref="Q88:R88" si="193">Q3*Q5</f>
        <v>0</v>
      </c>
      <c r="R88" s="61">
        <f t="shared" si="193"/>
        <v>0</v>
      </c>
      <c r="T88" s="61">
        <f>T3*T5</f>
        <v>0</v>
      </c>
      <c r="U88" s="61">
        <f>U3*U5</f>
        <v>0</v>
      </c>
      <c r="V88" s="61">
        <f>V3*V5</f>
        <v>0</v>
      </c>
      <c r="W88" s="61">
        <f t="shared" ref="W88:X88" si="194">W3*W5</f>
        <v>0</v>
      </c>
      <c r="X88" s="61">
        <f t="shared" si="194"/>
        <v>0</v>
      </c>
      <c r="Z88" s="61">
        <f>Z3*Z5</f>
        <v>0</v>
      </c>
      <c r="AA88" s="61">
        <f>AA3*AA5</f>
        <v>0</v>
      </c>
      <c r="AB88" s="61">
        <f>AB3*AB5</f>
        <v>0</v>
      </c>
      <c r="AC88" s="61">
        <f t="shared" ref="AC88:AD88" si="195">AC3*AC5</f>
        <v>0</v>
      </c>
      <c r="AD88" s="61">
        <f t="shared" si="195"/>
        <v>0</v>
      </c>
      <c r="AF88" s="61">
        <f>AF3*AF5</f>
        <v>0</v>
      </c>
      <c r="AG88" s="61">
        <f>AG3*AG5</f>
        <v>0</v>
      </c>
      <c r="AH88" s="61">
        <f>AH3*AH5</f>
        <v>0</v>
      </c>
      <c r="AI88" s="61">
        <f t="shared" ref="AI88:AJ88" si="196">AI3*AI5</f>
        <v>0</v>
      </c>
      <c r="AJ88" s="61">
        <f t="shared" si="196"/>
        <v>0</v>
      </c>
      <c r="AL88" s="61">
        <f>AL3*AL5</f>
        <v>0</v>
      </c>
      <c r="AM88" s="61">
        <f>AM3*AM5</f>
        <v>0</v>
      </c>
      <c r="AN88" s="61">
        <f>AN3*AN5</f>
        <v>0</v>
      </c>
      <c r="AO88" s="61">
        <f t="shared" ref="AO88:AP88" si="197">AO3*AO5</f>
        <v>0</v>
      </c>
      <c r="AP88" s="61">
        <f t="shared" si="197"/>
        <v>0</v>
      </c>
      <c r="AR88" s="61">
        <f>AR3*AR5</f>
        <v>0</v>
      </c>
      <c r="AS88" s="61">
        <f>AS3*AS5</f>
        <v>0</v>
      </c>
      <c r="AT88" s="61">
        <f>AT3*AT5</f>
        <v>0</v>
      </c>
      <c r="AU88" s="61">
        <f t="shared" ref="AU88:AV88" si="198">AU3*AU5</f>
        <v>0</v>
      </c>
      <c r="AV88" s="61">
        <f t="shared" si="198"/>
        <v>0</v>
      </c>
      <c r="AX88" s="7">
        <f t="shared" ref="AX88:AX98" si="199">B88+H88+N88+T88+Z88+AF88+AL88+AR88</f>
        <v>0</v>
      </c>
      <c r="AY88" s="7">
        <f t="shared" si="190"/>
        <v>0</v>
      </c>
      <c r="AZ88" s="7">
        <f t="shared" si="190"/>
        <v>0</v>
      </c>
      <c r="BA88" s="7">
        <f t="shared" si="190"/>
        <v>0</v>
      </c>
      <c r="BB88" s="7">
        <f t="shared" si="147"/>
        <v>0</v>
      </c>
    </row>
    <row r="89" spans="1:54" hidden="1" x14ac:dyDescent="0.25">
      <c r="A89" s="62" t="s">
        <v>71</v>
      </c>
      <c r="B89" s="61">
        <f t="shared" ref="B89:F98" si="200">B76</f>
        <v>0</v>
      </c>
      <c r="C89" s="61">
        <f t="shared" si="200"/>
        <v>0</v>
      </c>
      <c r="D89" s="61">
        <f t="shared" si="200"/>
        <v>0</v>
      </c>
      <c r="E89" s="61">
        <f t="shared" si="200"/>
        <v>224078.40000000002</v>
      </c>
      <c r="F89" s="61">
        <f t="shared" si="200"/>
        <v>224078.40000000002</v>
      </c>
      <c r="H89" s="61">
        <f t="shared" ref="H89:L98" si="201">H76</f>
        <v>0</v>
      </c>
      <c r="I89" s="61">
        <f t="shared" si="201"/>
        <v>0</v>
      </c>
      <c r="J89" s="61">
        <f t="shared" si="201"/>
        <v>0</v>
      </c>
      <c r="K89" s="61">
        <f t="shared" si="201"/>
        <v>618408</v>
      </c>
      <c r="L89" s="61">
        <f t="shared" si="201"/>
        <v>618408</v>
      </c>
      <c r="N89" s="61">
        <f t="shared" ref="N89:R98" si="202">N76</f>
        <v>0</v>
      </c>
      <c r="O89" s="61">
        <f t="shared" si="202"/>
        <v>0</v>
      </c>
      <c r="P89" s="61">
        <f t="shared" si="202"/>
        <v>0</v>
      </c>
      <c r="Q89" s="61">
        <f t="shared" si="202"/>
        <v>192024</v>
      </c>
      <c r="R89" s="61">
        <f t="shared" si="202"/>
        <v>192024</v>
      </c>
      <c r="T89" s="61">
        <f t="shared" ref="T89:X98" si="203">T76</f>
        <v>0</v>
      </c>
      <c r="U89" s="61">
        <f t="shared" si="203"/>
        <v>0</v>
      </c>
      <c r="V89" s="61">
        <f t="shared" si="203"/>
        <v>0</v>
      </c>
      <c r="W89" s="61">
        <f t="shared" si="203"/>
        <v>114817.5</v>
      </c>
      <c r="X89" s="61">
        <f t="shared" si="203"/>
        <v>114817.5</v>
      </c>
      <c r="Z89" s="61">
        <f t="shared" ref="Z89:AD98" si="204">Z76</f>
        <v>0</v>
      </c>
      <c r="AA89" s="61">
        <f t="shared" si="204"/>
        <v>0</v>
      </c>
      <c r="AB89" s="61">
        <f t="shared" si="204"/>
        <v>0</v>
      </c>
      <c r="AC89" s="61">
        <f t="shared" si="204"/>
        <v>367113.6</v>
      </c>
      <c r="AD89" s="61">
        <f t="shared" si="204"/>
        <v>367113.6</v>
      </c>
      <c r="AF89" s="61">
        <f t="shared" ref="AF89:AJ98" si="205">AF76</f>
        <v>0</v>
      </c>
      <c r="AG89" s="61">
        <f t="shared" si="205"/>
        <v>0</v>
      </c>
      <c r="AH89" s="61">
        <f t="shared" si="205"/>
        <v>0</v>
      </c>
      <c r="AI89" s="61">
        <f t="shared" si="205"/>
        <v>559871.99999999988</v>
      </c>
      <c r="AJ89" s="61">
        <f t="shared" si="205"/>
        <v>559871.99999999988</v>
      </c>
      <c r="AL89" s="61">
        <f t="shared" ref="AL89:AP98" si="206">AL76</f>
        <v>0</v>
      </c>
      <c r="AM89" s="61">
        <f t="shared" si="206"/>
        <v>0</v>
      </c>
      <c r="AN89" s="61">
        <f t="shared" si="206"/>
        <v>0</v>
      </c>
      <c r="AO89" s="61">
        <f t="shared" si="206"/>
        <v>0</v>
      </c>
      <c r="AP89" s="61">
        <f t="shared" si="206"/>
        <v>0</v>
      </c>
      <c r="AR89" s="61">
        <f t="shared" ref="AR89:AV98" si="207">AR76</f>
        <v>0</v>
      </c>
      <c r="AS89" s="61">
        <f t="shared" si="207"/>
        <v>0</v>
      </c>
      <c r="AT89" s="61">
        <f t="shared" si="207"/>
        <v>0</v>
      </c>
      <c r="AU89" s="61">
        <f t="shared" si="207"/>
        <v>97415.999999999985</v>
      </c>
      <c r="AV89" s="61">
        <f t="shared" si="207"/>
        <v>97415.999999999985</v>
      </c>
      <c r="AX89" s="7">
        <f t="shared" si="199"/>
        <v>0</v>
      </c>
      <c r="AY89" s="7">
        <f t="shared" si="190"/>
        <v>0</v>
      </c>
      <c r="AZ89" s="7">
        <f t="shared" si="190"/>
        <v>0</v>
      </c>
      <c r="BA89" s="7">
        <f t="shared" si="190"/>
        <v>2173729.5</v>
      </c>
      <c r="BB89" s="7">
        <f t="shared" si="147"/>
        <v>2173729.5</v>
      </c>
    </row>
    <row r="90" spans="1:54" hidden="1" x14ac:dyDescent="0.25">
      <c r="A90" s="62" t="s">
        <v>72</v>
      </c>
      <c r="B90" s="61">
        <f t="shared" si="200"/>
        <v>0</v>
      </c>
      <c r="C90" s="61">
        <f t="shared" si="200"/>
        <v>0</v>
      </c>
      <c r="D90" s="61">
        <f t="shared" si="200"/>
        <v>95942.602892102339</v>
      </c>
      <c r="E90" s="61">
        <f t="shared" si="200"/>
        <v>0</v>
      </c>
      <c r="F90" s="61">
        <f t="shared" si="200"/>
        <v>95942.602892102339</v>
      </c>
      <c r="H90" s="61">
        <f t="shared" si="201"/>
        <v>0</v>
      </c>
      <c r="I90" s="61">
        <f t="shared" si="201"/>
        <v>0</v>
      </c>
      <c r="J90" s="61">
        <f t="shared" si="201"/>
        <v>296087.56684491981</v>
      </c>
      <c r="K90" s="61">
        <f t="shared" si="201"/>
        <v>0</v>
      </c>
      <c r="L90" s="61">
        <f t="shared" si="201"/>
        <v>296087.56684491981</v>
      </c>
      <c r="N90" s="61">
        <f t="shared" si="202"/>
        <v>0</v>
      </c>
      <c r="O90" s="61">
        <f t="shared" si="202"/>
        <v>0</v>
      </c>
      <c r="P90" s="61">
        <f t="shared" si="202"/>
        <v>70300</v>
      </c>
      <c r="Q90" s="61">
        <f t="shared" si="202"/>
        <v>0</v>
      </c>
      <c r="R90" s="61">
        <f t="shared" si="202"/>
        <v>70300</v>
      </c>
      <c r="T90" s="61">
        <f t="shared" si="203"/>
        <v>0</v>
      </c>
      <c r="U90" s="61">
        <f t="shared" si="203"/>
        <v>0</v>
      </c>
      <c r="V90" s="61">
        <f t="shared" si="203"/>
        <v>103969.14095079232</v>
      </c>
      <c r="W90" s="61">
        <f t="shared" si="203"/>
        <v>0</v>
      </c>
      <c r="X90" s="61">
        <f t="shared" si="203"/>
        <v>103969.14095079232</v>
      </c>
      <c r="Z90" s="61">
        <f t="shared" si="204"/>
        <v>0</v>
      </c>
      <c r="AA90" s="61">
        <f t="shared" si="204"/>
        <v>0</v>
      </c>
      <c r="AB90" s="61">
        <f t="shared" si="204"/>
        <v>188721.81818181818</v>
      </c>
      <c r="AC90" s="61">
        <f t="shared" si="204"/>
        <v>0</v>
      </c>
      <c r="AD90" s="61">
        <f t="shared" si="204"/>
        <v>188721.81818181818</v>
      </c>
      <c r="AF90" s="61">
        <f t="shared" si="205"/>
        <v>0</v>
      </c>
      <c r="AG90" s="61">
        <f t="shared" si="205"/>
        <v>0</v>
      </c>
      <c r="AH90" s="61">
        <f t="shared" si="205"/>
        <v>123120</v>
      </c>
      <c r="AI90" s="61">
        <f t="shared" si="205"/>
        <v>0</v>
      </c>
      <c r="AJ90" s="61">
        <f t="shared" si="205"/>
        <v>123120</v>
      </c>
      <c r="AL90" s="61">
        <f t="shared" si="206"/>
        <v>0</v>
      </c>
      <c r="AM90" s="61">
        <f t="shared" si="206"/>
        <v>0</v>
      </c>
      <c r="AN90" s="61">
        <f t="shared" si="206"/>
        <v>0</v>
      </c>
      <c r="AO90" s="61">
        <f t="shared" si="206"/>
        <v>0</v>
      </c>
      <c r="AP90" s="61">
        <f t="shared" si="206"/>
        <v>0</v>
      </c>
      <c r="AR90" s="61">
        <f t="shared" si="207"/>
        <v>0</v>
      </c>
      <c r="AS90" s="61">
        <f t="shared" si="207"/>
        <v>0</v>
      </c>
      <c r="AT90" s="61">
        <f t="shared" si="207"/>
        <v>30400</v>
      </c>
      <c r="AU90" s="61">
        <f t="shared" si="207"/>
        <v>0</v>
      </c>
      <c r="AV90" s="61">
        <f t="shared" si="207"/>
        <v>30400</v>
      </c>
      <c r="AX90" s="7">
        <f t="shared" si="199"/>
        <v>0</v>
      </c>
      <c r="AY90" s="7">
        <f t="shared" si="190"/>
        <v>0</v>
      </c>
      <c r="AZ90" s="7">
        <f t="shared" si="190"/>
        <v>908541.12886963272</v>
      </c>
      <c r="BA90" s="7">
        <f t="shared" si="190"/>
        <v>0</v>
      </c>
      <c r="BB90" s="7">
        <f t="shared" si="147"/>
        <v>908541.12886963272</v>
      </c>
    </row>
    <row r="91" spans="1:54" hidden="1" x14ac:dyDescent="0.25">
      <c r="A91" s="141" t="s">
        <v>73</v>
      </c>
      <c r="B91" s="61">
        <f t="shared" si="200"/>
        <v>0</v>
      </c>
      <c r="C91" s="61">
        <f t="shared" si="200"/>
        <v>0</v>
      </c>
      <c r="D91" s="61">
        <f t="shared" si="200"/>
        <v>262579.7552836485</v>
      </c>
      <c r="E91" s="61">
        <f t="shared" si="200"/>
        <v>0</v>
      </c>
      <c r="F91" s="61">
        <f t="shared" si="200"/>
        <v>262579.7552836485</v>
      </c>
      <c r="H91" s="61">
        <f t="shared" si="201"/>
        <v>0</v>
      </c>
      <c r="I91" s="61">
        <f t="shared" si="201"/>
        <v>0</v>
      </c>
      <c r="J91" s="61">
        <f t="shared" si="201"/>
        <v>794761.36363636365</v>
      </c>
      <c r="K91" s="61">
        <f t="shared" si="201"/>
        <v>0</v>
      </c>
      <c r="L91" s="61">
        <f t="shared" si="201"/>
        <v>794761.36363636365</v>
      </c>
      <c r="N91" s="61">
        <f t="shared" si="202"/>
        <v>0</v>
      </c>
      <c r="O91" s="61">
        <f t="shared" si="202"/>
        <v>0</v>
      </c>
      <c r="P91" s="61">
        <f t="shared" si="202"/>
        <v>188700</v>
      </c>
      <c r="Q91" s="61">
        <f t="shared" si="202"/>
        <v>0</v>
      </c>
      <c r="R91" s="61">
        <f t="shared" si="202"/>
        <v>188700</v>
      </c>
      <c r="T91" s="61">
        <f t="shared" si="203"/>
        <v>0</v>
      </c>
      <c r="U91" s="61">
        <f t="shared" si="203"/>
        <v>0</v>
      </c>
      <c r="V91" s="61">
        <f t="shared" si="203"/>
        <v>279075.06255212676</v>
      </c>
      <c r="W91" s="61">
        <f t="shared" si="203"/>
        <v>0</v>
      </c>
      <c r="X91" s="61">
        <f t="shared" si="203"/>
        <v>279075.06255212676</v>
      </c>
      <c r="Z91" s="61">
        <f t="shared" si="204"/>
        <v>0</v>
      </c>
      <c r="AA91" s="61">
        <f t="shared" si="204"/>
        <v>0</v>
      </c>
      <c r="AB91" s="61">
        <f t="shared" si="204"/>
        <v>506569.09090909094</v>
      </c>
      <c r="AC91" s="61">
        <f t="shared" si="204"/>
        <v>0</v>
      </c>
      <c r="AD91" s="61">
        <f t="shared" si="204"/>
        <v>506569.09090909094</v>
      </c>
      <c r="AF91" s="61">
        <f t="shared" si="205"/>
        <v>0</v>
      </c>
      <c r="AG91" s="61">
        <f t="shared" si="205"/>
        <v>0</v>
      </c>
      <c r="AH91" s="61">
        <f t="shared" si="205"/>
        <v>324000</v>
      </c>
      <c r="AI91" s="61">
        <f t="shared" si="205"/>
        <v>0</v>
      </c>
      <c r="AJ91" s="61">
        <f t="shared" si="205"/>
        <v>324000</v>
      </c>
      <c r="AL91" s="61">
        <f t="shared" si="206"/>
        <v>0</v>
      </c>
      <c r="AM91" s="61">
        <f t="shared" si="206"/>
        <v>0</v>
      </c>
      <c r="AN91" s="61">
        <f t="shared" si="206"/>
        <v>0</v>
      </c>
      <c r="AO91" s="61">
        <f t="shared" si="206"/>
        <v>0</v>
      </c>
      <c r="AP91" s="61">
        <f t="shared" si="206"/>
        <v>0</v>
      </c>
      <c r="AR91" s="61">
        <f t="shared" si="207"/>
        <v>0</v>
      </c>
      <c r="AS91" s="61">
        <f t="shared" si="207"/>
        <v>0</v>
      </c>
      <c r="AT91" s="61">
        <f t="shared" si="207"/>
        <v>75200</v>
      </c>
      <c r="AU91" s="61">
        <f t="shared" si="207"/>
        <v>0</v>
      </c>
      <c r="AV91" s="61">
        <f t="shared" si="207"/>
        <v>75200</v>
      </c>
      <c r="AX91" s="7">
        <f t="shared" si="199"/>
        <v>0</v>
      </c>
      <c r="AY91" s="7">
        <f t="shared" si="190"/>
        <v>0</v>
      </c>
      <c r="AZ91" s="7">
        <f t="shared" si="190"/>
        <v>2430885.2723812298</v>
      </c>
      <c r="BA91" s="7">
        <f t="shared" si="190"/>
        <v>0</v>
      </c>
      <c r="BB91" s="7">
        <f t="shared" si="147"/>
        <v>2430885.2723812298</v>
      </c>
    </row>
    <row r="92" spans="1:54" hidden="1" x14ac:dyDescent="0.25">
      <c r="A92" s="62" t="s">
        <v>74</v>
      </c>
      <c r="B92" s="61">
        <f t="shared" si="200"/>
        <v>0</v>
      </c>
      <c r="C92" s="61">
        <f t="shared" si="200"/>
        <v>28376.729699666295</v>
      </c>
      <c r="D92" s="61">
        <f t="shared" si="200"/>
        <v>0</v>
      </c>
      <c r="E92" s="61">
        <f t="shared" si="200"/>
        <v>0</v>
      </c>
      <c r="F92" s="61">
        <f t="shared" si="200"/>
        <v>28376.729699666295</v>
      </c>
      <c r="H92" s="61">
        <f t="shared" si="201"/>
        <v>0</v>
      </c>
      <c r="I92" s="61">
        <f t="shared" si="201"/>
        <v>64742.294117647056</v>
      </c>
      <c r="J92" s="61">
        <f t="shared" si="201"/>
        <v>0</v>
      </c>
      <c r="K92" s="61">
        <f t="shared" si="201"/>
        <v>0</v>
      </c>
      <c r="L92" s="61">
        <f t="shared" si="201"/>
        <v>64742.294117647056</v>
      </c>
      <c r="N92" s="61">
        <f t="shared" si="202"/>
        <v>0</v>
      </c>
      <c r="O92" s="61">
        <f t="shared" si="202"/>
        <v>32292</v>
      </c>
      <c r="P92" s="61">
        <f t="shared" si="202"/>
        <v>0</v>
      </c>
      <c r="Q92" s="61">
        <f t="shared" si="202"/>
        <v>0</v>
      </c>
      <c r="R92" s="61">
        <f t="shared" si="202"/>
        <v>32292</v>
      </c>
      <c r="T92" s="61">
        <f t="shared" si="203"/>
        <v>0</v>
      </c>
      <c r="U92" s="61">
        <f t="shared" si="203"/>
        <v>14543.51959966639</v>
      </c>
      <c r="V92" s="61">
        <f t="shared" si="203"/>
        <v>0</v>
      </c>
      <c r="W92" s="61">
        <f t="shared" si="203"/>
        <v>0</v>
      </c>
      <c r="X92" s="61">
        <f t="shared" si="203"/>
        <v>14543.51959966639</v>
      </c>
      <c r="Z92" s="61">
        <f t="shared" si="204"/>
        <v>0</v>
      </c>
      <c r="AA92" s="61">
        <f t="shared" si="204"/>
        <v>47934.99330143541</v>
      </c>
      <c r="AB92" s="61">
        <f t="shared" si="204"/>
        <v>0</v>
      </c>
      <c r="AC92" s="61">
        <f t="shared" si="204"/>
        <v>0</v>
      </c>
      <c r="AD92" s="61">
        <f t="shared" si="204"/>
        <v>47934.99330143541</v>
      </c>
      <c r="AF92" s="61">
        <f t="shared" si="205"/>
        <v>0</v>
      </c>
      <c r="AG92" s="61">
        <f t="shared" si="205"/>
        <v>561880.79999999993</v>
      </c>
      <c r="AH92" s="61">
        <f t="shared" si="205"/>
        <v>0</v>
      </c>
      <c r="AI92" s="61">
        <f t="shared" si="205"/>
        <v>0</v>
      </c>
      <c r="AJ92" s="61">
        <f t="shared" si="205"/>
        <v>561880.79999999993</v>
      </c>
      <c r="AL92" s="61">
        <f t="shared" si="206"/>
        <v>0</v>
      </c>
      <c r="AM92" s="61">
        <f t="shared" si="206"/>
        <v>0</v>
      </c>
      <c r="AN92" s="61">
        <f t="shared" si="206"/>
        <v>0</v>
      </c>
      <c r="AO92" s="61">
        <f t="shared" si="206"/>
        <v>0</v>
      </c>
      <c r="AP92" s="61">
        <f t="shared" si="206"/>
        <v>0</v>
      </c>
      <c r="AR92" s="61">
        <f t="shared" si="207"/>
        <v>0</v>
      </c>
      <c r="AS92" s="61">
        <f t="shared" si="207"/>
        <v>0</v>
      </c>
      <c r="AT92" s="61">
        <f t="shared" si="207"/>
        <v>0</v>
      </c>
      <c r="AU92" s="61">
        <f t="shared" si="207"/>
        <v>0</v>
      </c>
      <c r="AV92" s="61">
        <f t="shared" si="207"/>
        <v>0</v>
      </c>
      <c r="AX92" s="7">
        <f t="shared" si="199"/>
        <v>0</v>
      </c>
      <c r="AY92" s="7">
        <f t="shared" si="190"/>
        <v>749770.33671841514</v>
      </c>
      <c r="AZ92" s="7">
        <f t="shared" si="190"/>
        <v>0</v>
      </c>
      <c r="BA92" s="7">
        <f t="shared" si="190"/>
        <v>0</v>
      </c>
      <c r="BB92" s="7">
        <f t="shared" si="147"/>
        <v>749770.33671841514</v>
      </c>
    </row>
    <row r="93" spans="1:54" hidden="1" x14ac:dyDescent="0.25">
      <c r="A93" s="62" t="s">
        <v>75</v>
      </c>
      <c r="B93" s="61">
        <f t="shared" si="200"/>
        <v>0</v>
      </c>
      <c r="C93" s="61">
        <f t="shared" si="200"/>
        <v>42512.516129032258</v>
      </c>
      <c r="D93" s="61">
        <f t="shared" si="200"/>
        <v>0</v>
      </c>
      <c r="E93" s="61">
        <f t="shared" si="200"/>
        <v>0</v>
      </c>
      <c r="F93" s="61">
        <f t="shared" si="200"/>
        <v>42512.516129032258</v>
      </c>
      <c r="H93" s="61">
        <f t="shared" si="201"/>
        <v>0</v>
      </c>
      <c r="I93" s="61">
        <f t="shared" si="201"/>
        <v>52089.54010695187</v>
      </c>
      <c r="J93" s="61">
        <f t="shared" si="201"/>
        <v>0</v>
      </c>
      <c r="K93" s="61">
        <f t="shared" si="201"/>
        <v>0</v>
      </c>
      <c r="L93" s="61">
        <f t="shared" si="201"/>
        <v>52089.54010695187</v>
      </c>
      <c r="N93" s="61">
        <f t="shared" si="202"/>
        <v>0</v>
      </c>
      <c r="O93" s="61">
        <f t="shared" si="202"/>
        <v>42136</v>
      </c>
      <c r="P93" s="61">
        <f t="shared" si="202"/>
        <v>0</v>
      </c>
      <c r="Q93" s="61">
        <f t="shared" si="202"/>
        <v>0</v>
      </c>
      <c r="R93" s="61">
        <f t="shared" si="202"/>
        <v>42136</v>
      </c>
      <c r="T93" s="61">
        <f t="shared" si="203"/>
        <v>0</v>
      </c>
      <c r="U93" s="61">
        <f t="shared" si="203"/>
        <v>71473.211009174309</v>
      </c>
      <c r="V93" s="61">
        <f t="shared" si="203"/>
        <v>0</v>
      </c>
      <c r="W93" s="61">
        <f t="shared" si="203"/>
        <v>0</v>
      </c>
      <c r="X93" s="61">
        <f t="shared" si="203"/>
        <v>71473.211009174309</v>
      </c>
      <c r="Z93" s="61">
        <f t="shared" si="204"/>
        <v>0</v>
      </c>
      <c r="AA93" s="61">
        <f t="shared" si="204"/>
        <v>68104.819138755978</v>
      </c>
      <c r="AB93" s="61">
        <f t="shared" si="204"/>
        <v>0</v>
      </c>
      <c r="AC93" s="61">
        <f t="shared" si="204"/>
        <v>0</v>
      </c>
      <c r="AD93" s="61">
        <f t="shared" si="204"/>
        <v>68104.819138755978</v>
      </c>
      <c r="AF93" s="61">
        <f t="shared" si="205"/>
        <v>0</v>
      </c>
      <c r="AG93" s="61">
        <f t="shared" si="205"/>
        <v>29678.399999999998</v>
      </c>
      <c r="AH93" s="61">
        <f t="shared" si="205"/>
        <v>0</v>
      </c>
      <c r="AI93" s="61">
        <f t="shared" si="205"/>
        <v>0</v>
      </c>
      <c r="AJ93" s="61">
        <f t="shared" si="205"/>
        <v>29678.399999999998</v>
      </c>
      <c r="AL93" s="61">
        <f t="shared" si="206"/>
        <v>0</v>
      </c>
      <c r="AM93" s="61">
        <f t="shared" si="206"/>
        <v>0</v>
      </c>
      <c r="AN93" s="61">
        <f t="shared" si="206"/>
        <v>0</v>
      </c>
      <c r="AO93" s="61">
        <f t="shared" si="206"/>
        <v>0</v>
      </c>
      <c r="AP93" s="61">
        <f t="shared" si="206"/>
        <v>0</v>
      </c>
      <c r="AR93" s="61">
        <f t="shared" si="207"/>
        <v>0</v>
      </c>
      <c r="AS93" s="61">
        <f t="shared" si="207"/>
        <v>0</v>
      </c>
      <c r="AT93" s="61">
        <f t="shared" si="207"/>
        <v>0</v>
      </c>
      <c r="AU93" s="61">
        <f t="shared" si="207"/>
        <v>0</v>
      </c>
      <c r="AV93" s="61">
        <f t="shared" si="207"/>
        <v>0</v>
      </c>
      <c r="AX93" s="7">
        <f t="shared" si="199"/>
        <v>0</v>
      </c>
      <c r="AY93" s="7">
        <f t="shared" si="190"/>
        <v>305994.48638391442</v>
      </c>
      <c r="AZ93" s="7">
        <f t="shared" si="190"/>
        <v>0</v>
      </c>
      <c r="BA93" s="7">
        <f t="shared" si="190"/>
        <v>0</v>
      </c>
      <c r="BB93" s="7">
        <f t="shared" si="147"/>
        <v>305994.48638391442</v>
      </c>
    </row>
    <row r="94" spans="1:54" hidden="1" x14ac:dyDescent="0.25">
      <c r="A94" s="62" t="s">
        <v>76</v>
      </c>
      <c r="B94" s="61">
        <f t="shared" si="200"/>
        <v>0</v>
      </c>
      <c r="C94" s="61">
        <f t="shared" si="200"/>
        <v>65459.612903225803</v>
      </c>
      <c r="D94" s="61">
        <f t="shared" si="200"/>
        <v>0</v>
      </c>
      <c r="E94" s="61">
        <f t="shared" si="200"/>
        <v>0</v>
      </c>
      <c r="F94" s="61">
        <f t="shared" si="200"/>
        <v>65459.612903225803</v>
      </c>
      <c r="H94" s="61">
        <f t="shared" si="201"/>
        <v>0</v>
      </c>
      <c r="I94" s="61">
        <f t="shared" si="201"/>
        <v>153218.61764705883</v>
      </c>
      <c r="J94" s="61">
        <f t="shared" si="201"/>
        <v>0</v>
      </c>
      <c r="K94" s="61">
        <f t="shared" si="201"/>
        <v>0</v>
      </c>
      <c r="L94" s="61">
        <f t="shared" si="201"/>
        <v>153218.61764705883</v>
      </c>
      <c r="N94" s="61">
        <f t="shared" si="202"/>
        <v>0</v>
      </c>
      <c r="O94" s="61">
        <f t="shared" si="202"/>
        <v>65311</v>
      </c>
      <c r="P94" s="61">
        <f t="shared" si="202"/>
        <v>0</v>
      </c>
      <c r="Q94" s="61">
        <f t="shared" si="202"/>
        <v>0</v>
      </c>
      <c r="R94" s="61">
        <f t="shared" si="202"/>
        <v>65311</v>
      </c>
      <c r="T94" s="61">
        <f t="shared" si="203"/>
        <v>0</v>
      </c>
      <c r="U94" s="61">
        <f t="shared" si="203"/>
        <v>35974.741451209346</v>
      </c>
      <c r="V94" s="61">
        <f t="shared" si="203"/>
        <v>0</v>
      </c>
      <c r="W94" s="61">
        <f t="shared" si="203"/>
        <v>0</v>
      </c>
      <c r="X94" s="61">
        <f t="shared" si="203"/>
        <v>35974.741451209346</v>
      </c>
      <c r="Z94" s="61">
        <f t="shared" si="204"/>
        <v>0</v>
      </c>
      <c r="AA94" s="61">
        <f t="shared" si="204"/>
        <v>77132.564593301431</v>
      </c>
      <c r="AB94" s="61">
        <f t="shared" si="204"/>
        <v>0</v>
      </c>
      <c r="AC94" s="61">
        <f t="shared" si="204"/>
        <v>0</v>
      </c>
      <c r="AD94" s="61">
        <f t="shared" si="204"/>
        <v>77132.564593301431</v>
      </c>
      <c r="AF94" s="61">
        <f t="shared" si="205"/>
        <v>0</v>
      </c>
      <c r="AG94" s="61">
        <f t="shared" si="205"/>
        <v>71413.920000000027</v>
      </c>
      <c r="AH94" s="61">
        <f t="shared" si="205"/>
        <v>0</v>
      </c>
      <c r="AI94" s="61">
        <f t="shared" si="205"/>
        <v>0</v>
      </c>
      <c r="AJ94" s="61">
        <f t="shared" si="205"/>
        <v>71413.920000000027</v>
      </c>
      <c r="AL94" s="61">
        <f t="shared" si="206"/>
        <v>0</v>
      </c>
      <c r="AM94" s="61">
        <f t="shared" si="206"/>
        <v>0</v>
      </c>
      <c r="AN94" s="61">
        <f t="shared" si="206"/>
        <v>0</v>
      </c>
      <c r="AO94" s="61">
        <f t="shared" si="206"/>
        <v>0</v>
      </c>
      <c r="AP94" s="61">
        <f t="shared" si="206"/>
        <v>0</v>
      </c>
      <c r="AR94" s="61">
        <f t="shared" si="207"/>
        <v>0</v>
      </c>
      <c r="AS94" s="61">
        <f t="shared" si="207"/>
        <v>10520</v>
      </c>
      <c r="AT94" s="61">
        <f t="shared" si="207"/>
        <v>0</v>
      </c>
      <c r="AU94" s="61">
        <f t="shared" si="207"/>
        <v>0</v>
      </c>
      <c r="AV94" s="61">
        <f t="shared" si="207"/>
        <v>10520</v>
      </c>
      <c r="AX94" s="7">
        <f t="shared" si="199"/>
        <v>0</v>
      </c>
      <c r="AY94" s="7">
        <f t="shared" si="190"/>
        <v>479030.45659479545</v>
      </c>
      <c r="AZ94" s="7">
        <f t="shared" si="190"/>
        <v>0</v>
      </c>
      <c r="BA94" s="7">
        <f t="shared" si="190"/>
        <v>0</v>
      </c>
      <c r="BB94" s="7">
        <f t="shared" si="147"/>
        <v>479030.45659479545</v>
      </c>
    </row>
    <row r="95" spans="1:54" hidden="1" x14ac:dyDescent="0.25">
      <c r="A95" s="62" t="s">
        <v>202</v>
      </c>
      <c r="B95" s="61">
        <f t="shared" si="200"/>
        <v>0</v>
      </c>
      <c r="C95" s="61">
        <f t="shared" si="200"/>
        <v>0</v>
      </c>
      <c r="D95" s="61">
        <f t="shared" si="200"/>
        <v>0</v>
      </c>
      <c r="E95" s="61">
        <f t="shared" si="200"/>
        <v>0</v>
      </c>
      <c r="F95" s="61">
        <f t="shared" si="200"/>
        <v>0</v>
      </c>
      <c r="H95" s="61">
        <f t="shared" si="201"/>
        <v>492000</v>
      </c>
      <c r="I95" s="61">
        <f t="shared" si="201"/>
        <v>0</v>
      </c>
      <c r="J95" s="61">
        <f t="shared" si="201"/>
        <v>0</v>
      </c>
      <c r="K95" s="61">
        <f t="shared" si="201"/>
        <v>0</v>
      </c>
      <c r="L95" s="61">
        <f t="shared" si="201"/>
        <v>492000</v>
      </c>
      <c r="N95" s="61">
        <f t="shared" si="202"/>
        <v>0</v>
      </c>
      <c r="O95" s="61">
        <f t="shared" si="202"/>
        <v>0</v>
      </c>
      <c r="P95" s="61">
        <f t="shared" si="202"/>
        <v>0</v>
      </c>
      <c r="Q95" s="61">
        <f t="shared" si="202"/>
        <v>0</v>
      </c>
      <c r="R95" s="61">
        <f t="shared" si="202"/>
        <v>0</v>
      </c>
      <c r="T95" s="61">
        <f t="shared" si="203"/>
        <v>0</v>
      </c>
      <c r="U95" s="61">
        <f t="shared" si="203"/>
        <v>0</v>
      </c>
      <c r="V95" s="61">
        <f t="shared" si="203"/>
        <v>0</v>
      </c>
      <c r="W95" s="61">
        <f t="shared" si="203"/>
        <v>0</v>
      </c>
      <c r="X95" s="61">
        <f t="shared" si="203"/>
        <v>0</v>
      </c>
      <c r="Z95" s="61">
        <f t="shared" si="204"/>
        <v>0</v>
      </c>
      <c r="AA95" s="61">
        <f t="shared" si="204"/>
        <v>0</v>
      </c>
      <c r="AB95" s="61">
        <f t="shared" si="204"/>
        <v>0</v>
      </c>
      <c r="AC95" s="61">
        <f t="shared" si="204"/>
        <v>0</v>
      </c>
      <c r="AD95" s="61">
        <f t="shared" si="204"/>
        <v>0</v>
      </c>
      <c r="AF95" s="61">
        <f t="shared" si="205"/>
        <v>0</v>
      </c>
      <c r="AG95" s="61">
        <f t="shared" si="205"/>
        <v>0</v>
      </c>
      <c r="AH95" s="61">
        <f t="shared" si="205"/>
        <v>0</v>
      </c>
      <c r="AI95" s="61">
        <f t="shared" si="205"/>
        <v>0</v>
      </c>
      <c r="AJ95" s="61">
        <f t="shared" si="205"/>
        <v>0</v>
      </c>
      <c r="AL95" s="61">
        <f t="shared" si="206"/>
        <v>0</v>
      </c>
      <c r="AM95" s="61">
        <f t="shared" si="206"/>
        <v>0</v>
      </c>
      <c r="AN95" s="61">
        <f t="shared" si="206"/>
        <v>0</v>
      </c>
      <c r="AO95" s="61">
        <f t="shared" si="206"/>
        <v>0</v>
      </c>
      <c r="AP95" s="61">
        <f t="shared" si="206"/>
        <v>0</v>
      </c>
      <c r="AR95" s="61">
        <f t="shared" si="207"/>
        <v>0</v>
      </c>
      <c r="AS95" s="61">
        <f t="shared" si="207"/>
        <v>0</v>
      </c>
      <c r="AT95" s="61">
        <f t="shared" si="207"/>
        <v>0</v>
      </c>
      <c r="AU95" s="61">
        <f t="shared" si="207"/>
        <v>0</v>
      </c>
      <c r="AV95" s="61">
        <f t="shared" si="207"/>
        <v>0</v>
      </c>
      <c r="AX95" s="7">
        <f t="shared" si="199"/>
        <v>492000</v>
      </c>
      <c r="AY95" s="7">
        <f t="shared" si="190"/>
        <v>0</v>
      </c>
      <c r="AZ95" s="7">
        <f t="shared" si="190"/>
        <v>0</v>
      </c>
      <c r="BA95" s="7">
        <f t="shared" si="190"/>
        <v>0</v>
      </c>
      <c r="BB95" s="7">
        <f t="shared" si="147"/>
        <v>492000</v>
      </c>
    </row>
    <row r="96" spans="1:54" hidden="1" x14ac:dyDescent="0.25">
      <c r="A96" s="62" t="s">
        <v>203</v>
      </c>
      <c r="B96" s="61">
        <f t="shared" si="200"/>
        <v>0</v>
      </c>
      <c r="C96" s="61">
        <f t="shared" si="200"/>
        <v>0</v>
      </c>
      <c r="D96" s="61">
        <f t="shared" si="200"/>
        <v>0</v>
      </c>
      <c r="E96" s="61">
        <f t="shared" si="200"/>
        <v>0</v>
      </c>
      <c r="F96" s="61">
        <f t="shared" si="200"/>
        <v>0</v>
      </c>
      <c r="H96" s="61">
        <f t="shared" si="201"/>
        <v>0</v>
      </c>
      <c r="I96" s="61">
        <f t="shared" si="201"/>
        <v>0</v>
      </c>
      <c r="J96" s="61">
        <f t="shared" si="201"/>
        <v>0</v>
      </c>
      <c r="K96" s="61">
        <f t="shared" si="201"/>
        <v>0</v>
      </c>
      <c r="L96" s="61">
        <f t="shared" si="201"/>
        <v>0</v>
      </c>
      <c r="N96" s="61">
        <f t="shared" si="202"/>
        <v>0</v>
      </c>
      <c r="O96" s="61">
        <f t="shared" si="202"/>
        <v>0</v>
      </c>
      <c r="P96" s="61">
        <f t="shared" si="202"/>
        <v>0</v>
      </c>
      <c r="Q96" s="61">
        <f t="shared" si="202"/>
        <v>0</v>
      </c>
      <c r="R96" s="61">
        <f t="shared" si="202"/>
        <v>0</v>
      </c>
      <c r="T96" s="61">
        <f t="shared" si="203"/>
        <v>0</v>
      </c>
      <c r="U96" s="61">
        <f t="shared" si="203"/>
        <v>0</v>
      </c>
      <c r="V96" s="61">
        <f t="shared" si="203"/>
        <v>0</v>
      </c>
      <c r="W96" s="61">
        <f t="shared" si="203"/>
        <v>0</v>
      </c>
      <c r="X96" s="61">
        <f t="shared" si="203"/>
        <v>0</v>
      </c>
      <c r="Z96" s="61">
        <f t="shared" si="204"/>
        <v>0</v>
      </c>
      <c r="AA96" s="61">
        <f t="shared" si="204"/>
        <v>0</v>
      </c>
      <c r="AB96" s="61">
        <f t="shared" si="204"/>
        <v>0</v>
      </c>
      <c r="AC96" s="61">
        <f t="shared" si="204"/>
        <v>0</v>
      </c>
      <c r="AD96" s="61">
        <f t="shared" si="204"/>
        <v>0</v>
      </c>
      <c r="AF96" s="61">
        <f t="shared" si="205"/>
        <v>0</v>
      </c>
      <c r="AG96" s="61">
        <f t="shared" si="205"/>
        <v>0</v>
      </c>
      <c r="AH96" s="61">
        <f t="shared" si="205"/>
        <v>0</v>
      </c>
      <c r="AI96" s="61">
        <f t="shared" si="205"/>
        <v>0</v>
      </c>
      <c r="AJ96" s="61">
        <f t="shared" si="205"/>
        <v>0</v>
      </c>
      <c r="AL96" s="61">
        <f t="shared" si="206"/>
        <v>0</v>
      </c>
      <c r="AM96" s="61">
        <f t="shared" si="206"/>
        <v>0</v>
      </c>
      <c r="AN96" s="61">
        <f t="shared" si="206"/>
        <v>0</v>
      </c>
      <c r="AO96" s="61">
        <f t="shared" si="206"/>
        <v>0</v>
      </c>
      <c r="AP96" s="61">
        <f t="shared" si="206"/>
        <v>0</v>
      </c>
      <c r="AR96" s="61">
        <f t="shared" si="207"/>
        <v>0</v>
      </c>
      <c r="AS96" s="61">
        <f t="shared" si="207"/>
        <v>0</v>
      </c>
      <c r="AT96" s="61">
        <f t="shared" si="207"/>
        <v>0</v>
      </c>
      <c r="AU96" s="61">
        <f t="shared" si="207"/>
        <v>0</v>
      </c>
      <c r="AV96" s="61">
        <f t="shared" si="207"/>
        <v>0</v>
      </c>
      <c r="AX96" s="7">
        <f t="shared" si="199"/>
        <v>0</v>
      </c>
      <c r="AY96" s="7">
        <f t="shared" si="190"/>
        <v>0</v>
      </c>
      <c r="AZ96" s="7">
        <f t="shared" si="190"/>
        <v>0</v>
      </c>
      <c r="BA96" s="7">
        <f t="shared" si="190"/>
        <v>0</v>
      </c>
      <c r="BB96" s="7">
        <f t="shared" si="147"/>
        <v>0</v>
      </c>
    </row>
    <row r="97" spans="1:54" hidden="1" x14ac:dyDescent="0.25">
      <c r="A97" s="62" t="s">
        <v>77</v>
      </c>
      <c r="B97" s="61">
        <f t="shared" si="200"/>
        <v>0</v>
      </c>
      <c r="C97" s="61">
        <f t="shared" si="200"/>
        <v>0</v>
      </c>
      <c r="D97" s="61">
        <f t="shared" si="200"/>
        <v>0</v>
      </c>
      <c r="E97" s="61">
        <f t="shared" si="200"/>
        <v>0</v>
      </c>
      <c r="F97" s="61">
        <f t="shared" si="200"/>
        <v>0</v>
      </c>
      <c r="H97" s="61">
        <f t="shared" si="201"/>
        <v>0</v>
      </c>
      <c r="I97" s="61">
        <f t="shared" si="201"/>
        <v>0</v>
      </c>
      <c r="J97" s="61">
        <f t="shared" si="201"/>
        <v>0</v>
      </c>
      <c r="K97" s="61">
        <f t="shared" si="201"/>
        <v>0</v>
      </c>
      <c r="L97" s="61">
        <f t="shared" si="201"/>
        <v>0</v>
      </c>
      <c r="N97" s="61">
        <f t="shared" si="202"/>
        <v>0</v>
      </c>
      <c r="O97" s="61">
        <f t="shared" si="202"/>
        <v>0</v>
      </c>
      <c r="P97" s="61">
        <f t="shared" si="202"/>
        <v>0</v>
      </c>
      <c r="Q97" s="61">
        <f t="shared" si="202"/>
        <v>0</v>
      </c>
      <c r="R97" s="61">
        <f t="shared" si="202"/>
        <v>0</v>
      </c>
      <c r="T97" s="61">
        <f t="shared" si="203"/>
        <v>0</v>
      </c>
      <c r="U97" s="61">
        <f t="shared" si="203"/>
        <v>0</v>
      </c>
      <c r="V97" s="61">
        <f t="shared" si="203"/>
        <v>0</v>
      </c>
      <c r="W97" s="61">
        <f t="shared" si="203"/>
        <v>0</v>
      </c>
      <c r="X97" s="61">
        <f t="shared" si="203"/>
        <v>0</v>
      </c>
      <c r="Z97" s="61">
        <f t="shared" si="204"/>
        <v>0</v>
      </c>
      <c r="AA97" s="61">
        <f t="shared" si="204"/>
        <v>0</v>
      </c>
      <c r="AB97" s="61">
        <f t="shared" si="204"/>
        <v>0</v>
      </c>
      <c r="AC97" s="61">
        <f t="shared" si="204"/>
        <v>0</v>
      </c>
      <c r="AD97" s="61">
        <f t="shared" si="204"/>
        <v>0</v>
      </c>
      <c r="AF97" s="61">
        <f t="shared" si="205"/>
        <v>0</v>
      </c>
      <c r="AG97" s="61">
        <f t="shared" si="205"/>
        <v>0</v>
      </c>
      <c r="AH97" s="61">
        <f t="shared" si="205"/>
        <v>0</v>
      </c>
      <c r="AI97" s="61">
        <f t="shared" si="205"/>
        <v>0</v>
      </c>
      <c r="AJ97" s="61">
        <f t="shared" si="205"/>
        <v>0</v>
      </c>
      <c r="AL97" s="61">
        <f t="shared" si="206"/>
        <v>0</v>
      </c>
      <c r="AM97" s="61">
        <f t="shared" si="206"/>
        <v>0</v>
      </c>
      <c r="AN97" s="61">
        <f t="shared" si="206"/>
        <v>0</v>
      </c>
      <c r="AO97" s="61">
        <f t="shared" si="206"/>
        <v>0</v>
      </c>
      <c r="AP97" s="61">
        <f t="shared" si="206"/>
        <v>0</v>
      </c>
      <c r="AR97" s="61">
        <f t="shared" si="207"/>
        <v>0</v>
      </c>
      <c r="AS97" s="61">
        <f t="shared" si="207"/>
        <v>0</v>
      </c>
      <c r="AT97" s="61">
        <f t="shared" si="207"/>
        <v>0</v>
      </c>
      <c r="AU97" s="61">
        <f t="shared" si="207"/>
        <v>0</v>
      </c>
      <c r="AV97" s="61">
        <f t="shared" si="207"/>
        <v>0</v>
      </c>
      <c r="AX97" s="7">
        <f t="shared" si="199"/>
        <v>0</v>
      </c>
      <c r="AY97" s="7">
        <f t="shared" si="190"/>
        <v>0</v>
      </c>
      <c r="AZ97" s="7">
        <f t="shared" si="190"/>
        <v>0</v>
      </c>
      <c r="BA97" s="7">
        <f t="shared" si="190"/>
        <v>0</v>
      </c>
      <c r="BB97" s="7">
        <f t="shared" si="147"/>
        <v>0</v>
      </c>
    </row>
    <row r="98" spans="1:54" ht="15.75" hidden="1" thickBot="1" x14ac:dyDescent="0.3">
      <c r="A98" s="65" t="s">
        <v>204</v>
      </c>
      <c r="B98" s="61">
        <f t="shared" si="200"/>
        <v>14120</v>
      </c>
      <c r="C98" s="61">
        <f t="shared" si="200"/>
        <v>720</v>
      </c>
      <c r="D98" s="61">
        <f t="shared" si="200"/>
        <v>2160</v>
      </c>
      <c r="E98" s="61">
        <f t="shared" si="200"/>
        <v>240</v>
      </c>
      <c r="F98" s="61">
        <f t="shared" si="200"/>
        <v>17240</v>
      </c>
      <c r="H98" s="61">
        <f t="shared" si="201"/>
        <v>31760</v>
      </c>
      <c r="I98" s="61">
        <f t="shared" si="201"/>
        <v>2880</v>
      </c>
      <c r="J98" s="61">
        <f t="shared" si="201"/>
        <v>6960</v>
      </c>
      <c r="K98" s="61">
        <f t="shared" si="201"/>
        <v>0</v>
      </c>
      <c r="L98" s="61">
        <f t="shared" si="201"/>
        <v>41600</v>
      </c>
      <c r="N98" s="61">
        <f t="shared" si="202"/>
        <v>14960</v>
      </c>
      <c r="O98" s="61">
        <f t="shared" si="202"/>
        <v>1200</v>
      </c>
      <c r="P98" s="61">
        <f t="shared" si="202"/>
        <v>1999.2</v>
      </c>
      <c r="Q98" s="61">
        <f t="shared" si="202"/>
        <v>0</v>
      </c>
      <c r="R98" s="61">
        <f t="shared" si="202"/>
        <v>18159.2</v>
      </c>
      <c r="T98" s="61">
        <f t="shared" si="203"/>
        <v>17960</v>
      </c>
      <c r="U98" s="61">
        <f t="shared" si="203"/>
        <v>840</v>
      </c>
      <c r="V98" s="61">
        <f t="shared" si="203"/>
        <v>3201.6</v>
      </c>
      <c r="W98" s="61">
        <f t="shared" si="203"/>
        <v>0</v>
      </c>
      <c r="X98" s="61">
        <f t="shared" si="203"/>
        <v>22001.599999999999</v>
      </c>
      <c r="Z98" s="61">
        <f t="shared" si="204"/>
        <v>30080</v>
      </c>
      <c r="AA98" s="61">
        <f t="shared" si="204"/>
        <v>1320</v>
      </c>
      <c r="AB98" s="61">
        <f t="shared" si="204"/>
        <v>5479.2</v>
      </c>
      <c r="AC98" s="61">
        <f t="shared" si="204"/>
        <v>0</v>
      </c>
      <c r="AD98" s="61">
        <f t="shared" si="204"/>
        <v>36879.199999999997</v>
      </c>
      <c r="AF98" s="61">
        <f t="shared" si="205"/>
        <v>16520</v>
      </c>
      <c r="AG98" s="61">
        <f t="shared" si="205"/>
        <v>1080</v>
      </c>
      <c r="AH98" s="61">
        <f t="shared" si="205"/>
        <v>2520</v>
      </c>
      <c r="AI98" s="61">
        <f t="shared" si="205"/>
        <v>240</v>
      </c>
      <c r="AJ98" s="61">
        <f t="shared" si="205"/>
        <v>20360</v>
      </c>
      <c r="AL98" s="61">
        <f t="shared" si="206"/>
        <v>2720</v>
      </c>
      <c r="AM98" s="61">
        <f t="shared" si="206"/>
        <v>120</v>
      </c>
      <c r="AN98" s="61">
        <f t="shared" si="206"/>
        <v>0</v>
      </c>
      <c r="AO98" s="61">
        <f t="shared" si="206"/>
        <v>0</v>
      </c>
      <c r="AP98" s="61">
        <f t="shared" si="206"/>
        <v>2840</v>
      </c>
      <c r="AR98" s="61">
        <f t="shared" si="207"/>
        <v>2240</v>
      </c>
      <c r="AS98" s="61">
        <f t="shared" si="207"/>
        <v>0</v>
      </c>
      <c r="AT98" s="61">
        <f t="shared" si="207"/>
        <v>480</v>
      </c>
      <c r="AU98" s="61">
        <f t="shared" si="207"/>
        <v>0</v>
      </c>
      <c r="AV98" s="61">
        <f t="shared" si="207"/>
        <v>2720</v>
      </c>
      <c r="AX98" s="7">
        <f t="shared" si="199"/>
        <v>130360</v>
      </c>
      <c r="AY98" s="7">
        <f t="shared" si="190"/>
        <v>8160</v>
      </c>
      <c r="AZ98" s="7">
        <f t="shared" si="190"/>
        <v>22800</v>
      </c>
      <c r="BA98" s="7">
        <f t="shared" si="190"/>
        <v>480</v>
      </c>
      <c r="BB98" s="7">
        <f t="shared" si="147"/>
        <v>161800</v>
      </c>
    </row>
    <row r="99" spans="1:54" ht="15.75" hidden="1" thickBot="1" x14ac:dyDescent="0.3">
      <c r="A99" s="67" t="s">
        <v>81</v>
      </c>
      <c r="B99" s="68">
        <f>SUM(B87:B98)</f>
        <v>7295761.4291454405</v>
      </c>
      <c r="C99" s="68">
        <f>SUM(C87:C98)</f>
        <v>137068.85873192435</v>
      </c>
      <c r="D99" s="68"/>
      <c r="E99" s="68">
        <f t="shared" ref="E99:F99" si="208">SUM(E87:E98)</f>
        <v>224318.40000000002</v>
      </c>
      <c r="F99" s="68">
        <f t="shared" si="208"/>
        <v>8017831.0460531171</v>
      </c>
      <c r="H99" s="68">
        <f>SUM(H87:H98)</f>
        <v>19614730.157182597</v>
      </c>
      <c r="I99" s="68">
        <f>SUM(I87:I98)</f>
        <v>272930.45187165774</v>
      </c>
      <c r="J99" s="68"/>
      <c r="K99" s="68">
        <f t="shared" ref="K99:L99" si="209">SUM(K87:K98)</f>
        <v>618408</v>
      </c>
      <c r="L99" s="68">
        <f t="shared" si="209"/>
        <v>21603877.539535541</v>
      </c>
      <c r="N99" s="68">
        <f>SUM(N87:N98)</f>
        <v>7918963.9444570169</v>
      </c>
      <c r="O99" s="68">
        <f>SUM(O87:O98)</f>
        <v>140939</v>
      </c>
      <c r="P99" s="68"/>
      <c r="Q99" s="68">
        <f t="shared" ref="Q99:R99" si="210">SUM(Q87:Q98)</f>
        <v>192024</v>
      </c>
      <c r="R99" s="68">
        <f t="shared" si="210"/>
        <v>8512926.1444570161</v>
      </c>
      <c r="T99" s="68">
        <f>SUM(T87:T98)</f>
        <v>9470090.7012945618</v>
      </c>
      <c r="U99" s="68">
        <f>SUM(U87:U98)</f>
        <v>122831.47206005006</v>
      </c>
      <c r="V99" s="68"/>
      <c r="W99" s="68">
        <f t="shared" ref="W99:X99" si="211">SUM(W87:W98)</f>
        <v>114817.5</v>
      </c>
      <c r="X99" s="68">
        <f t="shared" si="211"/>
        <v>10093985.47685753</v>
      </c>
      <c r="Z99" s="68">
        <f>SUM(Z87:Z98)</f>
        <v>18918782.339706335</v>
      </c>
      <c r="AA99" s="68">
        <f>SUM(AA87:AA98)</f>
        <v>194492.37703349284</v>
      </c>
      <c r="AB99" s="68"/>
      <c r="AC99" s="68">
        <f t="shared" ref="AC99:AD99" si="212">SUM(AC87:AC98)</f>
        <v>367113.6</v>
      </c>
      <c r="AD99" s="68">
        <f t="shared" si="212"/>
        <v>20181158.425830733</v>
      </c>
      <c r="AF99" s="68">
        <f>SUM(AF87:AF98)</f>
        <v>9351957.7296736427</v>
      </c>
      <c r="AG99" s="68">
        <f>SUM(AG87:AG98)</f>
        <v>664053.12</v>
      </c>
      <c r="AH99" s="68"/>
      <c r="AI99" s="68">
        <f t="shared" ref="AI99:AJ99" si="213">SUM(AI87:AI98)</f>
        <v>560111.99999999988</v>
      </c>
      <c r="AJ99" s="68">
        <f t="shared" si="213"/>
        <v>11025762.849673644</v>
      </c>
      <c r="AL99" s="68">
        <f>SUM(AL87:AL98)</f>
        <v>2720</v>
      </c>
      <c r="AM99" s="68">
        <f>SUM(AM87:AM98)</f>
        <v>120</v>
      </c>
      <c r="AN99" s="68"/>
      <c r="AO99" s="68">
        <f t="shared" ref="AO99:AP99" si="214">SUM(AO87:AO98)</f>
        <v>0</v>
      </c>
      <c r="AP99" s="68">
        <f t="shared" si="214"/>
        <v>2840</v>
      </c>
      <c r="AR99" s="68">
        <f>SUM(AR87:AR98)</f>
        <v>3117214.9999999995</v>
      </c>
      <c r="AS99" s="68">
        <f>SUM(AS87:AS98)</f>
        <v>10520</v>
      </c>
      <c r="AT99" s="68"/>
      <c r="AU99" s="68">
        <f t="shared" ref="AU99:AV99" si="215">SUM(AU87:AU98)</f>
        <v>97415.999999999985</v>
      </c>
      <c r="AV99" s="68">
        <f t="shared" si="215"/>
        <v>3331230.9999999995</v>
      </c>
      <c r="AX99" s="68">
        <f>SUM(AX87:AX98)</f>
        <v>75690221.301459596</v>
      </c>
      <c r="AY99" s="68">
        <f>SUM(AY87:AY98)</f>
        <v>1542955.2796971251</v>
      </c>
      <c r="AZ99" s="68"/>
      <c r="BA99" s="68">
        <f t="shared" ref="BA99:BB99" si="216">SUM(BA87:BA98)</f>
        <v>2174209.5</v>
      </c>
      <c r="BB99" s="68">
        <f t="shared" si="216"/>
        <v>82769612.482407585</v>
      </c>
    </row>
    <row r="100" spans="1:54" x14ac:dyDescent="0.25">
      <c r="A100" s="70"/>
      <c r="B100" s="55"/>
      <c r="C100" s="55"/>
      <c r="D100" s="55"/>
      <c r="E100" s="55"/>
      <c r="F100" s="55"/>
      <c r="H100" s="55"/>
      <c r="I100" s="55"/>
      <c r="J100" s="55"/>
      <c r="K100" s="55"/>
      <c r="L100" s="55"/>
      <c r="N100" s="55"/>
      <c r="O100" s="55"/>
      <c r="P100" s="55"/>
      <c r="Q100" s="55"/>
      <c r="R100" s="55"/>
      <c r="T100" s="55"/>
      <c r="U100" s="55"/>
      <c r="V100" s="55"/>
      <c r="W100" s="55"/>
      <c r="X100" s="55"/>
      <c r="Z100" s="55"/>
      <c r="AA100" s="55"/>
      <c r="AB100" s="55"/>
      <c r="AC100" s="55"/>
      <c r="AD100" s="55"/>
      <c r="AF100" s="55"/>
      <c r="AG100" s="55"/>
      <c r="AH100" s="55"/>
      <c r="AI100" s="55"/>
      <c r="AJ100" s="55"/>
      <c r="AL100" s="55"/>
      <c r="AM100" s="55"/>
      <c r="AN100" s="55"/>
      <c r="AO100" s="55"/>
      <c r="AP100" s="55"/>
      <c r="AR100" s="55"/>
      <c r="AS100" s="55"/>
      <c r="AT100" s="55"/>
      <c r="AU100" s="55"/>
      <c r="AV100" s="55"/>
      <c r="AX100" s="55"/>
      <c r="AY100" s="55"/>
      <c r="AZ100" s="55"/>
      <c r="BA100" s="55"/>
      <c r="BB100" s="55"/>
    </row>
    <row r="101" spans="1:54" ht="15.75" thickBot="1" x14ac:dyDescent="0.3">
      <c r="A101" s="73" t="s">
        <v>82</v>
      </c>
      <c r="B101" s="74" t="str">
        <f>B1</f>
        <v>Operating</v>
      </c>
      <c r="C101" s="74" t="str">
        <f>C1</f>
        <v>Weights</v>
      </c>
      <c r="D101" s="74" t="str">
        <f>D1</f>
        <v>SPED</v>
      </c>
      <c r="E101" s="74" t="str">
        <f t="shared" ref="E101:F101" si="217">E1</f>
        <v>NSLP</v>
      </c>
      <c r="F101" s="74" t="str">
        <f t="shared" si="217"/>
        <v>Horizon</v>
      </c>
      <c r="H101" s="74" t="str">
        <f>H1</f>
        <v>Operating</v>
      </c>
      <c r="I101" s="74" t="str">
        <f>I1</f>
        <v>Weights</v>
      </c>
      <c r="J101" s="74" t="str">
        <f>J1</f>
        <v>SPED</v>
      </c>
      <c r="K101" s="74" t="str">
        <f t="shared" ref="K101:L101" si="218">K1</f>
        <v>NSLP</v>
      </c>
      <c r="L101" s="74" t="str">
        <f t="shared" si="218"/>
        <v>Cadence</v>
      </c>
      <c r="N101" s="74" t="str">
        <f>N1</f>
        <v>Operating</v>
      </c>
      <c r="O101" s="74" t="str">
        <f>O1</f>
        <v>Weights</v>
      </c>
      <c r="P101" s="74" t="str">
        <f>P1</f>
        <v>SPED</v>
      </c>
      <c r="Q101" s="74" t="str">
        <f t="shared" ref="Q101:R101" si="219">Q1</f>
        <v>NSLP</v>
      </c>
      <c r="R101" s="74" t="str">
        <f t="shared" si="219"/>
        <v>St. Rose</v>
      </c>
      <c r="T101" s="74" t="str">
        <f>T1</f>
        <v>Operating</v>
      </c>
      <c r="U101" s="74" t="str">
        <f>U1</f>
        <v>Weights</v>
      </c>
      <c r="V101" s="74" t="str">
        <f>V1</f>
        <v>SPED</v>
      </c>
      <c r="W101" s="74" t="str">
        <f t="shared" ref="W101:X101" si="220">W1</f>
        <v>NSLP</v>
      </c>
      <c r="X101" s="74" t="str">
        <f t="shared" si="220"/>
        <v>Inspirada</v>
      </c>
      <c r="Z101" s="74" t="str">
        <f>Z1</f>
        <v>Operating</v>
      </c>
      <c r="AA101" s="74" t="str">
        <f>AA1</f>
        <v>Weights</v>
      </c>
      <c r="AB101" s="74" t="str">
        <f>AB1</f>
        <v>SPED</v>
      </c>
      <c r="AC101" s="74" t="str">
        <f t="shared" ref="AC101:AD101" si="221">AC1</f>
        <v>NSLP</v>
      </c>
      <c r="AD101" s="74" t="str">
        <f t="shared" si="221"/>
        <v>Sloan Canyon</v>
      </c>
      <c r="AF101" s="74" t="str">
        <f>AF1</f>
        <v>Operating</v>
      </c>
      <c r="AG101" s="74" t="str">
        <f>AG1</f>
        <v>Weights</v>
      </c>
      <c r="AH101" s="74" t="str">
        <f>AH1</f>
        <v>SPED</v>
      </c>
      <c r="AI101" s="74" t="str">
        <f t="shared" ref="AI101:AJ101" si="222">AI1</f>
        <v>NSLP</v>
      </c>
      <c r="AJ101" s="74" t="str">
        <f t="shared" si="222"/>
        <v>Springs</v>
      </c>
      <c r="AL101" s="74" t="str">
        <f>AL1</f>
        <v>Operating</v>
      </c>
      <c r="AM101" s="74" t="str">
        <f>AM1</f>
        <v>Weights</v>
      </c>
      <c r="AN101" s="74" t="str">
        <f>AN1</f>
        <v>SPED</v>
      </c>
      <c r="AO101" s="74" t="str">
        <f t="shared" ref="AO101:AP101" si="223">AO1</f>
        <v>NSLP</v>
      </c>
      <c r="AP101" s="74" t="str">
        <f t="shared" si="223"/>
        <v>System Wide</v>
      </c>
      <c r="AR101" s="74" t="str">
        <f>AR1</f>
        <v>Operating</v>
      </c>
      <c r="AS101" s="74" t="str">
        <f>AS1</f>
        <v>Weights</v>
      </c>
      <c r="AT101" s="74" t="str">
        <f>AT1</f>
        <v>SPED</v>
      </c>
      <c r="AU101" s="74" t="str">
        <f t="shared" ref="AU101:AV101" si="224">AU1</f>
        <v>NSLP</v>
      </c>
      <c r="AV101" s="74" t="str">
        <f t="shared" si="224"/>
        <v>Virtual</v>
      </c>
      <c r="AX101" s="74" t="str">
        <f>AX1</f>
        <v>Operating</v>
      </c>
      <c r="AY101" s="74" t="str">
        <f>AY1</f>
        <v>Weights</v>
      </c>
      <c r="AZ101" s="74" t="str">
        <f>AZ1</f>
        <v>SPED</v>
      </c>
      <c r="BA101" s="74" t="str">
        <f t="shared" ref="BA101:BB101" si="225">BA1</f>
        <v>NSLP</v>
      </c>
      <c r="BB101" s="74" t="str">
        <f t="shared" si="225"/>
        <v>Pinecrest System</v>
      </c>
    </row>
    <row r="102" spans="1:54" x14ac:dyDescent="0.25">
      <c r="A102" s="76" t="s">
        <v>83</v>
      </c>
      <c r="B102" s="77"/>
      <c r="C102" s="77"/>
      <c r="D102" s="77"/>
      <c r="E102" s="77"/>
      <c r="F102" s="77"/>
      <c r="H102" s="77"/>
      <c r="I102" s="77"/>
      <c r="J102" s="77"/>
      <c r="K102" s="77"/>
      <c r="L102" s="77"/>
      <c r="N102" s="77"/>
      <c r="O102" s="77"/>
      <c r="P102" s="77"/>
      <c r="Q102" s="77"/>
      <c r="R102" s="77"/>
      <c r="T102" s="77"/>
      <c r="U102" s="77"/>
      <c r="V102" s="77"/>
      <c r="W102" s="77"/>
      <c r="X102" s="77"/>
      <c r="Z102" s="77"/>
      <c r="AA102" s="77"/>
      <c r="AB102" s="77"/>
      <c r="AC102" s="77"/>
      <c r="AD102" s="77"/>
      <c r="AF102" s="77"/>
      <c r="AG102" s="77"/>
      <c r="AH102" s="77"/>
      <c r="AI102" s="77"/>
      <c r="AJ102" s="77"/>
      <c r="AL102" s="77"/>
      <c r="AM102" s="77"/>
      <c r="AN102" s="77"/>
      <c r="AO102" s="77"/>
      <c r="AP102" s="77"/>
      <c r="AR102" s="77"/>
      <c r="AS102" s="77"/>
      <c r="AT102" s="77"/>
      <c r="AU102" s="77"/>
      <c r="AV102" s="77"/>
      <c r="AX102" s="77"/>
      <c r="AY102" s="77"/>
      <c r="AZ102" s="77"/>
      <c r="BA102" s="77"/>
      <c r="BB102" s="77"/>
    </row>
    <row r="103" spans="1:54" x14ac:dyDescent="0.25">
      <c r="A103" s="62" t="s">
        <v>41</v>
      </c>
      <c r="B103" s="15">
        <f>'FY27'!B103*1.02</f>
        <v>129508.67821535999</v>
      </c>
      <c r="C103" s="15">
        <f>'FY27'!C103*1.02</f>
        <v>0</v>
      </c>
      <c r="D103" s="7"/>
      <c r="E103" s="7"/>
      <c r="F103" s="7">
        <f t="shared" ref="F103:F115" si="226">SUM(B103:E103)</f>
        <v>129508.67821535999</v>
      </c>
      <c r="H103" s="15">
        <f>'FY27'!H103*1.02</f>
        <v>152595.57089148165</v>
      </c>
      <c r="I103" s="15">
        <f>'FY27'!I103*1.02</f>
        <v>0</v>
      </c>
      <c r="J103" s="7"/>
      <c r="K103" s="7"/>
      <c r="L103" s="7">
        <f t="shared" ref="L103:L115" si="227">SUM(H103:K103)</f>
        <v>152595.57089148165</v>
      </c>
      <c r="N103" s="15">
        <f>'FY27'!N103*1.02</f>
        <v>126130.190957568</v>
      </c>
      <c r="O103" s="15">
        <f>'FY27'!O103*1.02</f>
        <v>0</v>
      </c>
      <c r="P103" s="7"/>
      <c r="Q103" s="7"/>
      <c r="R103" s="7">
        <f t="shared" ref="R103:R115" si="228">SUM(N103:Q103)</f>
        <v>126130.190957568</v>
      </c>
      <c r="T103" s="15">
        <f>'FY27'!T103*1.02</f>
        <v>161615.34797241603</v>
      </c>
      <c r="U103" s="15">
        <f>'FY27'!U103*1.02</f>
        <v>0</v>
      </c>
      <c r="V103" s="7"/>
      <c r="W103" s="7"/>
      <c r="X103" s="7">
        <f t="shared" ref="X103:X115" si="229">SUM(T103:W103)</f>
        <v>161615.34797241603</v>
      </c>
      <c r="Z103" s="15">
        <f>'FY27'!Z103*1.02</f>
        <v>152088.79780281289</v>
      </c>
      <c r="AA103" s="15">
        <f>'FY27'!AA103*1.02</f>
        <v>0</v>
      </c>
      <c r="AB103" s="15">
        <f>'FY27'!AB103*1.02</f>
        <v>0</v>
      </c>
      <c r="AC103" s="15">
        <f>'FY27'!AC103*1.02</f>
        <v>0</v>
      </c>
      <c r="AD103" s="7">
        <f t="shared" ref="AD103:AD115" si="230">SUM(Z103:AC103)</f>
        <v>152088.79780281289</v>
      </c>
      <c r="AF103" s="15">
        <f>'FY27'!AF103*1.02</f>
        <v>119067.53760000001</v>
      </c>
      <c r="AG103" s="15">
        <f>'FY27'!AG103*1.02</f>
        <v>0</v>
      </c>
      <c r="AH103" s="15">
        <f>'FY27'!AH103*1.02</f>
        <v>0</v>
      </c>
      <c r="AI103" s="7"/>
      <c r="AJ103" s="7">
        <f t="shared" ref="AJ103:AJ115" si="231">SUM(AF103:AI103)</f>
        <v>119067.53760000001</v>
      </c>
      <c r="AL103" s="15">
        <f>'FY27'!AL103*1.02</f>
        <v>0</v>
      </c>
      <c r="AM103" s="15">
        <f>'FY27'!AM103*1.02</f>
        <v>0</v>
      </c>
      <c r="AN103" s="15">
        <v>0</v>
      </c>
      <c r="AO103" s="15">
        <v>0</v>
      </c>
      <c r="AP103" s="7">
        <f t="shared" ref="AP103:AP115" si="232">SUM(AL103:AO103)</f>
        <v>0</v>
      </c>
      <c r="AR103" s="15">
        <v>0</v>
      </c>
      <c r="AS103" s="7"/>
      <c r="AT103" s="7"/>
      <c r="AU103" s="7"/>
      <c r="AV103" s="7">
        <f t="shared" ref="AV103:AV115" si="233">SUM(AR103:AU103)</f>
        <v>0</v>
      </c>
      <c r="AX103" s="7">
        <f>B103+H103+N103+T103+Z103+AF103+AL103+AR103</f>
        <v>841006.12343963853</v>
      </c>
      <c r="AY103" s="7">
        <f t="shared" ref="AY103:BA115" si="234">C103+I103+O103+U103+AA103+AG103+AM103+AS103</f>
        <v>0</v>
      </c>
      <c r="AZ103" s="7">
        <f t="shared" si="234"/>
        <v>0</v>
      </c>
      <c r="BA103" s="7">
        <f t="shared" si="234"/>
        <v>0</v>
      </c>
      <c r="BB103" s="7">
        <f t="shared" ref="BB103:BB115" si="235">SUM(AX103:BA103)</f>
        <v>841006.12343963853</v>
      </c>
    </row>
    <row r="104" spans="1:54" x14ac:dyDescent="0.25">
      <c r="A104" s="62" t="s">
        <v>84</v>
      </c>
      <c r="B104" s="15">
        <f>'FY27'!B104*1.02</f>
        <v>173954.66013747166</v>
      </c>
      <c r="C104" s="15">
        <f>'FY27'!C104*1.02</f>
        <v>78831.369348480002</v>
      </c>
      <c r="D104" s="7"/>
      <c r="E104" s="7"/>
      <c r="F104" s="7">
        <f t="shared" si="226"/>
        <v>252786.02948595164</v>
      </c>
      <c r="H104" s="15">
        <f>'FY27'!H104*1.02</f>
        <v>359102.113420518</v>
      </c>
      <c r="I104" s="15">
        <f>'FY27'!I104*1.02</f>
        <v>0</v>
      </c>
      <c r="J104" s="7"/>
      <c r="K104" s="7"/>
      <c r="L104" s="7">
        <f t="shared" si="227"/>
        <v>359102.113420518</v>
      </c>
      <c r="N104" s="15">
        <f>'FY27'!N104*1.02</f>
        <v>179194.9641532877</v>
      </c>
      <c r="O104" s="15">
        <f>'FY27'!O104*1.02</f>
        <v>0</v>
      </c>
      <c r="P104" s="7"/>
      <c r="Q104" s="7"/>
      <c r="R104" s="7">
        <f t="shared" si="228"/>
        <v>179194.9641532877</v>
      </c>
      <c r="T104" s="15">
        <f>'FY27'!T104*1.02</f>
        <v>195512.04406224575</v>
      </c>
      <c r="U104" s="15">
        <f>'FY27'!U104*1.02</f>
        <v>0</v>
      </c>
      <c r="V104" s="7"/>
      <c r="W104" s="7"/>
      <c r="X104" s="7">
        <f t="shared" si="229"/>
        <v>195512.04406224575</v>
      </c>
      <c r="Z104" s="15">
        <f>'FY27'!Z104*1.02</f>
        <v>255335.59363342018</v>
      </c>
      <c r="AA104" s="15">
        <f>'FY27'!AA104*1.02</f>
        <v>0</v>
      </c>
      <c r="AB104" s="15">
        <f>'FY27'!AB104*1.02</f>
        <v>99367.272288000007</v>
      </c>
      <c r="AC104" s="15">
        <f>'FY27'!AC104*1.02</f>
        <v>0</v>
      </c>
      <c r="AD104" s="7">
        <f t="shared" si="230"/>
        <v>354702.86592142016</v>
      </c>
      <c r="AF104" s="15">
        <f>'FY27'!AF104*1.02</f>
        <v>237273.01200000002</v>
      </c>
      <c r="AG104" s="15">
        <f>'FY27'!AG104*1.02</f>
        <v>0</v>
      </c>
      <c r="AH104" s="15">
        <f>'FY27'!AH104*1.02</f>
        <v>0</v>
      </c>
      <c r="AI104" s="7"/>
      <c r="AJ104" s="7">
        <f t="shared" si="231"/>
        <v>237273.01200000002</v>
      </c>
      <c r="AL104" s="15">
        <f>'FY27'!AL104*1.02</f>
        <v>0</v>
      </c>
      <c r="AM104" s="15">
        <f>'FY27'!AM104*1.02</f>
        <v>0</v>
      </c>
      <c r="AN104" s="15">
        <v>0</v>
      </c>
      <c r="AO104" s="15">
        <v>0</v>
      </c>
      <c r="AP104" s="7">
        <f t="shared" si="232"/>
        <v>0</v>
      </c>
      <c r="AR104" s="15">
        <v>0</v>
      </c>
      <c r="AS104" s="7"/>
      <c r="AT104" s="7"/>
      <c r="AU104" s="7"/>
      <c r="AV104" s="7">
        <f t="shared" si="233"/>
        <v>0</v>
      </c>
      <c r="AX104" s="7">
        <f t="shared" ref="AX104:AX115" si="236">B104+H104+N104+T104+Z104+AF104+AL104+AR104</f>
        <v>1400372.3874069434</v>
      </c>
      <c r="AY104" s="7">
        <f t="shared" si="234"/>
        <v>78831.369348480002</v>
      </c>
      <c r="AZ104" s="7">
        <f t="shared" si="234"/>
        <v>99367.272288000007</v>
      </c>
      <c r="BA104" s="7">
        <f t="shared" si="234"/>
        <v>0</v>
      </c>
      <c r="BB104" s="7">
        <f t="shared" si="235"/>
        <v>1578571.0290434232</v>
      </c>
    </row>
    <row r="105" spans="1:54" x14ac:dyDescent="0.25">
      <c r="A105" s="62" t="s">
        <v>45</v>
      </c>
      <c r="B105" s="15">
        <f>'FY27'!B105*1.02</f>
        <v>0</v>
      </c>
      <c r="C105" s="15">
        <f>'FY27'!C105*1.02</f>
        <v>0</v>
      </c>
      <c r="D105" s="7"/>
      <c r="E105" s="7"/>
      <c r="F105" s="7">
        <f t="shared" si="226"/>
        <v>0</v>
      </c>
      <c r="H105" s="15">
        <f>'FY27'!H105*1.02</f>
        <v>69954.957159841142</v>
      </c>
      <c r="I105" s="15">
        <f>'FY27'!I105*1.02</f>
        <v>0</v>
      </c>
      <c r="J105" s="7"/>
      <c r="K105" s="7"/>
      <c r="L105" s="7">
        <f t="shared" si="227"/>
        <v>69954.957159841142</v>
      </c>
      <c r="N105" s="15">
        <f>'FY27'!N105*1.02</f>
        <v>0</v>
      </c>
      <c r="O105" s="15">
        <f>'FY27'!O105*1.02</f>
        <v>0</v>
      </c>
      <c r="P105" s="7"/>
      <c r="Q105" s="7"/>
      <c r="R105" s="7">
        <f t="shared" si="228"/>
        <v>0</v>
      </c>
      <c r="T105" s="15">
        <f>'FY27'!T105*1.02</f>
        <v>82705.368070748169</v>
      </c>
      <c r="U105" s="15">
        <f>'FY27'!U105*1.02</f>
        <v>0</v>
      </c>
      <c r="V105" s="7"/>
      <c r="W105" s="7"/>
      <c r="X105" s="7">
        <f t="shared" si="229"/>
        <v>82705.368070748169</v>
      </c>
      <c r="Z105" s="15">
        <f>'FY27'!Z105*1.02</f>
        <v>67508.256687748188</v>
      </c>
      <c r="AA105" s="15">
        <f>'FY27'!AA105*1.02</f>
        <v>0</v>
      </c>
      <c r="AB105" s="15">
        <f>'FY27'!AB105*1.02</f>
        <v>0</v>
      </c>
      <c r="AC105" s="15">
        <f>'FY27'!AC105*1.02</f>
        <v>0</v>
      </c>
      <c r="AD105" s="7">
        <f t="shared" si="230"/>
        <v>67508.256687748188</v>
      </c>
      <c r="AF105" s="15">
        <f>'FY27'!AF105*1.02</f>
        <v>0</v>
      </c>
      <c r="AG105" s="15">
        <f>'FY27'!AG105*1.02</f>
        <v>66300</v>
      </c>
      <c r="AH105" s="15">
        <f>'FY27'!AH105*1.02</f>
        <v>0</v>
      </c>
      <c r="AI105" s="7"/>
      <c r="AJ105" s="7">
        <f t="shared" si="231"/>
        <v>66300</v>
      </c>
      <c r="AL105" s="15">
        <f>'FY27'!AL105*1.02</f>
        <v>80407.996735449604</v>
      </c>
      <c r="AM105" s="15">
        <f>'FY27'!AM105*1.02</f>
        <v>0</v>
      </c>
      <c r="AN105" s="15">
        <v>0</v>
      </c>
      <c r="AO105" s="15">
        <v>0</v>
      </c>
      <c r="AP105" s="7">
        <f t="shared" si="232"/>
        <v>80407.996735449604</v>
      </c>
      <c r="AR105" s="7">
        <f>(60000*1.015*1.02)*AR46</f>
        <v>0</v>
      </c>
      <c r="AS105" s="15"/>
      <c r="AT105" s="7"/>
      <c r="AU105" s="7"/>
      <c r="AV105" s="7">
        <f t="shared" si="233"/>
        <v>0</v>
      </c>
      <c r="AX105" s="7">
        <f t="shared" si="236"/>
        <v>300576.57865378709</v>
      </c>
      <c r="AY105" s="7">
        <f t="shared" si="234"/>
        <v>66300</v>
      </c>
      <c r="AZ105" s="7">
        <f t="shared" si="234"/>
        <v>0</v>
      </c>
      <c r="BA105" s="7">
        <f t="shared" si="234"/>
        <v>0</v>
      </c>
      <c r="BB105" s="7">
        <f t="shared" si="235"/>
        <v>366876.57865378709</v>
      </c>
    </row>
    <row r="106" spans="1:54" x14ac:dyDescent="0.25">
      <c r="A106" s="62" t="s">
        <v>210</v>
      </c>
      <c r="B106" s="15">
        <f>'FY27'!B106*1.02</f>
        <v>0</v>
      </c>
      <c r="C106" s="15">
        <f>'FY27'!C106*1.02</f>
        <v>0</v>
      </c>
      <c r="D106" s="7"/>
      <c r="E106" s="7"/>
      <c r="F106" s="7">
        <f t="shared" si="226"/>
        <v>0</v>
      </c>
      <c r="H106" s="15">
        <f>'FY27'!H106*1.02</f>
        <v>0</v>
      </c>
      <c r="I106" s="15">
        <f>'FY27'!I106*1.02</f>
        <v>0</v>
      </c>
      <c r="J106" s="7"/>
      <c r="K106" s="7"/>
      <c r="L106" s="7">
        <f t="shared" si="227"/>
        <v>0</v>
      </c>
      <c r="N106" s="15">
        <f>'FY27'!N106*1.02</f>
        <v>0</v>
      </c>
      <c r="O106" s="15">
        <f>'FY27'!O106*1.02</f>
        <v>63177.711720710409</v>
      </c>
      <c r="P106" s="7"/>
      <c r="Q106" s="7"/>
      <c r="R106" s="7">
        <f t="shared" si="228"/>
        <v>63177.711720710409</v>
      </c>
      <c r="T106" s="15">
        <f>'FY27'!T106*1.02</f>
        <v>0</v>
      </c>
      <c r="U106" s="15">
        <f>'FY27'!U106*1.02</f>
        <v>0</v>
      </c>
      <c r="V106" s="7"/>
      <c r="W106" s="7"/>
      <c r="X106" s="7">
        <f t="shared" si="229"/>
        <v>0</v>
      </c>
      <c r="Z106" s="15">
        <f>'FY27'!Z106*1.02</f>
        <v>0</v>
      </c>
      <c r="AA106" s="15">
        <f>'FY27'!AA106*1.02</f>
        <v>0</v>
      </c>
      <c r="AB106" s="15">
        <f>'FY27'!AB106*1.02</f>
        <v>0</v>
      </c>
      <c r="AC106" s="15">
        <f>'FY27'!AC106*1.02</f>
        <v>0</v>
      </c>
      <c r="AD106" s="7">
        <f t="shared" si="230"/>
        <v>0</v>
      </c>
      <c r="AF106" s="15">
        <f>'FY27'!AF106*1.02</f>
        <v>0</v>
      </c>
      <c r="AG106" s="15">
        <f>'FY27'!AG106*1.02+(65000/2)</f>
        <v>136671.09039999999</v>
      </c>
      <c r="AH106" s="15">
        <f>'FY27'!AH106*1.02</f>
        <v>0</v>
      </c>
      <c r="AI106" s="7"/>
      <c r="AJ106" s="7">
        <f t="shared" si="231"/>
        <v>136671.09039999999</v>
      </c>
      <c r="AL106" s="15">
        <f>'FY27'!AL106*1.02</f>
        <v>0</v>
      </c>
      <c r="AM106" s="15">
        <f>'FY27'!AM106*1.02</f>
        <v>0</v>
      </c>
      <c r="AN106" s="15">
        <v>0</v>
      </c>
      <c r="AO106" s="15">
        <v>0</v>
      </c>
      <c r="AP106" s="7">
        <f t="shared" si="232"/>
        <v>0</v>
      </c>
      <c r="AR106" s="15">
        <v>0</v>
      </c>
      <c r="AS106" s="15"/>
      <c r="AT106" s="7"/>
      <c r="AU106" s="7"/>
      <c r="AV106" s="7">
        <f t="shared" si="233"/>
        <v>0</v>
      </c>
      <c r="AX106" s="7">
        <f t="shared" si="236"/>
        <v>0</v>
      </c>
      <c r="AY106" s="7">
        <f t="shared" si="234"/>
        <v>199848.8021207104</v>
      </c>
      <c r="AZ106" s="7">
        <f t="shared" si="234"/>
        <v>0</v>
      </c>
      <c r="BA106" s="7">
        <f t="shared" si="234"/>
        <v>0</v>
      </c>
      <c r="BB106" s="7">
        <f t="shared" si="235"/>
        <v>199848.8021207104</v>
      </c>
    </row>
    <row r="107" spans="1:54" x14ac:dyDescent="0.25">
      <c r="A107" s="62" t="s">
        <v>87</v>
      </c>
      <c r="B107" s="15">
        <f>'FY27'!B107*1.02</f>
        <v>63177.711720710409</v>
      </c>
      <c r="C107" s="15">
        <f>'FY27'!C107*1.02</f>
        <v>0</v>
      </c>
      <c r="D107" s="7"/>
      <c r="E107" s="7"/>
      <c r="F107" s="7">
        <f t="shared" si="226"/>
        <v>63177.711720710409</v>
      </c>
      <c r="H107" s="15">
        <f>'FY27'!H107*1.02</f>
        <v>341030.41615422571</v>
      </c>
      <c r="I107" s="15">
        <f>'FY27'!I107*1.02</f>
        <v>0</v>
      </c>
      <c r="J107" s="7"/>
      <c r="K107" s="7"/>
      <c r="L107" s="7">
        <f t="shared" si="227"/>
        <v>341030.41615422571</v>
      </c>
      <c r="N107" s="15">
        <f>'FY27'!N107*1.02</f>
        <v>63177.711720710409</v>
      </c>
      <c r="O107" s="15">
        <f>'FY27'!O107*1.02</f>
        <v>0</v>
      </c>
      <c r="P107" s="7"/>
      <c r="Q107" s="7"/>
      <c r="R107" s="7">
        <f t="shared" si="228"/>
        <v>63177.711720710409</v>
      </c>
      <c r="T107" s="15">
        <f>'FY27'!T107*1.02</f>
        <v>71218.511394255387</v>
      </c>
      <c r="U107" s="15">
        <f>'FY27'!U107*1.02</f>
        <v>0</v>
      </c>
      <c r="V107" s="7"/>
      <c r="W107" s="7"/>
      <c r="X107" s="7">
        <f t="shared" si="229"/>
        <v>71218.511394255387</v>
      </c>
      <c r="Z107" s="15">
        <f>'FY27'!Z107*1.02</f>
        <v>135016.51337549638</v>
      </c>
      <c r="AA107" s="15">
        <f>'FY27'!AA107*1.02</f>
        <v>0</v>
      </c>
      <c r="AB107" s="15">
        <f>'FY27'!AB107*1.02</f>
        <v>0</v>
      </c>
      <c r="AC107" s="15">
        <f>'FY27'!AC107*1.02</f>
        <v>0</v>
      </c>
      <c r="AD107" s="7">
        <f t="shared" si="230"/>
        <v>135016.51337549638</v>
      </c>
      <c r="AF107" s="15">
        <f>'FY27'!AF107*1.02</f>
        <v>0</v>
      </c>
      <c r="AG107" s="15">
        <f>'FY27'!AG107*1.02</f>
        <v>63984.6</v>
      </c>
      <c r="AH107" s="15">
        <f>'FY27'!AH107*1.02</f>
        <v>0</v>
      </c>
      <c r="AI107" s="7"/>
      <c r="AJ107" s="7">
        <f t="shared" si="231"/>
        <v>63984.6</v>
      </c>
      <c r="AL107" s="15">
        <f>'FY27'!AL107*1.02</f>
        <v>0</v>
      </c>
      <c r="AM107" s="15">
        <f>'FY27'!AM107*1.02</f>
        <v>0</v>
      </c>
      <c r="AN107" s="15">
        <v>0</v>
      </c>
      <c r="AO107" s="15">
        <v>0</v>
      </c>
      <c r="AP107" s="7">
        <f t="shared" si="232"/>
        <v>0</v>
      </c>
      <c r="AR107" s="7">
        <f>(58500*1.015*1.02)*AR45</f>
        <v>0</v>
      </c>
      <c r="AS107" s="7"/>
      <c r="AT107" s="7"/>
      <c r="AU107" s="7"/>
      <c r="AV107" s="7">
        <f t="shared" si="233"/>
        <v>0</v>
      </c>
      <c r="AX107" s="7">
        <f t="shared" si="236"/>
        <v>673620.8643653983</v>
      </c>
      <c r="AY107" s="7">
        <f t="shared" si="234"/>
        <v>63984.6</v>
      </c>
      <c r="AZ107" s="7">
        <f t="shared" si="234"/>
        <v>0</v>
      </c>
      <c r="BA107" s="7">
        <f t="shared" si="234"/>
        <v>0</v>
      </c>
      <c r="BB107" s="7">
        <f t="shared" si="235"/>
        <v>737605.46436539828</v>
      </c>
    </row>
    <row r="108" spans="1:54" x14ac:dyDescent="0.25">
      <c r="A108" s="62" t="s">
        <v>89</v>
      </c>
      <c r="B108" s="7">
        <f>52800*B39</f>
        <v>2191200</v>
      </c>
      <c r="C108" s="7">
        <f t="shared" ref="C108:E108" si="237">47350*C39</f>
        <v>0</v>
      </c>
      <c r="D108" s="7">
        <v>0</v>
      </c>
      <c r="E108" s="7">
        <f t="shared" si="237"/>
        <v>0</v>
      </c>
      <c r="F108" s="7">
        <f t="shared" si="226"/>
        <v>2191200</v>
      </c>
      <c r="G108" s="214">
        <f>F108/B39</f>
        <v>52800</v>
      </c>
      <c r="H108" s="7">
        <f>52800*H39</f>
        <v>5280000</v>
      </c>
      <c r="I108" s="7">
        <f t="shared" ref="I108" si="238">47350*I39</f>
        <v>0</v>
      </c>
      <c r="J108" s="7">
        <v>0</v>
      </c>
      <c r="K108" s="7">
        <f t="shared" ref="K108" si="239">47350*K39</f>
        <v>0</v>
      </c>
      <c r="L108" s="7">
        <f t="shared" si="227"/>
        <v>5280000</v>
      </c>
      <c r="M108" s="214">
        <f>L108/H39</f>
        <v>52800</v>
      </c>
      <c r="N108" s="7">
        <f>52800*N39</f>
        <v>2270400</v>
      </c>
      <c r="O108" s="7">
        <f t="shared" ref="O108" si="240">47350*O39</f>
        <v>0</v>
      </c>
      <c r="P108" s="7">
        <v>0</v>
      </c>
      <c r="Q108" s="7">
        <f t="shared" ref="Q108" si="241">47350*Q39</f>
        <v>0</v>
      </c>
      <c r="R108" s="7">
        <f t="shared" si="228"/>
        <v>2270400</v>
      </c>
      <c r="S108" s="214">
        <f>R108/N39</f>
        <v>52800</v>
      </c>
      <c r="T108" s="7">
        <f>52800*T39</f>
        <v>2798400</v>
      </c>
      <c r="U108" s="7">
        <f t="shared" ref="U108" si="242">47350*U39</f>
        <v>0</v>
      </c>
      <c r="V108" s="7">
        <v>0</v>
      </c>
      <c r="W108" s="7">
        <f t="shared" ref="W108" si="243">47350*W39</f>
        <v>0</v>
      </c>
      <c r="X108" s="7">
        <f t="shared" si="229"/>
        <v>2798400</v>
      </c>
      <c r="Y108" s="214">
        <f>X108/T39</f>
        <v>52800</v>
      </c>
      <c r="Z108" s="7">
        <f>52800*Z39</f>
        <v>5148000</v>
      </c>
      <c r="AA108" s="7">
        <f t="shared" ref="AA108" si="244">47350*AA39</f>
        <v>0</v>
      </c>
      <c r="AB108" s="7">
        <v>0</v>
      </c>
      <c r="AC108" s="7">
        <f t="shared" ref="AC108" si="245">47350*AC39</f>
        <v>0</v>
      </c>
      <c r="AD108" s="7">
        <f t="shared" si="230"/>
        <v>5148000</v>
      </c>
      <c r="AE108" s="214">
        <f>AD108/Z39</f>
        <v>52800</v>
      </c>
      <c r="AF108" s="7">
        <f>52800*AF39</f>
        <v>2666400</v>
      </c>
      <c r="AG108" s="7">
        <f t="shared" ref="AG108" si="246">47350*AG39</f>
        <v>0</v>
      </c>
      <c r="AH108" s="7">
        <v>0</v>
      </c>
      <c r="AI108" s="7">
        <f t="shared" ref="AI108" si="247">47350*AI39</f>
        <v>0</v>
      </c>
      <c r="AJ108" s="7">
        <f t="shared" si="231"/>
        <v>2666400</v>
      </c>
      <c r="AK108" s="214">
        <f>AJ108/AF39</f>
        <v>52800</v>
      </c>
      <c r="AL108" s="15">
        <v>0</v>
      </c>
      <c r="AM108" s="15">
        <v>0</v>
      </c>
      <c r="AN108" s="15">
        <v>0</v>
      </c>
      <c r="AO108" s="15">
        <v>0</v>
      </c>
      <c r="AP108" s="7">
        <f t="shared" si="232"/>
        <v>0</v>
      </c>
      <c r="AR108" s="7">
        <f>(125*AR19)*6</f>
        <v>307500</v>
      </c>
      <c r="AS108" s="7"/>
      <c r="AT108" s="7"/>
      <c r="AU108" s="7"/>
      <c r="AV108" s="7">
        <f t="shared" si="233"/>
        <v>307500</v>
      </c>
      <c r="AX108" s="7">
        <f t="shared" si="236"/>
        <v>20661900</v>
      </c>
      <c r="AY108" s="7">
        <f t="shared" si="234"/>
        <v>0</v>
      </c>
      <c r="AZ108" s="7">
        <f t="shared" si="234"/>
        <v>0</v>
      </c>
      <c r="BA108" s="7">
        <f t="shared" si="234"/>
        <v>0</v>
      </c>
      <c r="BB108" s="7">
        <f t="shared" si="235"/>
        <v>20661900</v>
      </c>
    </row>
    <row r="109" spans="1:54" x14ac:dyDescent="0.25">
      <c r="A109" s="62" t="s">
        <v>90</v>
      </c>
      <c r="B109" s="14">
        <v>0</v>
      </c>
      <c r="C109" s="14"/>
      <c r="D109" s="14"/>
      <c r="E109" s="14"/>
      <c r="F109" s="7">
        <f t="shared" si="226"/>
        <v>0</v>
      </c>
      <c r="H109" s="14">
        <v>0</v>
      </c>
      <c r="I109" s="14"/>
      <c r="J109" s="14"/>
      <c r="K109" s="14"/>
      <c r="L109" s="7">
        <f t="shared" si="227"/>
        <v>0</v>
      </c>
      <c r="N109" s="14">
        <v>0</v>
      </c>
      <c r="O109" s="14"/>
      <c r="P109" s="14"/>
      <c r="Q109" s="14"/>
      <c r="R109" s="7">
        <f t="shared" si="228"/>
        <v>0</v>
      </c>
      <c r="T109" s="14">
        <v>0</v>
      </c>
      <c r="U109" s="14"/>
      <c r="V109" s="14"/>
      <c r="W109" s="14"/>
      <c r="X109" s="7">
        <f t="shared" si="229"/>
        <v>0</v>
      </c>
      <c r="Z109" s="14">
        <v>0</v>
      </c>
      <c r="AA109" s="14"/>
      <c r="AB109" s="14"/>
      <c r="AC109" s="14"/>
      <c r="AD109" s="7">
        <f t="shared" si="230"/>
        <v>0</v>
      </c>
      <c r="AF109" s="14">
        <v>0</v>
      </c>
      <c r="AG109" s="14"/>
      <c r="AH109" s="14"/>
      <c r="AI109" s="14"/>
      <c r="AJ109" s="7">
        <f t="shared" si="231"/>
        <v>0</v>
      </c>
      <c r="AL109" s="15">
        <v>0</v>
      </c>
      <c r="AM109" s="15">
        <v>0</v>
      </c>
      <c r="AN109" s="15">
        <v>0</v>
      </c>
      <c r="AO109" s="15">
        <v>0</v>
      </c>
      <c r="AP109" s="7">
        <f t="shared" si="232"/>
        <v>0</v>
      </c>
      <c r="AR109" s="14">
        <v>0</v>
      </c>
      <c r="AS109" s="14"/>
      <c r="AT109" s="14"/>
      <c r="AU109" s="14"/>
      <c r="AV109" s="7">
        <f t="shared" si="233"/>
        <v>0</v>
      </c>
      <c r="AX109" s="7">
        <f t="shared" si="236"/>
        <v>0</v>
      </c>
      <c r="AY109" s="7">
        <f t="shared" si="234"/>
        <v>0</v>
      </c>
      <c r="AZ109" s="7">
        <f t="shared" si="234"/>
        <v>0</v>
      </c>
      <c r="BA109" s="7">
        <f t="shared" si="234"/>
        <v>0</v>
      </c>
      <c r="BB109" s="7">
        <f t="shared" si="235"/>
        <v>0</v>
      </c>
    </row>
    <row r="110" spans="1:54" x14ac:dyDescent="0.25">
      <c r="A110" s="62" t="s">
        <v>30</v>
      </c>
      <c r="B110" s="7">
        <v>0</v>
      </c>
      <c r="C110" s="7"/>
      <c r="D110" s="7">
        <f>52800*D30</f>
        <v>211200</v>
      </c>
      <c r="E110" s="7"/>
      <c r="F110" s="7">
        <f t="shared" si="226"/>
        <v>211200</v>
      </c>
      <c r="H110" s="7">
        <v>0</v>
      </c>
      <c r="I110" s="7"/>
      <c r="J110" s="7">
        <f>52800*J30</f>
        <v>686400</v>
      </c>
      <c r="K110" s="7"/>
      <c r="L110" s="7">
        <f t="shared" si="227"/>
        <v>686400</v>
      </c>
      <c r="N110" s="7">
        <v>0</v>
      </c>
      <c r="O110" s="7"/>
      <c r="P110" s="7">
        <f>52800*P30</f>
        <v>211200</v>
      </c>
      <c r="Q110" s="7"/>
      <c r="R110" s="7">
        <f t="shared" si="228"/>
        <v>211200</v>
      </c>
      <c r="T110" s="7">
        <v>0</v>
      </c>
      <c r="U110" s="7"/>
      <c r="V110" s="7">
        <f>52800*V30</f>
        <v>264000</v>
      </c>
      <c r="W110" s="7"/>
      <c r="X110" s="7">
        <f t="shared" si="229"/>
        <v>264000</v>
      </c>
      <c r="Z110" s="7">
        <v>0</v>
      </c>
      <c r="AA110" s="7"/>
      <c r="AB110" s="7">
        <f>52800*AB30</f>
        <v>528000</v>
      </c>
      <c r="AC110" s="7"/>
      <c r="AD110" s="7">
        <f t="shared" si="230"/>
        <v>528000</v>
      </c>
      <c r="AF110" s="7">
        <v>0</v>
      </c>
      <c r="AG110" s="7"/>
      <c r="AH110" s="7">
        <f>52800*AH30</f>
        <v>290400</v>
      </c>
      <c r="AI110" s="7"/>
      <c r="AJ110" s="7">
        <f t="shared" si="231"/>
        <v>290400</v>
      </c>
      <c r="AL110" s="15">
        <v>0</v>
      </c>
      <c r="AM110" s="15">
        <v>0</v>
      </c>
      <c r="AN110" s="15">
        <v>0</v>
      </c>
      <c r="AO110" s="15">
        <v>0</v>
      </c>
      <c r="AP110" s="7">
        <f t="shared" si="232"/>
        <v>0</v>
      </c>
      <c r="AR110" s="7">
        <v>0</v>
      </c>
      <c r="AS110" s="7"/>
      <c r="AT110" s="7">
        <f>50000*1.06</f>
        <v>53000</v>
      </c>
      <c r="AU110" s="7"/>
      <c r="AV110" s="7">
        <f t="shared" si="233"/>
        <v>53000</v>
      </c>
      <c r="AX110" s="7">
        <f t="shared" si="236"/>
        <v>0</v>
      </c>
      <c r="AY110" s="7">
        <f t="shared" si="234"/>
        <v>0</v>
      </c>
      <c r="AZ110" s="7">
        <f t="shared" si="234"/>
        <v>2244200</v>
      </c>
      <c r="BA110" s="7">
        <f t="shared" si="234"/>
        <v>0</v>
      </c>
      <c r="BB110" s="7">
        <f t="shared" si="235"/>
        <v>2244200</v>
      </c>
    </row>
    <row r="111" spans="1:54" x14ac:dyDescent="0.25">
      <c r="A111" s="62" t="s">
        <v>91</v>
      </c>
      <c r="B111" s="15">
        <f>'FY27'!B111*1.02</f>
        <v>125555.15711048289</v>
      </c>
      <c r="C111" s="7"/>
      <c r="D111" s="7"/>
      <c r="E111" s="7"/>
      <c r="F111" s="7">
        <f t="shared" si="226"/>
        <v>125555.15711048289</v>
      </c>
      <c r="H111" s="15">
        <f>'FY27'!H111*1.02</f>
        <v>214689.35128365047</v>
      </c>
      <c r="I111" s="7"/>
      <c r="J111" s="7"/>
      <c r="K111" s="7"/>
      <c r="L111" s="7">
        <f t="shared" si="227"/>
        <v>214689.35128365047</v>
      </c>
      <c r="N111" s="15">
        <f>'FY27'!N111*1.02</f>
        <v>110412.24071728262</v>
      </c>
      <c r="O111" s="7"/>
      <c r="P111" s="7"/>
      <c r="Q111" s="7"/>
      <c r="R111" s="7">
        <f t="shared" si="228"/>
        <v>110412.24071728262</v>
      </c>
      <c r="T111" s="15">
        <f>'FY27'!T111*1.02</f>
        <v>102250.82904863448</v>
      </c>
      <c r="U111" s="7"/>
      <c r="V111" s="7"/>
      <c r="W111" s="7"/>
      <c r="X111" s="7">
        <f t="shared" si="229"/>
        <v>102250.82904863448</v>
      </c>
      <c r="Z111" s="15">
        <f>'FY27'!Z111*1.02</f>
        <v>176270.03328945028</v>
      </c>
      <c r="AA111" s="7"/>
      <c r="AB111" s="7"/>
      <c r="AC111" s="7"/>
      <c r="AD111" s="7">
        <f t="shared" si="230"/>
        <v>176270.03328945028</v>
      </c>
      <c r="AF111" s="15">
        <f>'FY27'!AF111*1.02</f>
        <v>96463.807199999996</v>
      </c>
      <c r="AG111" s="7"/>
      <c r="AH111" s="7"/>
      <c r="AI111" s="7"/>
      <c r="AJ111" s="7">
        <f t="shared" si="231"/>
        <v>96463.807199999996</v>
      </c>
      <c r="AL111" s="15">
        <f>'FY27'!AL111*1.02</f>
        <v>80407.996735449604</v>
      </c>
      <c r="AM111" s="15">
        <v>0</v>
      </c>
      <c r="AN111" s="15">
        <v>0</v>
      </c>
      <c r="AO111" s="15">
        <v>0</v>
      </c>
      <c r="AP111" s="7">
        <f t="shared" si="232"/>
        <v>80407.996735449604</v>
      </c>
      <c r="AR111" s="7">
        <f>(46725*1.02)*(AR47+AR48)</f>
        <v>0</v>
      </c>
      <c r="AS111" s="7"/>
      <c r="AT111" s="7"/>
      <c r="AU111" s="7"/>
      <c r="AV111" s="7">
        <f t="shared" si="233"/>
        <v>0</v>
      </c>
      <c r="AX111" s="7">
        <f t="shared" si="236"/>
        <v>906049.41538495047</v>
      </c>
      <c r="AY111" s="7">
        <f t="shared" si="234"/>
        <v>0</v>
      </c>
      <c r="AZ111" s="7">
        <f t="shared" si="234"/>
        <v>0</v>
      </c>
      <c r="BA111" s="7">
        <f t="shared" si="234"/>
        <v>0</v>
      </c>
      <c r="BB111" s="7">
        <f t="shared" si="235"/>
        <v>906049.41538495047</v>
      </c>
    </row>
    <row r="112" spans="1:54" x14ac:dyDescent="0.25">
      <c r="A112" s="62" t="s">
        <v>92</v>
      </c>
      <c r="B112" s="15">
        <f>'FY27'!B112*1.02</f>
        <v>65356.584642534261</v>
      </c>
      <c r="C112" s="7"/>
      <c r="D112" s="7"/>
      <c r="E112" s="7"/>
      <c r="F112" s="7">
        <f t="shared" si="226"/>
        <v>65356.584642534261</v>
      </c>
      <c r="H112" s="15">
        <f>'FY27'!H112*1.02</f>
        <v>208014.04189124997</v>
      </c>
      <c r="I112" s="7"/>
      <c r="J112" s="7"/>
      <c r="K112" s="7"/>
      <c r="L112" s="7">
        <f t="shared" si="227"/>
        <v>208014.04189124997</v>
      </c>
      <c r="N112" s="7">
        <f>(17.25*8*190)*(N49+N50)</f>
        <v>52440</v>
      </c>
      <c r="O112" s="7"/>
      <c r="P112" s="7"/>
      <c r="Q112" s="7"/>
      <c r="R112" s="7">
        <f t="shared" si="228"/>
        <v>52440</v>
      </c>
      <c r="T112" s="7">
        <f>(15*8*190)*(T49+T50)</f>
        <v>45600</v>
      </c>
      <c r="U112" s="7"/>
      <c r="V112" s="7"/>
      <c r="W112" s="7"/>
      <c r="X112" s="7">
        <f t="shared" si="229"/>
        <v>45600</v>
      </c>
      <c r="Z112" s="7">
        <f>(14.25*8*200)*(Z49+Z50)</f>
        <v>91200</v>
      </c>
      <c r="AA112" s="7"/>
      <c r="AB112" s="7"/>
      <c r="AC112" s="7"/>
      <c r="AD112" s="7">
        <f t="shared" si="230"/>
        <v>91200</v>
      </c>
      <c r="AF112" s="7">
        <f>(15*8*200)*(AF49+AF50)</f>
        <v>48000</v>
      </c>
      <c r="AG112" s="7"/>
      <c r="AH112" s="7"/>
      <c r="AI112" s="7"/>
      <c r="AJ112" s="7">
        <f t="shared" si="231"/>
        <v>48000</v>
      </c>
      <c r="AL112" s="15">
        <v>0</v>
      </c>
      <c r="AM112" s="15">
        <v>0</v>
      </c>
      <c r="AN112" s="15">
        <v>0</v>
      </c>
      <c r="AO112" s="15">
        <v>0</v>
      </c>
      <c r="AP112" s="7">
        <f t="shared" si="232"/>
        <v>0</v>
      </c>
      <c r="AR112" s="7">
        <v>0</v>
      </c>
      <c r="AS112" s="7"/>
      <c r="AT112" s="7"/>
      <c r="AU112" s="7"/>
      <c r="AV112" s="7">
        <f t="shared" si="233"/>
        <v>0</v>
      </c>
      <c r="AX112" s="7">
        <f t="shared" si="236"/>
        <v>510610.62653378421</v>
      </c>
      <c r="AY112" s="7">
        <f t="shared" si="234"/>
        <v>0</v>
      </c>
      <c r="AZ112" s="7">
        <f t="shared" si="234"/>
        <v>0</v>
      </c>
      <c r="BA112" s="7">
        <f t="shared" si="234"/>
        <v>0</v>
      </c>
      <c r="BB112" s="7">
        <f t="shared" si="235"/>
        <v>510610.62653378421</v>
      </c>
    </row>
    <row r="113" spans="1:54" x14ac:dyDescent="0.25">
      <c r="A113" s="62" t="s">
        <v>93</v>
      </c>
      <c r="B113" s="7">
        <f>(13.5*8*200)*B51</f>
        <v>0</v>
      </c>
      <c r="C113" s="7">
        <f>(15.25*8*180)*C51</f>
        <v>32940</v>
      </c>
      <c r="D113" s="7">
        <f>(15.25*8*180)*D51</f>
        <v>87840</v>
      </c>
      <c r="E113" s="7">
        <v>0</v>
      </c>
      <c r="F113" s="7">
        <f t="shared" si="226"/>
        <v>120780</v>
      </c>
      <c r="H113" s="7">
        <f>(13.5*8*200)*H51</f>
        <v>0</v>
      </c>
      <c r="I113" s="7">
        <f>(15.25*8*180)*I51</f>
        <v>219600</v>
      </c>
      <c r="J113" s="7">
        <f>(15.25*8*180)*J51</f>
        <v>285480</v>
      </c>
      <c r="K113" s="7">
        <v>0</v>
      </c>
      <c r="L113" s="7">
        <f t="shared" si="227"/>
        <v>505080</v>
      </c>
      <c r="N113" s="7">
        <f>(13.5*8*200)*N51</f>
        <v>0</v>
      </c>
      <c r="O113" s="7">
        <f>(15.75*8*180)*O51</f>
        <v>102060</v>
      </c>
      <c r="P113" s="7">
        <f>(15.75*8*180)*P51</f>
        <v>90720</v>
      </c>
      <c r="Q113" s="7">
        <v>0</v>
      </c>
      <c r="R113" s="7">
        <f t="shared" si="228"/>
        <v>192780</v>
      </c>
      <c r="T113" s="7">
        <f>(15.25*8*180)*T51</f>
        <v>32940</v>
      </c>
      <c r="U113" s="7">
        <f>(15.25*8*180)*U51</f>
        <v>43920</v>
      </c>
      <c r="V113" s="7">
        <f>(15.25*8*180)*V51</f>
        <v>109800</v>
      </c>
      <c r="W113" s="7">
        <v>0</v>
      </c>
      <c r="X113" s="7">
        <f t="shared" si="229"/>
        <v>186660</v>
      </c>
      <c r="Z113" s="7">
        <f>(13.5*8*200)*Z51</f>
        <v>0</v>
      </c>
      <c r="AA113" s="7">
        <f>(15.5*8*180)*AA51</f>
        <v>89280</v>
      </c>
      <c r="AB113" s="7">
        <f>(15.5*8*180)*AB51</f>
        <v>223200</v>
      </c>
      <c r="AC113" s="7">
        <v>0</v>
      </c>
      <c r="AD113" s="7">
        <f t="shared" si="230"/>
        <v>312480</v>
      </c>
      <c r="AF113" s="7">
        <f>(13.5*8*200)*AF51</f>
        <v>0</v>
      </c>
      <c r="AG113" s="7">
        <f>(15*8*180)*AG51</f>
        <v>0</v>
      </c>
      <c r="AH113" s="7">
        <f>(15*8*180)*AH51</f>
        <v>108000</v>
      </c>
      <c r="AI113" s="7">
        <v>0</v>
      </c>
      <c r="AJ113" s="7">
        <f t="shared" si="231"/>
        <v>108000</v>
      </c>
      <c r="AL113" s="15">
        <v>0</v>
      </c>
      <c r="AM113" s="15">
        <v>0</v>
      </c>
      <c r="AN113" s="15">
        <v>0</v>
      </c>
      <c r="AO113" s="15">
        <v>0</v>
      </c>
      <c r="AP113" s="7">
        <f t="shared" si="232"/>
        <v>0</v>
      </c>
      <c r="AR113" s="7">
        <f>(16*8*200)*AR51</f>
        <v>0</v>
      </c>
      <c r="AS113" s="7">
        <f>(16*8*180)*AS51</f>
        <v>0</v>
      </c>
      <c r="AT113" s="7">
        <f>(16*8*180)*AT51</f>
        <v>23040</v>
      </c>
      <c r="AU113" s="7">
        <f>(14.5*8*180)*AU51</f>
        <v>0</v>
      </c>
      <c r="AV113" s="7">
        <f t="shared" si="233"/>
        <v>23040</v>
      </c>
      <c r="AX113" s="7">
        <f t="shared" si="236"/>
        <v>32940</v>
      </c>
      <c r="AY113" s="7">
        <f t="shared" si="234"/>
        <v>487800</v>
      </c>
      <c r="AZ113" s="7">
        <f t="shared" si="234"/>
        <v>928080</v>
      </c>
      <c r="BA113" s="7">
        <f t="shared" si="234"/>
        <v>0</v>
      </c>
      <c r="BB113" s="7">
        <f t="shared" si="235"/>
        <v>1448820</v>
      </c>
    </row>
    <row r="114" spans="1:54" x14ac:dyDescent="0.25">
      <c r="A114" s="62" t="s">
        <v>94</v>
      </c>
      <c r="B114" s="7">
        <f>(24*8*240)*B52</f>
        <v>46080</v>
      </c>
      <c r="C114" s="7"/>
      <c r="D114" s="7">
        <f>(22.75*8*240)*D52</f>
        <v>0</v>
      </c>
      <c r="E114" s="7"/>
      <c r="F114" s="7">
        <f t="shared" si="226"/>
        <v>46080</v>
      </c>
      <c r="H114" s="7">
        <f>(16.25*8*240)*H52</f>
        <v>156000</v>
      </c>
      <c r="I114" s="7"/>
      <c r="J114" s="7">
        <f>(22.75*8*240)*J52</f>
        <v>0</v>
      </c>
      <c r="K114" s="7"/>
      <c r="L114" s="7">
        <f t="shared" si="227"/>
        <v>156000</v>
      </c>
      <c r="N114" s="7">
        <f>(16.75*8*240)*N52</f>
        <v>64320</v>
      </c>
      <c r="O114" s="7"/>
      <c r="P114" s="7">
        <f>(22.75*8*240)*P52</f>
        <v>0</v>
      </c>
      <c r="Q114" s="7"/>
      <c r="R114" s="7">
        <f t="shared" si="228"/>
        <v>64320</v>
      </c>
      <c r="T114" s="7">
        <f>(15.25*8*240)*T52</f>
        <v>58560</v>
      </c>
      <c r="U114" s="7"/>
      <c r="V114" s="7">
        <f>(22.75*8*240)*V52</f>
        <v>0</v>
      </c>
      <c r="W114" s="7"/>
      <c r="X114" s="7">
        <f t="shared" si="229"/>
        <v>58560</v>
      </c>
      <c r="Z114" s="7">
        <f>(16.25*8*240)*Z52</f>
        <v>124800</v>
      </c>
      <c r="AA114" s="7"/>
      <c r="AB114" s="7">
        <f>(22.75*8*240)*AB52</f>
        <v>0</v>
      </c>
      <c r="AC114" s="7"/>
      <c r="AD114" s="7">
        <f t="shared" si="230"/>
        <v>124800</v>
      </c>
      <c r="AF114" s="7">
        <f>(15*8*240)*AF52</f>
        <v>57600</v>
      </c>
      <c r="AG114" s="7"/>
      <c r="AH114" s="7">
        <f>(22.75*8*240)*AH52</f>
        <v>0</v>
      </c>
      <c r="AI114" s="7"/>
      <c r="AJ114" s="7">
        <f t="shared" si="231"/>
        <v>57600</v>
      </c>
      <c r="AL114" s="15">
        <v>0</v>
      </c>
      <c r="AM114" s="15">
        <v>0</v>
      </c>
      <c r="AN114" s="15">
        <v>0</v>
      </c>
      <c r="AO114" s="15">
        <v>0</v>
      </c>
      <c r="AP114" s="7">
        <f t="shared" si="232"/>
        <v>0</v>
      </c>
      <c r="AR114" s="7">
        <f>(14*8*240)*AR52</f>
        <v>0</v>
      </c>
      <c r="AS114" s="7"/>
      <c r="AT114" s="7"/>
      <c r="AU114" s="7"/>
      <c r="AV114" s="7">
        <f t="shared" si="233"/>
        <v>0</v>
      </c>
      <c r="AX114" s="7">
        <f t="shared" si="236"/>
        <v>507360</v>
      </c>
      <c r="AY114" s="7">
        <f t="shared" si="234"/>
        <v>0</v>
      </c>
      <c r="AZ114" s="7">
        <f t="shared" si="234"/>
        <v>0</v>
      </c>
      <c r="BA114" s="7">
        <f t="shared" si="234"/>
        <v>0</v>
      </c>
      <c r="BB114" s="7">
        <f t="shared" si="235"/>
        <v>507360</v>
      </c>
    </row>
    <row r="115" spans="1:54" x14ac:dyDescent="0.25">
      <c r="A115" s="62" t="s">
        <v>248</v>
      </c>
      <c r="B115" s="7">
        <v>0</v>
      </c>
      <c r="C115" s="7">
        <f>(12.75*8*180)*C54</f>
        <v>0</v>
      </c>
      <c r="D115" s="7"/>
      <c r="E115" s="7"/>
      <c r="F115" s="7">
        <f t="shared" si="226"/>
        <v>0</v>
      </c>
      <c r="H115" s="7">
        <v>0</v>
      </c>
      <c r="I115" s="7">
        <f>(12.75*8*180)*I54</f>
        <v>0</v>
      </c>
      <c r="J115" s="7"/>
      <c r="K115" s="7"/>
      <c r="L115" s="7">
        <f t="shared" si="227"/>
        <v>0</v>
      </c>
      <c r="N115" s="7">
        <v>0</v>
      </c>
      <c r="O115" s="7">
        <f>(12.75*8*180)*O54</f>
        <v>0</v>
      </c>
      <c r="P115" s="7"/>
      <c r="Q115" s="7"/>
      <c r="R115" s="7">
        <f t="shared" si="228"/>
        <v>0</v>
      </c>
      <c r="T115" s="7">
        <v>0</v>
      </c>
      <c r="U115" s="7">
        <f>(12.75*8*180)*U54</f>
        <v>0</v>
      </c>
      <c r="V115" s="7"/>
      <c r="W115" s="7"/>
      <c r="X115" s="7">
        <f t="shared" si="229"/>
        <v>0</v>
      </c>
      <c r="Z115" s="7">
        <v>0</v>
      </c>
      <c r="AA115" s="7">
        <f>(12.75*8*180)*AA54</f>
        <v>0</v>
      </c>
      <c r="AB115" s="7"/>
      <c r="AC115" s="7"/>
      <c r="AD115" s="7">
        <f t="shared" si="230"/>
        <v>0</v>
      </c>
      <c r="AF115" s="7">
        <v>0</v>
      </c>
      <c r="AG115" s="7">
        <f>(12.75*8*180)*AG54</f>
        <v>0</v>
      </c>
      <c r="AH115" s="7"/>
      <c r="AI115" s="7"/>
      <c r="AJ115" s="7">
        <f t="shared" si="231"/>
        <v>0</v>
      </c>
      <c r="AL115" s="15">
        <v>0</v>
      </c>
      <c r="AM115" s="15">
        <v>0</v>
      </c>
      <c r="AN115" s="15">
        <v>0</v>
      </c>
      <c r="AO115" s="15">
        <v>0</v>
      </c>
      <c r="AP115" s="7">
        <f t="shared" si="232"/>
        <v>0</v>
      </c>
      <c r="AR115" s="7">
        <f>(55000*1.14)*2</f>
        <v>125399.99999999999</v>
      </c>
      <c r="AS115" s="7">
        <f>(12.75*8*180)*AS54</f>
        <v>0</v>
      </c>
      <c r="AT115" s="7"/>
      <c r="AU115" s="7"/>
      <c r="AV115" s="7">
        <f t="shared" si="233"/>
        <v>125399.99999999999</v>
      </c>
      <c r="AX115" s="7">
        <f t="shared" si="236"/>
        <v>125399.99999999999</v>
      </c>
      <c r="AY115" s="7">
        <f t="shared" si="234"/>
        <v>0</v>
      </c>
      <c r="AZ115" s="7">
        <f t="shared" si="234"/>
        <v>0</v>
      </c>
      <c r="BA115" s="7">
        <f t="shared" si="234"/>
        <v>0</v>
      </c>
      <c r="BB115" s="7">
        <f t="shared" si="235"/>
        <v>125399.99999999999</v>
      </c>
    </row>
    <row r="116" spans="1:54" ht="15.75" thickBot="1" x14ac:dyDescent="0.3">
      <c r="A116" s="82" t="s">
        <v>95</v>
      </c>
      <c r="B116" s="83">
        <f>SUM(B103:B115)</f>
        <v>2794832.7918265592</v>
      </c>
      <c r="C116" s="83">
        <f>SUM(C103:C115)</f>
        <v>111771.36934848</v>
      </c>
      <c r="D116" s="83">
        <f t="shared" ref="D116:F116" si="248">SUM(D103:D115)</f>
        <v>299040</v>
      </c>
      <c r="E116" s="83">
        <f t="shared" si="248"/>
        <v>0</v>
      </c>
      <c r="F116" s="83">
        <f t="shared" si="248"/>
        <v>3205644.1611750391</v>
      </c>
      <c r="H116" s="83">
        <f>SUM(H103:H115)</f>
        <v>6781386.4508009674</v>
      </c>
      <c r="I116" s="83">
        <f>SUM(I103:I115)</f>
        <v>219600</v>
      </c>
      <c r="J116" s="83">
        <f t="shared" ref="J116:L116" si="249">SUM(J103:J115)</f>
        <v>971880</v>
      </c>
      <c r="K116" s="83">
        <f t="shared" si="249"/>
        <v>0</v>
      </c>
      <c r="L116" s="83">
        <f t="shared" si="249"/>
        <v>7972866.4508009674</v>
      </c>
      <c r="N116" s="83">
        <f>SUM(N103:N115)</f>
        <v>2866075.1075488487</v>
      </c>
      <c r="O116" s="83">
        <f>SUM(O103:O115)</f>
        <v>165237.71172071042</v>
      </c>
      <c r="P116" s="83">
        <f t="shared" ref="P116:R116" si="250">SUM(P103:P115)</f>
        <v>301920</v>
      </c>
      <c r="Q116" s="83">
        <f t="shared" si="250"/>
        <v>0</v>
      </c>
      <c r="R116" s="83">
        <f t="shared" si="250"/>
        <v>3333232.8192695589</v>
      </c>
      <c r="T116" s="83">
        <f>SUM(T103:T115)</f>
        <v>3548802.1005483</v>
      </c>
      <c r="U116" s="83">
        <f>SUM(U103:U115)</f>
        <v>43920</v>
      </c>
      <c r="V116" s="83">
        <f t="shared" ref="V116:X116" si="251">SUM(V103:V115)</f>
        <v>373800</v>
      </c>
      <c r="W116" s="83">
        <f t="shared" si="251"/>
        <v>0</v>
      </c>
      <c r="X116" s="83">
        <f t="shared" si="251"/>
        <v>3966522.1005483</v>
      </c>
      <c r="Z116" s="83">
        <f>SUM(Z103:Z115)</f>
        <v>6150219.1947889281</v>
      </c>
      <c r="AA116" s="83">
        <f>SUM(AA103:AA115)</f>
        <v>89280</v>
      </c>
      <c r="AB116" s="83">
        <f t="shared" ref="AB116:AD116" si="252">SUM(AB103:AB115)</f>
        <v>850567.27228799998</v>
      </c>
      <c r="AC116" s="83">
        <f t="shared" si="252"/>
        <v>0</v>
      </c>
      <c r="AD116" s="83">
        <f t="shared" si="252"/>
        <v>7090066.4670769274</v>
      </c>
      <c r="AF116" s="83">
        <f>SUM(AF103:AF115)</f>
        <v>3224804.3568000002</v>
      </c>
      <c r="AG116" s="83">
        <f>SUM(AG103:AG115)</f>
        <v>266955.69039999996</v>
      </c>
      <c r="AH116" s="83">
        <f t="shared" ref="AH116:AJ116" si="253">SUM(AH103:AH115)</f>
        <v>398400</v>
      </c>
      <c r="AI116" s="83">
        <f t="shared" si="253"/>
        <v>0</v>
      </c>
      <c r="AJ116" s="83">
        <f t="shared" si="253"/>
        <v>3890160.0472000004</v>
      </c>
      <c r="AL116" s="83">
        <f>SUM(AL103:AL115)</f>
        <v>160815.99347089921</v>
      </c>
      <c r="AM116" s="83">
        <f>SUM(AM103:AM115)</f>
        <v>0</v>
      </c>
      <c r="AN116" s="83">
        <f t="shared" ref="AN116:AP116" si="254">SUM(AN103:AN115)</f>
        <v>0</v>
      </c>
      <c r="AO116" s="83">
        <f t="shared" si="254"/>
        <v>0</v>
      </c>
      <c r="AP116" s="83">
        <f t="shared" si="254"/>
        <v>160815.99347089921</v>
      </c>
      <c r="AR116" s="83">
        <f>SUM(AR103:AR115)</f>
        <v>432900</v>
      </c>
      <c r="AS116" s="83">
        <f>SUM(AS103:AS115)</f>
        <v>0</v>
      </c>
      <c r="AT116" s="83">
        <f t="shared" ref="AT116:AV116" si="255">SUM(AT103:AT115)</f>
        <v>76040</v>
      </c>
      <c r="AU116" s="83">
        <f t="shared" si="255"/>
        <v>0</v>
      </c>
      <c r="AV116" s="83">
        <f t="shared" si="255"/>
        <v>508940</v>
      </c>
      <c r="AX116" s="83">
        <f>SUM(AX103:AX115)</f>
        <v>25959835.995784502</v>
      </c>
      <c r="AY116" s="83">
        <f>SUM(AY103:AY115)</f>
        <v>896764.77146919037</v>
      </c>
      <c r="AZ116" s="83">
        <f t="shared" ref="AZ116:BB116" si="256">SUM(AZ103:AZ115)</f>
        <v>3271647.2722880002</v>
      </c>
      <c r="BA116" s="83">
        <f t="shared" si="256"/>
        <v>0</v>
      </c>
      <c r="BB116" s="83">
        <f t="shared" si="256"/>
        <v>30128248.039541695</v>
      </c>
    </row>
    <row r="117" spans="1:54" x14ac:dyDescent="0.25">
      <c r="A117" s="84" t="s">
        <v>96</v>
      </c>
      <c r="B117" s="150" t="str">
        <f>B1</f>
        <v>Operating</v>
      </c>
      <c r="C117" s="150" t="str">
        <f>C1</f>
        <v>Weights</v>
      </c>
      <c r="D117" s="150" t="str">
        <f>D1</f>
        <v>SPED</v>
      </c>
      <c r="E117" s="150" t="str">
        <f t="shared" ref="E117:F117" si="257">E1</f>
        <v>NSLP</v>
      </c>
      <c r="F117" s="150" t="str">
        <f t="shared" si="257"/>
        <v>Horizon</v>
      </c>
      <c r="H117" s="150" t="str">
        <f>H1</f>
        <v>Operating</v>
      </c>
      <c r="I117" s="150" t="str">
        <f>I1</f>
        <v>Weights</v>
      </c>
      <c r="J117" s="150" t="str">
        <f>J1</f>
        <v>SPED</v>
      </c>
      <c r="K117" s="150" t="str">
        <f t="shared" ref="K117:L117" si="258">K1</f>
        <v>NSLP</v>
      </c>
      <c r="L117" s="150" t="str">
        <f t="shared" si="258"/>
        <v>Cadence</v>
      </c>
      <c r="N117" s="150" t="str">
        <f>N1</f>
        <v>Operating</v>
      </c>
      <c r="O117" s="150" t="str">
        <f>O1</f>
        <v>Weights</v>
      </c>
      <c r="P117" s="150" t="str">
        <f>P1</f>
        <v>SPED</v>
      </c>
      <c r="Q117" s="150" t="str">
        <f t="shared" ref="Q117:R117" si="259">Q1</f>
        <v>NSLP</v>
      </c>
      <c r="R117" s="150" t="str">
        <f t="shared" si="259"/>
        <v>St. Rose</v>
      </c>
      <c r="T117" s="150" t="str">
        <f>T1</f>
        <v>Operating</v>
      </c>
      <c r="U117" s="150" t="str">
        <f>U1</f>
        <v>Weights</v>
      </c>
      <c r="V117" s="150" t="str">
        <f>V1</f>
        <v>SPED</v>
      </c>
      <c r="W117" s="150" t="str">
        <f t="shared" ref="W117:X117" si="260">W1</f>
        <v>NSLP</v>
      </c>
      <c r="X117" s="150" t="str">
        <f t="shared" si="260"/>
        <v>Inspirada</v>
      </c>
      <c r="Z117" s="150" t="str">
        <f>Z1</f>
        <v>Operating</v>
      </c>
      <c r="AA117" s="150" t="str">
        <f>AA1</f>
        <v>Weights</v>
      </c>
      <c r="AB117" s="150" t="str">
        <f>AB1</f>
        <v>SPED</v>
      </c>
      <c r="AC117" s="150" t="str">
        <f t="shared" ref="AC117:AD117" si="261">AC1</f>
        <v>NSLP</v>
      </c>
      <c r="AD117" s="150" t="str">
        <f t="shared" si="261"/>
        <v>Sloan Canyon</v>
      </c>
      <c r="AF117" s="150" t="str">
        <f>AF1</f>
        <v>Operating</v>
      </c>
      <c r="AG117" s="150" t="str">
        <f>AG1</f>
        <v>Weights</v>
      </c>
      <c r="AH117" s="150" t="str">
        <f>AH1</f>
        <v>SPED</v>
      </c>
      <c r="AI117" s="150" t="str">
        <f t="shared" ref="AI117:AJ117" si="262">AI1</f>
        <v>NSLP</v>
      </c>
      <c r="AJ117" s="150" t="str">
        <f t="shared" si="262"/>
        <v>Springs</v>
      </c>
      <c r="AL117" s="150" t="str">
        <f>AL1</f>
        <v>Operating</v>
      </c>
      <c r="AM117" s="150" t="str">
        <f>AM1</f>
        <v>Weights</v>
      </c>
      <c r="AN117" s="150" t="str">
        <f>AN1</f>
        <v>SPED</v>
      </c>
      <c r="AO117" s="150" t="str">
        <f t="shared" ref="AO117:AP117" si="263">AO1</f>
        <v>NSLP</v>
      </c>
      <c r="AP117" s="150" t="str">
        <f t="shared" si="263"/>
        <v>System Wide</v>
      </c>
      <c r="AR117" s="150" t="str">
        <f>AR1</f>
        <v>Operating</v>
      </c>
      <c r="AS117" s="150" t="str">
        <f>AS1</f>
        <v>Weights</v>
      </c>
      <c r="AT117" s="150" t="str">
        <f>AT1</f>
        <v>SPED</v>
      </c>
      <c r="AU117" s="150" t="str">
        <f t="shared" ref="AU117:AV117" si="264">AU1</f>
        <v>NSLP</v>
      </c>
      <c r="AV117" s="150" t="str">
        <f t="shared" si="264"/>
        <v>Virtual</v>
      </c>
      <c r="AX117" s="150" t="str">
        <f>AX1</f>
        <v>Operating</v>
      </c>
      <c r="AY117" s="150" t="str">
        <f>AY1</f>
        <v>Weights</v>
      </c>
      <c r="AZ117" s="150" t="str">
        <f>AZ1</f>
        <v>SPED</v>
      </c>
      <c r="BA117" s="150" t="str">
        <f t="shared" ref="BA117:BB117" si="265">BA1</f>
        <v>NSLP</v>
      </c>
      <c r="BB117" s="150" t="str">
        <f t="shared" si="265"/>
        <v>Pinecrest System</v>
      </c>
    </row>
    <row r="118" spans="1:54" x14ac:dyDescent="0.25">
      <c r="A118" s="62"/>
      <c r="B118" s="7"/>
      <c r="C118" s="7"/>
      <c r="D118" s="7"/>
      <c r="E118" s="7"/>
      <c r="F118" s="7">
        <f t="shared" ref="F118:F127" si="266">SUM(B118:E118)</f>
        <v>0</v>
      </c>
      <c r="H118" s="7"/>
      <c r="I118" s="7"/>
      <c r="J118" s="7"/>
      <c r="K118" s="7"/>
      <c r="L118" s="7">
        <f t="shared" ref="L118:L127" si="267">SUM(H118:K118)</f>
        <v>0</v>
      </c>
      <c r="N118" s="7"/>
      <c r="O118" s="7"/>
      <c r="P118" s="7"/>
      <c r="Q118" s="7"/>
      <c r="R118" s="7">
        <f t="shared" ref="R118:R127" si="268">SUM(N118:Q118)</f>
        <v>0</v>
      </c>
      <c r="T118" s="7"/>
      <c r="U118" s="7"/>
      <c r="V118" s="7"/>
      <c r="W118" s="7"/>
      <c r="X118" s="7">
        <f t="shared" ref="X118:X127" si="269">SUM(T118:W118)</f>
        <v>0</v>
      </c>
      <c r="Z118" s="7"/>
      <c r="AA118" s="7"/>
      <c r="AB118" s="7"/>
      <c r="AC118" s="7"/>
      <c r="AD118" s="7">
        <f t="shared" ref="AD118:AD127" si="270">SUM(Z118:AC118)</f>
        <v>0</v>
      </c>
      <c r="AF118" s="7"/>
      <c r="AG118" s="7"/>
      <c r="AH118" s="7"/>
      <c r="AI118" s="7"/>
      <c r="AJ118" s="7">
        <f t="shared" ref="AJ118:AJ127" si="271">SUM(AF118:AI118)</f>
        <v>0</v>
      </c>
      <c r="AL118" s="7"/>
      <c r="AM118" s="7"/>
      <c r="AN118" s="7"/>
      <c r="AO118" s="7"/>
      <c r="AP118" s="7">
        <f t="shared" ref="AP118:AP127" si="272">SUM(AL118:AO118)</f>
        <v>0</v>
      </c>
      <c r="AR118" s="7"/>
      <c r="AS118" s="7"/>
      <c r="AT118" s="7"/>
      <c r="AU118" s="7"/>
      <c r="AV118" s="7">
        <f t="shared" ref="AV118:AV127" si="273">SUM(AR118:AU118)</f>
        <v>0</v>
      </c>
      <c r="AX118" s="7">
        <f>B118+H118+N118+T118+Z118+AF118+AL118+AR118</f>
        <v>0</v>
      </c>
      <c r="AY118" s="7">
        <f t="shared" ref="AY118:BA127" si="274">C118+I118+O118+U118+AA118+AG118+AM118+AS118</f>
        <v>0</v>
      </c>
      <c r="AZ118" s="7">
        <f t="shared" si="274"/>
        <v>0</v>
      </c>
      <c r="BA118" s="7">
        <f t="shared" si="274"/>
        <v>0</v>
      </c>
      <c r="BB118" s="7">
        <f t="shared" ref="BB118:BB127" si="275">SUM(AX118:BA118)</f>
        <v>0</v>
      </c>
    </row>
    <row r="119" spans="1:54" x14ac:dyDescent="0.25">
      <c r="A119" s="62" t="s">
        <v>54</v>
      </c>
      <c r="B119" s="15">
        <f>'FY27'!B119*1.02</f>
        <v>0</v>
      </c>
      <c r="C119" s="15">
        <f>'FY27'!C119*1.02</f>
        <v>0</v>
      </c>
      <c r="D119" s="15">
        <f>'FY27'!D119*1.02</f>
        <v>72884.105612346844</v>
      </c>
      <c r="E119" s="15">
        <f>'FY27'!E119*1.02</f>
        <v>0</v>
      </c>
      <c r="F119" s="7">
        <f t="shared" si="266"/>
        <v>72884.105612346844</v>
      </c>
      <c r="H119" s="15">
        <f>'FY27'!H119*1.02</f>
        <v>0</v>
      </c>
      <c r="I119" s="15">
        <f>'FY27'!I119*1.02</f>
        <v>0</v>
      </c>
      <c r="J119" s="15">
        <f>'FY27'!J119*1.02</f>
        <v>72676.118870639999</v>
      </c>
      <c r="K119" s="15">
        <f>'FY27'!K119*1.02</f>
        <v>0</v>
      </c>
      <c r="L119" s="7">
        <f t="shared" si="267"/>
        <v>72676.118870639999</v>
      </c>
      <c r="N119" s="15">
        <f>'FY27'!N119*1.02</f>
        <v>0</v>
      </c>
      <c r="O119" s="15">
        <f>'FY27'!O119*1.02</f>
        <v>0</v>
      </c>
      <c r="P119" s="15">
        <f>'FY27'!P119*1.02</f>
        <v>67348.928995199996</v>
      </c>
      <c r="Q119" s="15">
        <f>'FY27'!Q119*1.02</f>
        <v>0</v>
      </c>
      <c r="R119" s="7">
        <f t="shared" si="268"/>
        <v>67348.928995199996</v>
      </c>
      <c r="T119" s="15">
        <f>'FY27'!T119*1.02</f>
        <v>0</v>
      </c>
      <c r="U119" s="15">
        <f>'FY27'!U119*1.02</f>
        <v>0</v>
      </c>
      <c r="V119" s="15">
        <f>'FY27'!V119*1.02</f>
        <v>50787.716947200002</v>
      </c>
      <c r="W119" s="15">
        <f>'FY27'!W119*1.02</f>
        <v>0</v>
      </c>
      <c r="X119" s="7">
        <f t="shared" si="269"/>
        <v>50787.716947200002</v>
      </c>
      <c r="Z119" s="15">
        <f>'FY27'!Z119*1.02</f>
        <v>0</v>
      </c>
      <c r="AA119" s="15">
        <f>'FY27'!AA119*1.02</f>
        <v>0</v>
      </c>
      <c r="AB119" s="15">
        <f>'FY27'!AB119*1.02</f>
        <v>0</v>
      </c>
      <c r="AC119" s="15">
        <f>'FY27'!AC119*1.02</f>
        <v>0</v>
      </c>
      <c r="AD119" s="7">
        <f t="shared" si="270"/>
        <v>0</v>
      </c>
      <c r="AF119" s="7">
        <v>0</v>
      </c>
      <c r="AG119" s="7">
        <f>'FY23'!AG119*1.02</f>
        <v>0</v>
      </c>
      <c r="AH119" s="7">
        <v>0</v>
      </c>
      <c r="AI119" s="7">
        <f>'FY23'!AI119*1.02</f>
        <v>0</v>
      </c>
      <c r="AJ119" s="7">
        <f t="shared" si="271"/>
        <v>0</v>
      </c>
      <c r="AL119" s="7">
        <v>0</v>
      </c>
      <c r="AM119" s="15">
        <f>'FY26'!AM119*1.02</f>
        <v>0</v>
      </c>
      <c r="AN119" s="15">
        <f>'FY26'!AN119*1.02</f>
        <v>0</v>
      </c>
      <c r="AO119" s="15">
        <f>'FY26'!AO119*1.02</f>
        <v>0</v>
      </c>
      <c r="AP119" s="7">
        <f t="shared" si="272"/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f t="shared" si="273"/>
        <v>0</v>
      </c>
      <c r="AX119" s="7">
        <f t="shared" ref="AX119:AX127" si="276">B119+H119+N119+T119+Z119+AF119+AL119+AR119</f>
        <v>0</v>
      </c>
      <c r="AY119" s="7">
        <f t="shared" si="274"/>
        <v>0</v>
      </c>
      <c r="AZ119" s="7">
        <f t="shared" si="274"/>
        <v>263696.87042538682</v>
      </c>
      <c r="BA119" s="7">
        <f t="shared" si="274"/>
        <v>0</v>
      </c>
      <c r="BB119" s="7">
        <f t="shared" si="275"/>
        <v>263696.87042538682</v>
      </c>
    </row>
    <row r="120" spans="1:54" x14ac:dyDescent="0.25">
      <c r="A120" s="62" t="s">
        <v>55</v>
      </c>
      <c r="B120" s="15">
        <f>'FY27'!B120*1.02</f>
        <v>0</v>
      </c>
      <c r="C120" s="15">
        <f>'FY27'!C120*1.02</f>
        <v>0</v>
      </c>
      <c r="D120" s="15">
        <f>'FY27'!D120*1.02</f>
        <v>0</v>
      </c>
      <c r="E120" s="15">
        <f>'FY27'!E120*1.02</f>
        <v>0</v>
      </c>
      <c r="F120" s="7">
        <f t="shared" si="266"/>
        <v>0</v>
      </c>
      <c r="H120" s="15">
        <f>'FY27'!H120*1.02</f>
        <v>0</v>
      </c>
      <c r="I120" s="15">
        <f>'FY27'!I120*1.02</f>
        <v>0</v>
      </c>
      <c r="J120" s="15">
        <f>'FY27'!J120*1.02</f>
        <v>52995.878553600007</v>
      </c>
      <c r="K120" s="15">
        <f>'FY27'!K120*1.02</f>
        <v>0</v>
      </c>
      <c r="L120" s="7">
        <f t="shared" si="267"/>
        <v>52995.878553600007</v>
      </c>
      <c r="N120" s="15">
        <f>'FY27'!N120*1.02</f>
        <v>0</v>
      </c>
      <c r="O120" s="15">
        <f>'FY27'!O120*1.02</f>
        <v>0</v>
      </c>
      <c r="P120" s="15">
        <f>'FY27'!P120*1.02</f>
        <v>0</v>
      </c>
      <c r="Q120" s="15">
        <f>'FY27'!Q120*1.02</f>
        <v>0</v>
      </c>
      <c r="R120" s="7">
        <f t="shared" si="268"/>
        <v>0</v>
      </c>
      <c r="T120" s="15">
        <f>'FY27'!T120*1.02</f>
        <v>0</v>
      </c>
      <c r="U120" s="15">
        <f>'FY27'!U120*1.02</f>
        <v>0</v>
      </c>
      <c r="V120" s="15">
        <f>'FY27'!V120*1.02</f>
        <v>47006.240196239996</v>
      </c>
      <c r="W120" s="15">
        <f>'FY27'!W120*1.02</f>
        <v>0</v>
      </c>
      <c r="X120" s="7">
        <f t="shared" si="269"/>
        <v>47006.240196239996</v>
      </c>
      <c r="Z120" s="15">
        <f>'FY27'!Z120*1.02</f>
        <v>0</v>
      </c>
      <c r="AA120" s="15">
        <f>'FY27'!AA120*1.02</f>
        <v>0</v>
      </c>
      <c r="AB120" s="15">
        <f>'FY27'!AB120*1.02</f>
        <v>52839.540711866888</v>
      </c>
      <c r="AC120" s="15">
        <f>'FY27'!AC120*1.02</f>
        <v>0</v>
      </c>
      <c r="AD120" s="7">
        <f t="shared" si="270"/>
        <v>52839.540711866888</v>
      </c>
      <c r="AF120" s="7">
        <v>0</v>
      </c>
      <c r="AG120" s="7">
        <f>'FY23'!AG120*1.02</f>
        <v>0</v>
      </c>
      <c r="AH120" s="7">
        <f>'FY23'!AH120*1.02</f>
        <v>0</v>
      </c>
      <c r="AI120" s="7">
        <f>'FY23'!AI120*1.02</f>
        <v>0</v>
      </c>
      <c r="AJ120" s="7">
        <f t="shared" si="271"/>
        <v>0</v>
      </c>
      <c r="AL120" s="7">
        <v>0</v>
      </c>
      <c r="AM120" s="15">
        <f>'FY26'!AM120*1.02</f>
        <v>0</v>
      </c>
      <c r="AN120" s="15">
        <f>'FY26'!AN120*1.02</f>
        <v>0</v>
      </c>
      <c r="AO120" s="15">
        <f>'FY26'!AO120*1.02</f>
        <v>0</v>
      </c>
      <c r="AP120" s="7">
        <f t="shared" si="272"/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f t="shared" si="273"/>
        <v>0</v>
      </c>
      <c r="AX120" s="7">
        <f t="shared" si="276"/>
        <v>0</v>
      </c>
      <c r="AY120" s="7">
        <f t="shared" si="274"/>
        <v>0</v>
      </c>
      <c r="AZ120" s="7">
        <f t="shared" si="274"/>
        <v>152841.65946170691</v>
      </c>
      <c r="BA120" s="7">
        <f t="shared" si="274"/>
        <v>0</v>
      </c>
      <c r="BB120" s="7">
        <f t="shared" si="275"/>
        <v>152841.65946170691</v>
      </c>
    </row>
    <row r="121" spans="1:54" x14ac:dyDescent="0.25">
      <c r="A121" s="62" t="s">
        <v>56</v>
      </c>
      <c r="B121" s="15">
        <f>'FY27'!B121*1.02</f>
        <v>0</v>
      </c>
      <c r="C121" s="15">
        <f>'FY27'!C121*1.02</f>
        <v>0</v>
      </c>
      <c r="D121" s="15">
        <f>'FY27'!D121*1.02</f>
        <v>0</v>
      </c>
      <c r="E121" s="15">
        <f>'FY27'!E121*1.02</f>
        <v>0</v>
      </c>
      <c r="F121" s="7">
        <f t="shared" si="266"/>
        <v>0</v>
      </c>
      <c r="H121" s="15">
        <f>'FY27'!H121*1.02</f>
        <v>0</v>
      </c>
      <c r="I121" s="15">
        <f>'FY27'!I121*1.02</f>
        <v>0</v>
      </c>
      <c r="J121" s="15">
        <f>'FY27'!J121*1.02</f>
        <v>88326.464255999992</v>
      </c>
      <c r="K121" s="15">
        <f>'FY27'!K121*1.02</f>
        <v>0</v>
      </c>
      <c r="L121" s="7">
        <f t="shared" si="267"/>
        <v>88326.464255999992</v>
      </c>
      <c r="N121" s="15">
        <f>'FY27'!N121*1.02</f>
        <v>0</v>
      </c>
      <c r="O121" s="15">
        <f>'FY27'!O121*1.02</f>
        <v>0</v>
      </c>
      <c r="P121" s="15">
        <f>'FY27'!P121*1.02</f>
        <v>38642.828112000003</v>
      </c>
      <c r="Q121" s="15">
        <f>'FY27'!Q121*1.02</f>
        <v>0</v>
      </c>
      <c r="R121" s="7">
        <f t="shared" si="268"/>
        <v>38642.828112000003</v>
      </c>
      <c r="T121" s="15">
        <f>'FY27'!T121*1.02</f>
        <v>0</v>
      </c>
      <c r="U121" s="15">
        <f>'FY27'!U121*1.02</f>
        <v>0</v>
      </c>
      <c r="V121" s="15">
        <f>'FY27'!V121*1.02</f>
        <v>38642.828112000003</v>
      </c>
      <c r="W121" s="15">
        <f>'FY27'!W121*1.02</f>
        <v>0</v>
      </c>
      <c r="X121" s="7">
        <f t="shared" si="269"/>
        <v>38642.828112000003</v>
      </c>
      <c r="Z121" s="15">
        <f>'FY27'!Z121*1.02</f>
        <v>0</v>
      </c>
      <c r="AA121" s="15">
        <f>'FY27'!AA121*1.02</f>
        <v>0</v>
      </c>
      <c r="AB121" s="15">
        <f>'FY27'!AB121*1.02</f>
        <v>71765.252208000005</v>
      </c>
      <c r="AC121" s="15">
        <f>'FY27'!AC121*1.02</f>
        <v>0</v>
      </c>
      <c r="AD121" s="7">
        <f t="shared" si="270"/>
        <v>71765.252208000005</v>
      </c>
      <c r="AF121" s="7">
        <v>0</v>
      </c>
      <c r="AG121" s="7">
        <f>'FY23'!AG121*1.02</f>
        <v>0</v>
      </c>
      <c r="AH121" s="7">
        <f>'FY23'!AH121*1.02</f>
        <v>0</v>
      </c>
      <c r="AI121" s="7">
        <f>'FY23'!AI121*1.02</f>
        <v>0</v>
      </c>
      <c r="AJ121" s="7">
        <f t="shared" si="271"/>
        <v>0</v>
      </c>
      <c r="AL121" s="7">
        <v>0</v>
      </c>
      <c r="AM121" s="15">
        <f>'FY26'!AM121*1.02</f>
        <v>0</v>
      </c>
      <c r="AN121" s="15">
        <f>'FY26'!AN121*1.02</f>
        <v>0</v>
      </c>
      <c r="AO121" s="15">
        <f>'FY26'!AO121*1.02</f>
        <v>0</v>
      </c>
      <c r="AP121" s="7">
        <f t="shared" si="272"/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f t="shared" si="273"/>
        <v>0</v>
      </c>
      <c r="AX121" s="7">
        <f t="shared" si="276"/>
        <v>0</v>
      </c>
      <c r="AY121" s="7">
        <f t="shared" si="274"/>
        <v>0</v>
      </c>
      <c r="AZ121" s="7">
        <f t="shared" si="274"/>
        <v>237377.37268799997</v>
      </c>
      <c r="BA121" s="7">
        <f t="shared" si="274"/>
        <v>0</v>
      </c>
      <c r="BB121" s="7">
        <f t="shared" si="275"/>
        <v>237377.37268799997</v>
      </c>
    </row>
    <row r="122" spans="1:54" x14ac:dyDescent="0.25">
      <c r="A122" s="62" t="s">
        <v>97</v>
      </c>
      <c r="B122" s="15">
        <f>'FY27'!B122*1.02</f>
        <v>0</v>
      </c>
      <c r="C122" s="15">
        <f>'FY27'!C122*1.02</f>
        <v>0</v>
      </c>
      <c r="D122" s="15">
        <f>'FY27'!D122*1.02</f>
        <v>0</v>
      </c>
      <c r="E122" s="15">
        <f>'FY27'!E122*1.02</f>
        <v>0</v>
      </c>
      <c r="F122" s="7">
        <f t="shared" si="266"/>
        <v>0</v>
      </c>
      <c r="H122" s="15">
        <f>'FY27'!H122*1.02</f>
        <v>0</v>
      </c>
      <c r="I122" s="15">
        <f>'FY27'!I122*1.02</f>
        <v>0</v>
      </c>
      <c r="J122" s="15">
        <f>'FY27'!J122*1.02</f>
        <v>0</v>
      </c>
      <c r="K122" s="15">
        <f>'FY27'!K122*1.02</f>
        <v>0</v>
      </c>
      <c r="L122" s="7">
        <f t="shared" si="267"/>
        <v>0</v>
      </c>
      <c r="N122" s="15">
        <f>'FY27'!N122*1.02</f>
        <v>0</v>
      </c>
      <c r="O122" s="15">
        <f>'FY27'!O122*1.02</f>
        <v>0</v>
      </c>
      <c r="P122" s="15">
        <f>'FY27'!P122*1.02</f>
        <v>0</v>
      </c>
      <c r="Q122" s="15">
        <f>'FY27'!Q122*1.02</f>
        <v>0</v>
      </c>
      <c r="R122" s="7">
        <f t="shared" si="268"/>
        <v>0</v>
      </c>
      <c r="T122" s="15">
        <f>'FY27'!T122*1.02</f>
        <v>0</v>
      </c>
      <c r="U122" s="15">
        <f>'FY27'!U122*1.02</f>
        <v>0</v>
      </c>
      <c r="V122" s="15">
        <f>'FY27'!V122*1.02</f>
        <v>0</v>
      </c>
      <c r="W122" s="15">
        <f>'FY27'!W122*1.02</f>
        <v>0</v>
      </c>
      <c r="X122" s="7">
        <f t="shared" si="269"/>
        <v>0</v>
      </c>
      <c r="Z122" s="15">
        <f>'FY27'!Z122*1.02</f>
        <v>0</v>
      </c>
      <c r="AA122" s="15">
        <f>'FY27'!AA122*1.02</f>
        <v>0</v>
      </c>
      <c r="AB122" s="15">
        <f>'FY27'!AB122*1.02</f>
        <v>19068.182082978052</v>
      </c>
      <c r="AC122" s="15">
        <f>'FY27'!AC122*1.02</f>
        <v>0</v>
      </c>
      <c r="AD122" s="7">
        <f t="shared" si="270"/>
        <v>19068.182082978052</v>
      </c>
      <c r="AF122" s="7">
        <v>0</v>
      </c>
      <c r="AG122" s="7">
        <f>'FY23'!AG122*1.02</f>
        <v>0</v>
      </c>
      <c r="AH122" s="7">
        <f>'FY23'!AH122*1.02</f>
        <v>0</v>
      </c>
      <c r="AI122" s="7">
        <f>'FY23'!AI122*1.02</f>
        <v>0</v>
      </c>
      <c r="AJ122" s="7">
        <f t="shared" si="271"/>
        <v>0</v>
      </c>
      <c r="AL122" s="7">
        <v>0</v>
      </c>
      <c r="AM122" s="15">
        <f>'FY26'!AM122*1.02</f>
        <v>0</v>
      </c>
      <c r="AN122" s="15">
        <f>'FY26'!AN122*1.02</f>
        <v>0</v>
      </c>
      <c r="AO122" s="15">
        <f>'FY26'!AO122*1.02</f>
        <v>0</v>
      </c>
      <c r="AP122" s="7">
        <f t="shared" si="272"/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f t="shared" si="273"/>
        <v>0</v>
      </c>
      <c r="AX122" s="7">
        <f t="shared" si="276"/>
        <v>0</v>
      </c>
      <c r="AY122" s="7">
        <f t="shared" si="274"/>
        <v>0</v>
      </c>
      <c r="AZ122" s="7">
        <f t="shared" si="274"/>
        <v>19068.182082978052</v>
      </c>
      <c r="BA122" s="7">
        <f t="shared" si="274"/>
        <v>0</v>
      </c>
      <c r="BB122" s="7">
        <f t="shared" si="275"/>
        <v>19068.182082978052</v>
      </c>
    </row>
    <row r="123" spans="1:54" x14ac:dyDescent="0.25">
      <c r="A123" s="62" t="s">
        <v>58</v>
      </c>
      <c r="B123" s="15">
        <f>'FY27'!B123*1.02</f>
        <v>0</v>
      </c>
      <c r="C123" s="15">
        <f>'FY27'!C123*1.02</f>
        <v>0</v>
      </c>
      <c r="D123" s="15">
        <f>'FY27'!D123*1.02</f>
        <v>0</v>
      </c>
      <c r="E123" s="15">
        <f>'FY27'!E123*1.02</f>
        <v>0</v>
      </c>
      <c r="F123" s="7">
        <f t="shared" si="266"/>
        <v>0</v>
      </c>
      <c r="H123" s="15">
        <f>'FY27'!H123*1.02</f>
        <v>0</v>
      </c>
      <c r="I123" s="15">
        <f>'FY27'!I123*1.02</f>
        <v>0</v>
      </c>
      <c r="J123" s="15">
        <f>'FY27'!J123*1.02</f>
        <v>67348.928995199996</v>
      </c>
      <c r="K123" s="15">
        <f>'FY27'!K123*1.02</f>
        <v>0</v>
      </c>
      <c r="L123" s="7">
        <f t="shared" si="267"/>
        <v>67348.928995199996</v>
      </c>
      <c r="N123" s="15">
        <f>'FY27'!N123*1.02</f>
        <v>0</v>
      </c>
      <c r="O123" s="15">
        <f>'FY27'!O123*1.02</f>
        <v>0</v>
      </c>
      <c r="P123" s="15">
        <f>'FY27'!P123*1.02</f>
        <v>0</v>
      </c>
      <c r="Q123" s="15">
        <f>'FY27'!Q123*1.02</f>
        <v>0</v>
      </c>
      <c r="R123" s="7">
        <f t="shared" si="268"/>
        <v>0</v>
      </c>
      <c r="T123" s="15">
        <f>'FY27'!T123*1.02</f>
        <v>0</v>
      </c>
      <c r="U123" s="15">
        <f>'FY27'!U123*1.02</f>
        <v>0</v>
      </c>
      <c r="V123" s="15">
        <f>'FY27'!V123*1.02</f>
        <v>0</v>
      </c>
      <c r="W123" s="15">
        <f>'FY27'!W123*1.02</f>
        <v>0</v>
      </c>
      <c r="X123" s="7">
        <f t="shared" si="269"/>
        <v>0</v>
      </c>
      <c r="Z123" s="15">
        <f>'FY27'!Z123*1.02</f>
        <v>0</v>
      </c>
      <c r="AA123" s="15">
        <f>'FY27'!AA123*1.02</f>
        <v>0</v>
      </c>
      <c r="AB123" s="15">
        <f>'FY27'!AB123*1.02</f>
        <v>74664.568397203213</v>
      </c>
      <c r="AC123" s="15">
        <f>'FY27'!AC123*1.02</f>
        <v>0</v>
      </c>
      <c r="AD123" s="7">
        <f t="shared" si="270"/>
        <v>74664.568397203213</v>
      </c>
      <c r="AF123" s="7">
        <v>0</v>
      </c>
      <c r="AG123" s="7">
        <f>'FY23'!AG123*1.02</f>
        <v>0</v>
      </c>
      <c r="AH123" s="7">
        <f>'FY23'!AH123*1.02</f>
        <v>0</v>
      </c>
      <c r="AI123" s="7">
        <f>'FY23'!AI123*1.02</f>
        <v>0</v>
      </c>
      <c r="AJ123" s="7">
        <f t="shared" si="271"/>
        <v>0</v>
      </c>
      <c r="AL123" s="7">
        <v>0</v>
      </c>
      <c r="AM123" s="15">
        <f>'FY26'!AM123*1.02</f>
        <v>0</v>
      </c>
      <c r="AN123" s="15">
        <f>'FY26'!AN123*1.02</f>
        <v>0</v>
      </c>
      <c r="AO123" s="15">
        <f>'FY26'!AO123*1.02</f>
        <v>0</v>
      </c>
      <c r="AP123" s="7">
        <f t="shared" si="272"/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f t="shared" si="273"/>
        <v>0</v>
      </c>
      <c r="AX123" s="7">
        <f t="shared" si="276"/>
        <v>0</v>
      </c>
      <c r="AY123" s="7">
        <f t="shared" si="274"/>
        <v>0</v>
      </c>
      <c r="AZ123" s="7">
        <f t="shared" si="274"/>
        <v>142013.49739240319</v>
      </c>
      <c r="BA123" s="7">
        <f t="shared" si="274"/>
        <v>0</v>
      </c>
      <c r="BB123" s="7">
        <f t="shared" si="275"/>
        <v>142013.49739240319</v>
      </c>
    </row>
    <row r="124" spans="1:54" x14ac:dyDescent="0.25">
      <c r="A124" s="62" t="s">
        <v>98</v>
      </c>
      <c r="B124" s="15">
        <f>'FY27'!B124*1.02</f>
        <v>0</v>
      </c>
      <c r="C124" s="15">
        <f>'FY27'!C124*1.02</f>
        <v>26816.066911272446</v>
      </c>
      <c r="D124" s="15">
        <f>'FY27'!D124*1.02</f>
        <v>0</v>
      </c>
      <c r="E124" s="15">
        <f>'FY27'!E124*1.02</f>
        <v>0</v>
      </c>
      <c r="F124" s="7">
        <f t="shared" si="266"/>
        <v>26816.066911272446</v>
      </c>
      <c r="H124" s="15">
        <f>'FY27'!H124*1.02</f>
        <v>0</v>
      </c>
      <c r="I124" s="15">
        <f>'FY27'!I124*1.02</f>
        <v>47802.554059224793</v>
      </c>
      <c r="J124" s="15">
        <f>'FY27'!J124*1.02</f>
        <v>0</v>
      </c>
      <c r="K124" s="15">
        <f>'FY27'!K124*1.02</f>
        <v>0</v>
      </c>
      <c r="L124" s="7">
        <f t="shared" si="267"/>
        <v>47802.554059224793</v>
      </c>
      <c r="N124" s="15">
        <f>'FY27'!N124*1.02</f>
        <v>0</v>
      </c>
      <c r="O124" s="15">
        <f>'FY27'!O124*1.02</f>
        <v>26816.066911272443</v>
      </c>
      <c r="P124" s="15">
        <f>'FY27'!P124*1.02</f>
        <v>0</v>
      </c>
      <c r="Q124" s="15">
        <f>'FY27'!Q124*1.02</f>
        <v>0</v>
      </c>
      <c r="R124" s="7">
        <f t="shared" si="268"/>
        <v>26816.066911272443</v>
      </c>
      <c r="T124" s="15">
        <f>'FY27'!T124*1.02</f>
        <v>0</v>
      </c>
      <c r="U124" s="15">
        <f>'FY27'!U124*1.02</f>
        <v>74525.454216000013</v>
      </c>
      <c r="V124" s="15">
        <f>'FY27'!V124*1.02</f>
        <v>0</v>
      </c>
      <c r="W124" s="15">
        <f>'FY27'!W124*1.02</f>
        <v>0</v>
      </c>
      <c r="X124" s="7">
        <f t="shared" si="269"/>
        <v>74525.454216000013</v>
      </c>
      <c r="Z124" s="15">
        <f>'FY27'!Z124*1.02</f>
        <v>0</v>
      </c>
      <c r="AA124" s="15">
        <f>'FY27'!AA124*1.02</f>
        <v>76733.615822399996</v>
      </c>
      <c r="AB124" s="15">
        <f>'FY27'!AB124*1.02</f>
        <v>0</v>
      </c>
      <c r="AC124" s="15">
        <f>'FY27'!AC124*1.02</f>
        <v>0</v>
      </c>
      <c r="AD124" s="7">
        <f t="shared" si="270"/>
        <v>76733.615822399996</v>
      </c>
      <c r="AF124" s="7">
        <v>0</v>
      </c>
      <c r="AG124" s="15">
        <f>'FY27'!AG124*1.02</f>
        <v>37142.28</v>
      </c>
      <c r="AH124" s="7">
        <f>'FY23'!AH124*1.02</f>
        <v>0</v>
      </c>
      <c r="AI124" s="7">
        <f>'FY23'!AI124*1.02</f>
        <v>0</v>
      </c>
      <c r="AJ124" s="7">
        <f t="shared" si="271"/>
        <v>37142.28</v>
      </c>
      <c r="AL124" s="7">
        <v>0</v>
      </c>
      <c r="AM124" s="15">
        <f>'FY27'!AM124*1.02</f>
        <v>28576.371388823998</v>
      </c>
      <c r="AN124" s="15">
        <f>'FY26'!AN124*1.02</f>
        <v>0</v>
      </c>
      <c r="AO124" s="15">
        <f>'FY26'!AO124*1.02</f>
        <v>0</v>
      </c>
      <c r="AP124" s="7">
        <f t="shared" si="272"/>
        <v>28576.371388823998</v>
      </c>
      <c r="AR124" s="7">
        <v>0</v>
      </c>
      <c r="AS124" s="7">
        <v>0</v>
      </c>
      <c r="AT124" s="7">
        <v>0</v>
      </c>
      <c r="AU124" s="7">
        <v>0</v>
      </c>
      <c r="AV124" s="7">
        <f t="shared" si="273"/>
        <v>0</v>
      </c>
      <c r="AX124" s="7">
        <f t="shared" si="276"/>
        <v>0</v>
      </c>
      <c r="AY124" s="7">
        <f t="shared" si="274"/>
        <v>318412.40930899372</v>
      </c>
      <c r="AZ124" s="7">
        <f t="shared" si="274"/>
        <v>0</v>
      </c>
      <c r="BA124" s="7">
        <f t="shared" si="274"/>
        <v>0</v>
      </c>
      <c r="BB124" s="7">
        <f t="shared" si="275"/>
        <v>318412.40930899372</v>
      </c>
    </row>
    <row r="125" spans="1:54" x14ac:dyDescent="0.25">
      <c r="A125" s="62" t="s">
        <v>99</v>
      </c>
      <c r="B125" s="7">
        <v>0</v>
      </c>
      <c r="C125" s="7">
        <v>0</v>
      </c>
      <c r="D125" s="7">
        <v>0</v>
      </c>
      <c r="E125" s="7">
        <v>0</v>
      </c>
      <c r="F125" s="7">
        <f t="shared" si="266"/>
        <v>0</v>
      </c>
      <c r="H125" s="7">
        <v>0</v>
      </c>
      <c r="I125" s="7">
        <v>0</v>
      </c>
      <c r="J125" s="7">
        <v>0</v>
      </c>
      <c r="K125" s="7">
        <v>0</v>
      </c>
      <c r="L125" s="7">
        <f t="shared" si="267"/>
        <v>0</v>
      </c>
      <c r="N125" s="7">
        <v>0</v>
      </c>
      <c r="O125" s="7">
        <v>0</v>
      </c>
      <c r="P125" s="7">
        <v>0</v>
      </c>
      <c r="Q125" s="7">
        <v>0</v>
      </c>
      <c r="R125" s="7">
        <f t="shared" si="268"/>
        <v>0</v>
      </c>
      <c r="T125" s="7">
        <v>0</v>
      </c>
      <c r="U125" s="7">
        <v>0</v>
      </c>
      <c r="V125" s="7">
        <v>0</v>
      </c>
      <c r="W125" s="7">
        <v>0</v>
      </c>
      <c r="X125" s="7">
        <f t="shared" si="269"/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f t="shared" si="270"/>
        <v>0</v>
      </c>
      <c r="AF125" s="7">
        <v>0</v>
      </c>
      <c r="AG125" s="7">
        <v>0</v>
      </c>
      <c r="AH125" s="7">
        <v>0</v>
      </c>
      <c r="AI125" s="7">
        <f>(15.5*8*185)*AI51</f>
        <v>0</v>
      </c>
      <c r="AJ125" s="7">
        <f t="shared" si="271"/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f t="shared" si="272"/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f t="shared" si="273"/>
        <v>0</v>
      </c>
      <c r="AX125" s="7">
        <f t="shared" si="276"/>
        <v>0</v>
      </c>
      <c r="AY125" s="7">
        <f t="shared" si="274"/>
        <v>0</v>
      </c>
      <c r="AZ125" s="7">
        <f t="shared" si="274"/>
        <v>0</v>
      </c>
      <c r="BA125" s="7">
        <f t="shared" si="274"/>
        <v>0</v>
      </c>
      <c r="BB125" s="7">
        <f t="shared" si="275"/>
        <v>0</v>
      </c>
    </row>
    <row r="126" spans="1:54" x14ac:dyDescent="0.25">
      <c r="A126" s="62" t="s">
        <v>100</v>
      </c>
      <c r="B126" s="7">
        <v>0</v>
      </c>
      <c r="C126" s="7">
        <v>0</v>
      </c>
      <c r="D126" s="7">
        <v>0</v>
      </c>
      <c r="E126" s="7">
        <f>(15.25*8*180)*E53</f>
        <v>21960</v>
      </c>
      <c r="F126" s="7">
        <f t="shared" si="266"/>
        <v>21960</v>
      </c>
      <c r="H126" s="7">
        <v>0</v>
      </c>
      <c r="I126" s="7">
        <v>0</v>
      </c>
      <c r="J126" s="7">
        <v>0</v>
      </c>
      <c r="K126" s="7">
        <f>(15.5*8*180)*K53</f>
        <v>66960</v>
      </c>
      <c r="L126" s="7">
        <f t="shared" si="267"/>
        <v>66960</v>
      </c>
      <c r="N126" s="7">
        <v>0</v>
      </c>
      <c r="O126" s="7">
        <v>0</v>
      </c>
      <c r="P126" s="7">
        <v>0</v>
      </c>
      <c r="Q126" s="7">
        <f>(15.5*8*180)*Q53</f>
        <v>22320</v>
      </c>
      <c r="R126" s="7">
        <f t="shared" si="268"/>
        <v>22320</v>
      </c>
      <c r="T126" s="7">
        <v>0</v>
      </c>
      <c r="U126" s="7">
        <v>0</v>
      </c>
      <c r="V126" s="7">
        <v>0</v>
      </c>
      <c r="W126" s="7">
        <f>(15.25*8*180)*W53</f>
        <v>21960</v>
      </c>
      <c r="X126" s="7">
        <f t="shared" si="269"/>
        <v>21960</v>
      </c>
      <c r="Z126" s="7">
        <v>0</v>
      </c>
      <c r="AA126" s="7">
        <v>0</v>
      </c>
      <c r="AB126" s="7">
        <v>0</v>
      </c>
      <c r="AC126" s="7">
        <f>(15.25*8*180)*AC53</f>
        <v>43920</v>
      </c>
      <c r="AD126" s="7">
        <f t="shared" si="270"/>
        <v>43920</v>
      </c>
      <c r="AF126" s="7">
        <v>0</v>
      </c>
      <c r="AG126" s="7">
        <v>0</v>
      </c>
      <c r="AH126" s="7">
        <v>0</v>
      </c>
      <c r="AI126" s="7">
        <f>(16.5*8*180)*AI53</f>
        <v>23760</v>
      </c>
      <c r="AJ126" s="7">
        <f t="shared" si="271"/>
        <v>23760</v>
      </c>
      <c r="AL126" s="7">
        <v>0</v>
      </c>
      <c r="AM126" s="7">
        <v>0</v>
      </c>
      <c r="AN126" s="7">
        <v>0</v>
      </c>
      <c r="AO126" s="7">
        <f>(14*8*180)*AO53</f>
        <v>0</v>
      </c>
      <c r="AP126" s="7">
        <f t="shared" si="272"/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f t="shared" si="273"/>
        <v>0</v>
      </c>
      <c r="AX126" s="7">
        <f t="shared" si="276"/>
        <v>0</v>
      </c>
      <c r="AY126" s="7">
        <f t="shared" si="274"/>
        <v>0</v>
      </c>
      <c r="AZ126" s="7">
        <f t="shared" si="274"/>
        <v>0</v>
      </c>
      <c r="BA126" s="7">
        <f t="shared" si="274"/>
        <v>200880</v>
      </c>
      <c r="BB126" s="7">
        <f t="shared" si="275"/>
        <v>200880</v>
      </c>
    </row>
    <row r="127" spans="1:54" x14ac:dyDescent="0.25">
      <c r="A127" s="62" t="s">
        <v>101</v>
      </c>
      <c r="B127" s="37">
        <f>135*180</f>
        <v>24300</v>
      </c>
      <c r="C127" s="37"/>
      <c r="D127" s="37"/>
      <c r="E127" s="37"/>
      <c r="F127" s="7">
        <f t="shared" si="266"/>
        <v>24300</v>
      </c>
      <c r="H127" s="37">
        <f>135*180*2</f>
        <v>48600</v>
      </c>
      <c r="I127" s="37"/>
      <c r="J127" s="37"/>
      <c r="K127" s="37"/>
      <c r="L127" s="7">
        <f t="shared" si="267"/>
        <v>48600</v>
      </c>
      <c r="N127" s="37">
        <f>125*180</f>
        <v>22500</v>
      </c>
      <c r="O127" s="37"/>
      <c r="P127" s="37"/>
      <c r="Q127" s="37"/>
      <c r="R127" s="7">
        <f t="shared" si="268"/>
        <v>22500</v>
      </c>
      <c r="T127" s="37">
        <f>125*180</f>
        <v>22500</v>
      </c>
      <c r="U127" s="37"/>
      <c r="V127" s="37"/>
      <c r="W127" s="37"/>
      <c r="X127" s="7">
        <f t="shared" si="269"/>
        <v>22500</v>
      </c>
      <c r="Z127" s="37">
        <f>135*180</f>
        <v>24300</v>
      </c>
      <c r="AA127" s="37"/>
      <c r="AB127" s="37"/>
      <c r="AC127" s="37"/>
      <c r="AD127" s="7">
        <f t="shared" si="270"/>
        <v>24300</v>
      </c>
      <c r="AF127" s="37">
        <f>125*180</f>
        <v>22500</v>
      </c>
      <c r="AG127" s="7">
        <v>0</v>
      </c>
      <c r="AH127" s="7">
        <v>0</v>
      </c>
      <c r="AI127" s="7">
        <v>0</v>
      </c>
      <c r="AJ127" s="7">
        <f t="shared" si="271"/>
        <v>22500</v>
      </c>
      <c r="AL127" s="7">
        <v>0</v>
      </c>
      <c r="AM127" s="7">
        <v>0</v>
      </c>
      <c r="AN127" s="7">
        <v>0</v>
      </c>
      <c r="AO127" s="7">
        <v>0</v>
      </c>
      <c r="AP127" s="7">
        <f t="shared" si="272"/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f t="shared" si="273"/>
        <v>0</v>
      </c>
      <c r="AX127" s="7">
        <f t="shared" si="276"/>
        <v>164700</v>
      </c>
      <c r="AY127" s="7">
        <f t="shared" si="274"/>
        <v>0</v>
      </c>
      <c r="AZ127" s="7">
        <f t="shared" si="274"/>
        <v>0</v>
      </c>
      <c r="BA127" s="7">
        <f t="shared" si="274"/>
        <v>0</v>
      </c>
      <c r="BB127" s="7">
        <f t="shared" si="275"/>
        <v>164700</v>
      </c>
    </row>
    <row r="128" spans="1:54" ht="15.75" thickBot="1" x14ac:dyDescent="0.3">
      <c r="A128" s="82" t="s">
        <v>102</v>
      </c>
      <c r="B128" s="87">
        <f>SUM(B118:B127)</f>
        <v>24300</v>
      </c>
      <c r="C128" s="87">
        <f>SUM(C118:C127)</f>
        <v>26816.066911272446</v>
      </c>
      <c r="D128" s="87">
        <f>SUM(D118:D127)</f>
        <v>72884.105612346844</v>
      </c>
      <c r="E128" s="87">
        <f t="shared" ref="E128:F128" si="277">SUM(E118:E127)</f>
        <v>21960</v>
      </c>
      <c r="F128" s="87">
        <f t="shared" si="277"/>
        <v>145960.17252361929</v>
      </c>
      <c r="H128" s="87">
        <f>SUM(H118:H127)</f>
        <v>48600</v>
      </c>
      <c r="I128" s="87">
        <f>SUM(I118:I127)</f>
        <v>47802.554059224793</v>
      </c>
      <c r="J128" s="87">
        <f>SUM(J118:J127)</f>
        <v>281347.39067543996</v>
      </c>
      <c r="K128" s="87">
        <f t="shared" ref="K128:L128" si="278">SUM(K118:K127)</f>
        <v>66960</v>
      </c>
      <c r="L128" s="87">
        <f t="shared" si="278"/>
        <v>444709.94473466475</v>
      </c>
      <c r="N128" s="87">
        <f>SUM(N118:N127)</f>
        <v>22500</v>
      </c>
      <c r="O128" s="87">
        <f>SUM(O118:O127)</f>
        <v>26816.066911272443</v>
      </c>
      <c r="P128" s="87">
        <f>SUM(P118:P127)</f>
        <v>105991.7571072</v>
      </c>
      <c r="Q128" s="87">
        <f t="shared" ref="Q128:R128" si="279">SUM(Q118:Q127)</f>
        <v>22320</v>
      </c>
      <c r="R128" s="87">
        <f t="shared" si="279"/>
        <v>177627.82401847246</v>
      </c>
      <c r="T128" s="87">
        <f>SUM(T118:T127)</f>
        <v>22500</v>
      </c>
      <c r="U128" s="87">
        <f>SUM(U118:U127)</f>
        <v>74525.454216000013</v>
      </c>
      <c r="V128" s="87">
        <f>SUM(V118:V127)</f>
        <v>136436.78525543999</v>
      </c>
      <c r="W128" s="87">
        <f t="shared" ref="W128:X128" si="280">SUM(W118:W127)</f>
        <v>21960</v>
      </c>
      <c r="X128" s="87">
        <f t="shared" si="280"/>
        <v>255422.23947144</v>
      </c>
      <c r="Z128" s="87">
        <f>SUM(Z118:Z127)</f>
        <v>24300</v>
      </c>
      <c r="AA128" s="87">
        <f>SUM(AA118:AA127)</f>
        <v>76733.615822399996</v>
      </c>
      <c r="AB128" s="87">
        <f>SUM(AB118:AB127)</f>
        <v>218337.54340004816</v>
      </c>
      <c r="AC128" s="87">
        <f t="shared" ref="AC128:AD128" si="281">SUM(AC118:AC127)</f>
        <v>43920</v>
      </c>
      <c r="AD128" s="87">
        <f t="shared" si="281"/>
        <v>363291.15922244813</v>
      </c>
      <c r="AF128" s="87">
        <f>SUM(AF118:AF127)</f>
        <v>22500</v>
      </c>
      <c r="AG128" s="87">
        <f>SUM(AG118:AG127)</f>
        <v>37142.28</v>
      </c>
      <c r="AH128" s="87">
        <f>SUM(AH118:AH127)</f>
        <v>0</v>
      </c>
      <c r="AI128" s="87">
        <f t="shared" ref="AI128:AJ128" si="282">SUM(AI118:AI127)</f>
        <v>23760</v>
      </c>
      <c r="AJ128" s="87">
        <f t="shared" si="282"/>
        <v>83402.28</v>
      </c>
      <c r="AL128" s="87">
        <f>SUM(AL118:AL127)</f>
        <v>0</v>
      </c>
      <c r="AM128" s="87">
        <f>SUM(AM118:AM127)</f>
        <v>28576.371388823998</v>
      </c>
      <c r="AN128" s="87">
        <f>SUM(AN118:AN127)</f>
        <v>0</v>
      </c>
      <c r="AO128" s="87">
        <f t="shared" ref="AO128:AP128" si="283">SUM(AO118:AO127)</f>
        <v>0</v>
      </c>
      <c r="AP128" s="87">
        <f t="shared" si="283"/>
        <v>28576.371388823998</v>
      </c>
      <c r="AR128" s="87">
        <f>SUM(AR118:AR127)</f>
        <v>0</v>
      </c>
      <c r="AS128" s="87">
        <f>SUM(AS118:AS127)</f>
        <v>0</v>
      </c>
      <c r="AT128" s="87">
        <f>SUM(AT118:AT127)</f>
        <v>0</v>
      </c>
      <c r="AU128" s="87">
        <f t="shared" ref="AU128:AV128" si="284">SUM(AU118:AU127)</f>
        <v>0</v>
      </c>
      <c r="AV128" s="87">
        <f t="shared" si="284"/>
        <v>0</v>
      </c>
      <c r="AX128" s="87">
        <f>SUM(AX118:AX127)</f>
        <v>164700</v>
      </c>
      <c r="AY128" s="87">
        <f>SUM(AY118:AY127)</f>
        <v>318412.40930899372</v>
      </c>
      <c r="AZ128" s="87">
        <f>SUM(AZ118:AZ127)</f>
        <v>814997.58205047494</v>
      </c>
      <c r="BA128" s="87">
        <f t="shared" ref="BA128:BB128" si="285">SUM(BA118:BA127)</f>
        <v>200880</v>
      </c>
      <c r="BB128" s="87">
        <f t="shared" si="285"/>
        <v>1498989.9913594685</v>
      </c>
    </row>
    <row r="129" spans="1:54" ht="15.75" thickBot="1" x14ac:dyDescent="0.3">
      <c r="A129" s="89" t="s">
        <v>103</v>
      </c>
      <c r="B129" s="90">
        <f>B116+B128</f>
        <v>2819132.7918265592</v>
      </c>
      <c r="C129" s="90">
        <f>C116+C128</f>
        <v>138587.43625975246</v>
      </c>
      <c r="D129" s="90">
        <f>D116+D128</f>
        <v>371924.10561234684</v>
      </c>
      <c r="E129" s="90">
        <f t="shared" ref="E129" si="286">E116+E128</f>
        <v>21960</v>
      </c>
      <c r="F129" s="90">
        <f>F116+F128</f>
        <v>3351604.3336986583</v>
      </c>
      <c r="H129" s="90">
        <f>H116+H128</f>
        <v>6829986.4508009674</v>
      </c>
      <c r="I129" s="90">
        <f>I116+I128</f>
        <v>267402.55405922479</v>
      </c>
      <c r="J129" s="90">
        <f>J116+J128</f>
        <v>1253227.39067544</v>
      </c>
      <c r="K129" s="90">
        <f t="shared" ref="K129" si="287">K116+K128</f>
        <v>66960</v>
      </c>
      <c r="L129" s="90">
        <f>L116+L128</f>
        <v>8417576.395535633</v>
      </c>
      <c r="N129" s="90">
        <f>N116+N128</f>
        <v>2888575.1075488487</v>
      </c>
      <c r="O129" s="90">
        <f>O116+O128</f>
        <v>192053.77863198286</v>
      </c>
      <c r="P129" s="90">
        <f>P116+P128</f>
        <v>407911.75710719998</v>
      </c>
      <c r="Q129" s="90">
        <f t="shared" ref="Q129" si="288">Q116+Q128</f>
        <v>22320</v>
      </c>
      <c r="R129" s="90">
        <f>R116+R128</f>
        <v>3510860.6432880312</v>
      </c>
      <c r="T129" s="90">
        <f>T116+T128</f>
        <v>3571302.1005483</v>
      </c>
      <c r="U129" s="90">
        <f>U116+U128</f>
        <v>118445.45421600001</v>
      </c>
      <c r="V129" s="90">
        <f>V116+V128</f>
        <v>510236.78525543999</v>
      </c>
      <c r="W129" s="90">
        <f t="shared" ref="W129" si="289">W116+W128</f>
        <v>21960</v>
      </c>
      <c r="X129" s="90">
        <f>X116+X128</f>
        <v>4221944.3400197402</v>
      </c>
      <c r="Z129" s="90">
        <f>Z116+Z128</f>
        <v>6174519.1947889281</v>
      </c>
      <c r="AA129" s="90">
        <f>AA116+AA128</f>
        <v>166013.6158224</v>
      </c>
      <c r="AB129" s="90">
        <f>AB116+AB128</f>
        <v>1068904.815688048</v>
      </c>
      <c r="AC129" s="90">
        <f t="shared" ref="AC129" si="290">AC116+AC128</f>
        <v>43920</v>
      </c>
      <c r="AD129" s="90">
        <f>AD116+AD128</f>
        <v>7453357.6262993757</v>
      </c>
      <c r="AF129" s="90">
        <f>AF116+AF128</f>
        <v>3247304.3568000002</v>
      </c>
      <c r="AG129" s="90">
        <f>AG116+AG128</f>
        <v>304097.97039999999</v>
      </c>
      <c r="AH129" s="90">
        <f>AH116+AH128</f>
        <v>398400</v>
      </c>
      <c r="AI129" s="90">
        <f t="shared" ref="AI129" si="291">AI116+AI128</f>
        <v>23760</v>
      </c>
      <c r="AJ129" s="90">
        <f>AJ116+AJ128</f>
        <v>3973562.3272000002</v>
      </c>
      <c r="AL129" s="90">
        <f>AL116+AL128</f>
        <v>160815.99347089921</v>
      </c>
      <c r="AM129" s="90">
        <f>AM116+AM128</f>
        <v>28576.371388823998</v>
      </c>
      <c r="AN129" s="90">
        <f>AN116+AN128</f>
        <v>0</v>
      </c>
      <c r="AO129" s="90">
        <f t="shared" ref="AO129" si="292">AO116+AO128</f>
        <v>0</v>
      </c>
      <c r="AP129" s="90">
        <f>AP116+AP128</f>
        <v>189392.36485972319</v>
      </c>
      <c r="AR129" s="90">
        <f>AR116+AR128</f>
        <v>432900</v>
      </c>
      <c r="AS129" s="90">
        <f>AS116+AS128</f>
        <v>0</v>
      </c>
      <c r="AT129" s="90">
        <f>AT116+AT128</f>
        <v>76040</v>
      </c>
      <c r="AU129" s="90">
        <f t="shared" ref="AU129" si="293">AU116+AU128</f>
        <v>0</v>
      </c>
      <c r="AV129" s="90">
        <f>AV116+AV128</f>
        <v>508940</v>
      </c>
      <c r="AX129" s="90">
        <f>AX116+AX128</f>
        <v>26124535.995784502</v>
      </c>
      <c r="AY129" s="90">
        <f>AY116+AY128</f>
        <v>1215177.180778184</v>
      </c>
      <c r="AZ129" s="90">
        <f>AZ116+AZ128</f>
        <v>4086644.854338475</v>
      </c>
      <c r="BA129" s="90">
        <f t="shared" ref="BA129" si="294">BA116+BA128</f>
        <v>200880</v>
      </c>
      <c r="BB129" s="90">
        <f>BB116+BB128</f>
        <v>31627238.030901164</v>
      </c>
    </row>
    <row r="130" spans="1:54" x14ac:dyDescent="0.25">
      <c r="A130" s="62" t="s">
        <v>104</v>
      </c>
      <c r="B130" s="80">
        <f>B129*0.2975</f>
        <v>838692.00556840131</v>
      </c>
      <c r="C130" s="61">
        <f t="shared" ref="C130:E130" si="295">C129*0.2975</f>
        <v>41229.762287276353</v>
      </c>
      <c r="D130" s="61">
        <f t="shared" si="295"/>
        <v>110647.42141967318</v>
      </c>
      <c r="E130" s="61">
        <f t="shared" si="295"/>
        <v>6533.0999999999995</v>
      </c>
      <c r="F130" s="61">
        <f>SUM(B130:E130)</f>
        <v>997102.28927535075</v>
      </c>
      <c r="H130" s="61">
        <f>H129*0.2975</f>
        <v>2031920.9691132877</v>
      </c>
      <c r="I130" s="61">
        <f t="shared" ref="I130:K130" si="296">I129*0.2975</f>
        <v>79552.259832619369</v>
      </c>
      <c r="J130" s="61">
        <f t="shared" si="296"/>
        <v>372835.14872594335</v>
      </c>
      <c r="K130" s="61">
        <f t="shared" si="296"/>
        <v>19920.599999999999</v>
      </c>
      <c r="L130" s="61">
        <f>SUM(H130:K130)</f>
        <v>2504228.9776718505</v>
      </c>
      <c r="N130" s="61">
        <f>N129*0.2975</f>
        <v>859351.09449578251</v>
      </c>
      <c r="O130" s="61">
        <f t="shared" ref="O130:Q130" si="297">O129*0.2975</f>
        <v>57135.999143014895</v>
      </c>
      <c r="P130" s="61">
        <f t="shared" si="297"/>
        <v>121353.74773939198</v>
      </c>
      <c r="Q130" s="61">
        <f t="shared" si="297"/>
        <v>6640.2</v>
      </c>
      <c r="R130" s="61">
        <f>SUM(N130:Q130)</f>
        <v>1044481.0413781893</v>
      </c>
      <c r="T130" s="61">
        <f>T129*0.2975</f>
        <v>1062462.3749131192</v>
      </c>
      <c r="U130" s="61">
        <f t="shared" ref="U130:W130" si="298">U129*0.2975</f>
        <v>35237.522629260005</v>
      </c>
      <c r="V130" s="61">
        <f t="shared" si="298"/>
        <v>151795.44361349338</v>
      </c>
      <c r="W130" s="61">
        <f t="shared" si="298"/>
        <v>6533.0999999999995</v>
      </c>
      <c r="X130" s="61">
        <f>SUM(T130:W130)</f>
        <v>1256028.4411558728</v>
      </c>
      <c r="Z130" s="61">
        <f>Z129*0.2975</f>
        <v>1836919.4604497061</v>
      </c>
      <c r="AA130" s="61">
        <f t="shared" ref="AA130:AC130" si="299">AA129*0.2975</f>
        <v>49389.050707163995</v>
      </c>
      <c r="AB130" s="61">
        <f t="shared" si="299"/>
        <v>317999.18266719428</v>
      </c>
      <c r="AC130" s="61">
        <f t="shared" si="299"/>
        <v>13066.199999999999</v>
      </c>
      <c r="AD130" s="61">
        <f>SUM(Z130:AC130)</f>
        <v>2217373.8938240646</v>
      </c>
      <c r="AF130" s="61">
        <f>AF129*0.2975</f>
        <v>966073.04614800005</v>
      </c>
      <c r="AG130" s="61">
        <f t="shared" ref="AG130:AI130" si="300">AG129*0.2975</f>
        <v>90469.146193999986</v>
      </c>
      <c r="AH130" s="61">
        <f t="shared" si="300"/>
        <v>118524</v>
      </c>
      <c r="AI130" s="61">
        <f t="shared" si="300"/>
        <v>7068.5999999999995</v>
      </c>
      <c r="AJ130" s="61">
        <f>SUM(AF130:AI130)</f>
        <v>1182134.7923420002</v>
      </c>
      <c r="AL130" s="61">
        <f>AL129*0.2975</f>
        <v>47842.758057592509</v>
      </c>
      <c r="AM130" s="61">
        <f t="shared" ref="AM130:AO130" si="301">AM129*0.2975</f>
        <v>8501.4704881751386</v>
      </c>
      <c r="AN130" s="61">
        <f t="shared" si="301"/>
        <v>0</v>
      </c>
      <c r="AO130" s="61">
        <f t="shared" si="301"/>
        <v>0</v>
      </c>
      <c r="AP130" s="61">
        <f>SUM(AL130:AO130)</f>
        <v>56344.228545767648</v>
      </c>
      <c r="AR130" s="61">
        <f>AR129*0.2975</f>
        <v>128787.75</v>
      </c>
      <c r="AS130" s="61">
        <f t="shared" ref="AS130:AU130" si="302">AS129*0.2975</f>
        <v>0</v>
      </c>
      <c r="AT130" s="61">
        <f t="shared" si="302"/>
        <v>22621.899999999998</v>
      </c>
      <c r="AU130" s="61">
        <f t="shared" si="302"/>
        <v>0</v>
      </c>
      <c r="AV130" s="61">
        <f>SUM(AR130:AU130)</f>
        <v>151409.65</v>
      </c>
      <c r="AX130" s="7">
        <f>B130+H130+N130+T130+Z130+AF130+AL130+AR130</f>
        <v>7772049.4587458894</v>
      </c>
      <c r="AY130" s="7">
        <f t="shared" ref="AY130:BA137" si="303">C130+I130+O130+U130+AA130+AG130+AM130+AS130</f>
        <v>361515.21128150972</v>
      </c>
      <c r="AZ130" s="7">
        <f t="shared" si="303"/>
        <v>1215776.8441656961</v>
      </c>
      <c r="BA130" s="7">
        <f t="shared" si="303"/>
        <v>59761.799999999988</v>
      </c>
      <c r="BB130" s="61">
        <f>SUM(AX130:BA130)</f>
        <v>9409103.314193096</v>
      </c>
    </row>
    <row r="131" spans="1:54" x14ac:dyDescent="0.25">
      <c r="A131" s="62" t="s">
        <v>105</v>
      </c>
      <c r="B131" s="14">
        <f>B129*0.19</f>
        <v>535635.23044704623</v>
      </c>
      <c r="C131" s="14">
        <f t="shared" ref="C131:E131" si="304">C129*0.19</f>
        <v>26331.612889352968</v>
      </c>
      <c r="D131" s="14">
        <f t="shared" si="304"/>
        <v>70665.580066345894</v>
      </c>
      <c r="E131" s="14">
        <f t="shared" si="304"/>
        <v>4172.3999999999996</v>
      </c>
      <c r="F131" s="61">
        <f t="shared" ref="F131:F137" si="305">SUM(B131:E131)</f>
        <v>636804.82340274507</v>
      </c>
      <c r="H131" s="14">
        <f>H129*0.19</f>
        <v>1297697.4256521838</v>
      </c>
      <c r="I131" s="14">
        <f t="shared" ref="I131:K131" si="306">I129*0.19</f>
        <v>50806.485271252706</v>
      </c>
      <c r="J131" s="14">
        <f t="shared" si="306"/>
        <v>238113.2042283336</v>
      </c>
      <c r="K131" s="14">
        <f t="shared" si="306"/>
        <v>12722.4</v>
      </c>
      <c r="L131" s="61">
        <f t="shared" ref="L131:L137" si="307">SUM(H131:K131)</f>
        <v>1599339.5151517701</v>
      </c>
      <c r="N131" s="14">
        <f>N129*0.19</f>
        <v>548829.27043428121</v>
      </c>
      <c r="O131" s="14">
        <f t="shared" ref="O131:Q131" si="308">O129*0.19</f>
        <v>36490.217940076742</v>
      </c>
      <c r="P131" s="14">
        <f t="shared" si="308"/>
        <v>77503.233850367993</v>
      </c>
      <c r="Q131" s="14">
        <f t="shared" si="308"/>
        <v>4240.8</v>
      </c>
      <c r="R131" s="61">
        <f t="shared" ref="R131:R137" si="309">SUM(N131:Q131)</f>
        <v>667063.52222472592</v>
      </c>
      <c r="T131" s="14">
        <f>T129*0.19</f>
        <v>678547.39910417702</v>
      </c>
      <c r="U131" s="14">
        <f t="shared" ref="U131:W131" si="310">U129*0.19</f>
        <v>22504.636301040002</v>
      </c>
      <c r="V131" s="14">
        <f t="shared" si="310"/>
        <v>96944.9891985336</v>
      </c>
      <c r="W131" s="14">
        <f t="shared" si="310"/>
        <v>4172.3999999999996</v>
      </c>
      <c r="X131" s="61">
        <f t="shared" ref="X131:X137" si="311">SUM(T131:W131)</f>
        <v>802169.42460375058</v>
      </c>
      <c r="Z131" s="14">
        <f>Z129*0.19</f>
        <v>1173158.6470098963</v>
      </c>
      <c r="AA131" s="14">
        <f t="shared" ref="AA131:AC131" si="312">AA129*0.19</f>
        <v>31542.587006255999</v>
      </c>
      <c r="AB131" s="14">
        <f t="shared" si="312"/>
        <v>203091.91498072914</v>
      </c>
      <c r="AC131" s="14">
        <f t="shared" si="312"/>
        <v>8344.7999999999993</v>
      </c>
      <c r="AD131" s="61">
        <f t="shared" ref="AD131:AD137" si="313">SUM(Z131:AC131)</f>
        <v>1416137.9489968815</v>
      </c>
      <c r="AF131" s="14">
        <f>AF129*0.19</f>
        <v>616987.82779200003</v>
      </c>
      <c r="AG131" s="14">
        <f t="shared" ref="AG131:AI131" si="314">AG129*0.19</f>
        <v>57778.614375999998</v>
      </c>
      <c r="AH131" s="14">
        <f t="shared" si="314"/>
        <v>75696</v>
      </c>
      <c r="AI131" s="14">
        <f t="shared" si="314"/>
        <v>4514.3999999999996</v>
      </c>
      <c r="AJ131" s="61">
        <f t="shared" ref="AJ131:AJ137" si="315">SUM(AF131:AI131)</f>
        <v>754976.84216800006</v>
      </c>
      <c r="AL131" s="14">
        <f>AL129*0.19</f>
        <v>30555.038759470848</v>
      </c>
      <c r="AM131" s="14">
        <f t="shared" ref="AM131:AO131" si="316">AM129*0.19</f>
        <v>5429.5105638765599</v>
      </c>
      <c r="AN131" s="14">
        <f t="shared" si="316"/>
        <v>0</v>
      </c>
      <c r="AO131" s="14">
        <f t="shared" si="316"/>
        <v>0</v>
      </c>
      <c r="AP131" s="61">
        <f t="shared" ref="AP131:AP137" si="317">SUM(AL131:AO131)</f>
        <v>35984.549323347412</v>
      </c>
      <c r="AR131" s="14">
        <f>AR129*0.19</f>
        <v>82251</v>
      </c>
      <c r="AS131" s="14">
        <f t="shared" ref="AS131:AU131" si="318">AS129*0.19</f>
        <v>0</v>
      </c>
      <c r="AT131" s="14">
        <f t="shared" si="318"/>
        <v>14447.6</v>
      </c>
      <c r="AU131" s="14">
        <f t="shared" si="318"/>
        <v>0</v>
      </c>
      <c r="AV131" s="61">
        <f t="shared" ref="AV131:AV137" si="319">SUM(AR131:AU131)</f>
        <v>96698.6</v>
      </c>
      <c r="AX131" s="7">
        <f t="shared" ref="AX131:AX137" si="320">B131+H131+N131+T131+Z131+AF131+AL131+AR131</f>
        <v>4963661.8391990559</v>
      </c>
      <c r="AY131" s="7">
        <f t="shared" si="303"/>
        <v>230883.664347855</v>
      </c>
      <c r="AZ131" s="7">
        <f t="shared" si="303"/>
        <v>776462.52232431027</v>
      </c>
      <c r="BA131" s="7">
        <f t="shared" si="303"/>
        <v>38167.200000000004</v>
      </c>
      <c r="BB131" s="61">
        <f t="shared" ref="BB131:BB137" si="321">SUM(AX131:BA131)</f>
        <v>6009175.2258712221</v>
      </c>
    </row>
    <row r="132" spans="1:54" x14ac:dyDescent="0.25">
      <c r="A132" s="62" t="s">
        <v>249</v>
      </c>
      <c r="B132" s="11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1">
        <f t="shared" ref="C132:E132" si="322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1">
        <f t="shared" si="322"/>
        <v>5456</v>
      </c>
      <c r="E132" s="11">
        <f t="shared" si="322"/>
        <v>264</v>
      </c>
      <c r="F132" s="61">
        <f t="shared" si="305"/>
        <v>52404</v>
      </c>
      <c r="H132" s="11">
        <f>(((H42*2000)+(H43*1500)+(H44*1200)+(H45*1200)+(H46*1200)+(H47*1000)+(H48*1000)+(H49*300)+(H50*300)+(H51*300)+(H52*300)+(H53*300)+(H55*1000)+(H56*1000)+(H57*1000)+(H58*1000)+(H59*1000)+(H60*1000)+(H39*1000)+(1000*H54)))*0.9</f>
        <v>109710</v>
      </c>
      <c r="I132" s="11">
        <f t="shared" ref="I132:K132" si="323">(((I42*2000)+(I43*1500)+(I44*1200)+(I45*1200)+(I46*1200)+(I47*1000)+(I48*1000)+(I49*300)+(I50*300)+(I51*300)+(I52*300)+(I53*300)+(I55*1000)+(I56*1000)+(I57*1000)+(I58*1000)+(I59*1000)+(I60*1000)+(I39*1000)+(1000*I54)))*0.9</f>
        <v>4680</v>
      </c>
      <c r="J132" s="11">
        <f t="shared" si="323"/>
        <v>17910</v>
      </c>
      <c r="K132" s="11">
        <f t="shared" si="323"/>
        <v>810</v>
      </c>
      <c r="L132" s="61">
        <f t="shared" si="307"/>
        <v>133110</v>
      </c>
      <c r="N132" s="11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1">
        <f t="shared" ref="O132:Q132" si="324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1">
        <f t="shared" si="324"/>
        <v>4977</v>
      </c>
      <c r="Q132" s="11">
        <f t="shared" si="324"/>
        <v>270</v>
      </c>
      <c r="R132" s="61">
        <f t="shared" ref="R132:R135" si="325">SUM(N132:Q132)</f>
        <v>55152</v>
      </c>
      <c r="T132" s="11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1">
        <f t="shared" ref="U132:W132" si="326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1">
        <f t="shared" si="326"/>
        <v>8856</v>
      </c>
      <c r="W132" s="11">
        <f t="shared" si="326"/>
        <v>270</v>
      </c>
      <c r="X132" s="61">
        <f t="shared" si="311"/>
        <v>69741</v>
      </c>
      <c r="Z132" s="11">
        <f>(((Z42*2000)+(Z43*1500)+(Z44*1200)+(Z45*1200)+(Z46*1200)+(Z47*1000)+(Z48*1000)+(Z49*300)+(Z50*300)+(Z51*300)+(Z52*300)+(Z53*300)+(Z55*1000)+(Z56*1000)+(Z57*1000)+(Z58*1000)+(Z59*1000)+(Z60*1000)+(Z39*1000)+(1000*Z54)))*0.88</f>
        <v>100936</v>
      </c>
      <c r="AA132" s="11">
        <f t="shared" ref="AA132:AC132" si="327">(((AA42*2000)+(AA43*1500)+(AA44*1200)+(AA45*1200)+(AA46*1200)+(AA47*1000)+(AA48*1000)+(AA49*300)+(AA50*300)+(AA51*300)+(AA52*300)+(AA53*300)+(AA55*1000)+(AA56*1000)+(AA57*1000)+(AA58*1000)+(AA59*1000)+(AA60*1000)+(AA39*1000)+(1000*AA54)))*0.88</f>
        <v>2376</v>
      </c>
      <c r="AB132" s="11">
        <f t="shared" si="327"/>
        <v>14370.4</v>
      </c>
      <c r="AC132" s="11">
        <f t="shared" si="327"/>
        <v>528</v>
      </c>
      <c r="AD132" s="61">
        <f t="shared" si="313"/>
        <v>118210.4</v>
      </c>
      <c r="AF132" s="11">
        <f>(((AF42*2000)+(AF43*1500)+(AF44*1200)+(AF45*1200)+(AF46*1200)+(AF47*1000)+(AF48*1000)+(AF49*300)+(AF50*300)+(AF51*300)+(AF52*300)+(AF53*300)+(AF55*1000)+(AF56*1000)+(AF57*1000)+(AF58*1000)+(AF59*1000)+(AF60*1000)+(AF39*1000)+(1000*AF54)))*0.88</f>
        <v>52976</v>
      </c>
      <c r="AG132" s="11">
        <f t="shared" ref="AG132:AI132" si="328">(((AG42*2000)+(AG43*1500)+(AG44*1200)+(AG45*1200)+(AG46*1200)+(AG47*1000)+(AG48*1000)+(AG49*300)+(AG50*300)+(AG51*300)+(AG52*300)+(AG53*300)+(AG55*1000)+(AG56*1000)+(AG57*1000)+(AG58*1000)+(AG59*1000)+(AG60*1000)+(AG39*1000)+(1000*AG54)))*0.88</f>
        <v>4664</v>
      </c>
      <c r="AH132" s="11">
        <f t="shared" si="328"/>
        <v>6160</v>
      </c>
      <c r="AI132" s="11">
        <f t="shared" si="328"/>
        <v>264</v>
      </c>
      <c r="AJ132" s="61">
        <f t="shared" si="315"/>
        <v>64064</v>
      </c>
      <c r="AL132" s="11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1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1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1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61">
        <f t="shared" si="317"/>
        <v>4137.5</v>
      </c>
      <c r="AR132" s="11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1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1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1420</v>
      </c>
      <c r="AU132" s="11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61">
        <f t="shared" si="319"/>
        <v>3445</v>
      </c>
      <c r="AX132" s="7">
        <f t="shared" si="320"/>
        <v>420765</v>
      </c>
      <c r="AY132" s="7">
        <f t="shared" si="303"/>
        <v>17943.5</v>
      </c>
      <c r="AZ132" s="7">
        <f t="shared" si="303"/>
        <v>59149.4</v>
      </c>
      <c r="BA132" s="7">
        <f t="shared" si="303"/>
        <v>2406</v>
      </c>
      <c r="BB132" s="61">
        <f t="shared" si="321"/>
        <v>500263.9</v>
      </c>
    </row>
    <row r="133" spans="1:54" x14ac:dyDescent="0.25">
      <c r="A133" s="62" t="s">
        <v>250</v>
      </c>
      <c r="B133" s="11">
        <f>125*B66+2500</f>
        <v>8812.5</v>
      </c>
      <c r="C133" s="11">
        <f t="shared" ref="C133:E133" si="329">125*C66</f>
        <v>375</v>
      </c>
      <c r="D133" s="11">
        <f t="shared" si="329"/>
        <v>1125</v>
      </c>
      <c r="E133" s="11">
        <f t="shared" si="329"/>
        <v>125</v>
      </c>
      <c r="F133" s="61">
        <f t="shared" si="305"/>
        <v>10437.5</v>
      </c>
      <c r="H133" s="11">
        <f>125*H66+3000</f>
        <v>18500</v>
      </c>
      <c r="I133" s="11">
        <f t="shared" ref="I133:K133" si="330">125*I66</f>
        <v>1500</v>
      </c>
      <c r="J133" s="11">
        <f t="shared" si="330"/>
        <v>3625</v>
      </c>
      <c r="K133" s="11">
        <f t="shared" si="330"/>
        <v>375</v>
      </c>
      <c r="L133" s="61">
        <f t="shared" si="307"/>
        <v>24000</v>
      </c>
      <c r="N133" s="11">
        <f>125*N66+2500</f>
        <v>9250</v>
      </c>
      <c r="O133" s="11">
        <f t="shared" ref="O133:Q133" si="331">125*O66</f>
        <v>625</v>
      </c>
      <c r="P133" s="11">
        <f t="shared" si="331"/>
        <v>1041.25</v>
      </c>
      <c r="Q133" s="11">
        <f t="shared" si="331"/>
        <v>125</v>
      </c>
      <c r="R133" s="61">
        <f t="shared" si="325"/>
        <v>11041.25</v>
      </c>
      <c r="T133" s="11">
        <f>125*T66+2500</f>
        <v>10812.5</v>
      </c>
      <c r="U133" s="11">
        <f t="shared" ref="U133:W133" si="332">125*U66</f>
        <v>437.5</v>
      </c>
      <c r="V133" s="11">
        <f t="shared" si="332"/>
        <v>1667.5</v>
      </c>
      <c r="W133" s="11">
        <f t="shared" si="332"/>
        <v>125</v>
      </c>
      <c r="X133" s="61">
        <f t="shared" si="311"/>
        <v>13042.5</v>
      </c>
      <c r="Z133" s="11">
        <f>125*Z66+3000</f>
        <v>17625</v>
      </c>
      <c r="AA133" s="11">
        <f t="shared" ref="AA133:AC133" si="333">125*AA66</f>
        <v>687.5</v>
      </c>
      <c r="AB133" s="11">
        <f t="shared" si="333"/>
        <v>2853.75</v>
      </c>
      <c r="AC133" s="11">
        <f t="shared" si="333"/>
        <v>250</v>
      </c>
      <c r="AD133" s="61">
        <f t="shared" si="313"/>
        <v>21416.25</v>
      </c>
      <c r="AF133" s="11">
        <f>125*AF66+3000</f>
        <v>10562.5</v>
      </c>
      <c r="AG133" s="11">
        <f t="shared" ref="AG133:AI133" si="334">125*AG66</f>
        <v>562.5</v>
      </c>
      <c r="AH133" s="11">
        <f t="shared" si="334"/>
        <v>1312.5</v>
      </c>
      <c r="AI133" s="11">
        <f t="shared" si="334"/>
        <v>125</v>
      </c>
      <c r="AJ133" s="61">
        <f t="shared" si="315"/>
        <v>12562.5</v>
      </c>
      <c r="AL133" s="11"/>
      <c r="AM133" s="11"/>
      <c r="AN133" s="11"/>
      <c r="AO133" s="11"/>
      <c r="AP133" s="61">
        <f t="shared" si="317"/>
        <v>0</v>
      </c>
      <c r="AR133" s="11"/>
      <c r="AS133" s="11"/>
      <c r="AT133" s="11"/>
      <c r="AU133" s="11"/>
      <c r="AV133" s="61"/>
      <c r="AX133" s="7">
        <f t="shared" si="320"/>
        <v>75562.5</v>
      </c>
      <c r="AY133" s="7">
        <f t="shared" si="303"/>
        <v>4187.5</v>
      </c>
      <c r="AZ133" s="7">
        <f t="shared" si="303"/>
        <v>11625</v>
      </c>
      <c r="BA133" s="7">
        <f t="shared" si="303"/>
        <v>1125</v>
      </c>
      <c r="BB133" s="61">
        <f t="shared" si="321"/>
        <v>92500</v>
      </c>
    </row>
    <row r="134" spans="1:54" x14ac:dyDescent="0.25">
      <c r="A134" s="62" t="s">
        <v>107</v>
      </c>
      <c r="B134" s="14">
        <v>2500</v>
      </c>
      <c r="C134" s="14"/>
      <c r="D134" s="14"/>
      <c r="E134" s="14"/>
      <c r="F134" s="61">
        <f t="shared" si="305"/>
        <v>2500</v>
      </c>
      <c r="H134" s="14">
        <v>2500</v>
      </c>
      <c r="I134" s="14"/>
      <c r="J134" s="14"/>
      <c r="K134" s="14"/>
      <c r="L134" s="61">
        <f t="shared" si="307"/>
        <v>2500</v>
      </c>
      <c r="N134" s="14">
        <v>2500</v>
      </c>
      <c r="O134" s="14"/>
      <c r="P134" s="14"/>
      <c r="Q134" s="14"/>
      <c r="R134" s="61">
        <f t="shared" si="325"/>
        <v>2500</v>
      </c>
      <c r="T134" s="14">
        <f>2500+15000</f>
        <v>17500</v>
      </c>
      <c r="U134" s="14"/>
      <c r="V134" s="14"/>
      <c r="W134" s="14"/>
      <c r="X134" s="61">
        <f t="shared" si="311"/>
        <v>17500</v>
      </c>
      <c r="Z134" s="14">
        <v>15000</v>
      </c>
      <c r="AA134" s="14"/>
      <c r="AB134" s="14"/>
      <c r="AC134" s="14"/>
      <c r="AD134" s="61">
        <f t="shared" si="313"/>
        <v>15000</v>
      </c>
      <c r="AF134" s="14">
        <v>15000</v>
      </c>
      <c r="AG134" s="14"/>
      <c r="AH134" s="14"/>
      <c r="AI134" s="14"/>
      <c r="AJ134" s="61">
        <f t="shared" si="315"/>
        <v>15000</v>
      </c>
      <c r="AL134" s="14"/>
      <c r="AM134" s="14"/>
      <c r="AN134" s="14"/>
      <c r="AO134" s="14"/>
      <c r="AP134" s="61">
        <f t="shared" si="317"/>
        <v>0</v>
      </c>
      <c r="AR134" s="14"/>
      <c r="AS134" s="14"/>
      <c r="AT134" s="14"/>
      <c r="AU134" s="14"/>
      <c r="AV134" s="61">
        <f t="shared" si="319"/>
        <v>0</v>
      </c>
      <c r="AX134" s="7">
        <f t="shared" si="320"/>
        <v>55000</v>
      </c>
      <c r="AY134" s="7">
        <f t="shared" si="303"/>
        <v>0</v>
      </c>
      <c r="AZ134" s="7">
        <f t="shared" si="303"/>
        <v>0</v>
      </c>
      <c r="BA134" s="7">
        <f t="shared" si="303"/>
        <v>0</v>
      </c>
      <c r="BB134" s="61">
        <f t="shared" si="321"/>
        <v>55000</v>
      </c>
    </row>
    <row r="135" spans="1:54" x14ac:dyDescent="0.25">
      <c r="A135" s="62" t="s">
        <v>251</v>
      </c>
      <c r="B135" s="14">
        <f>(500*B39)+((500*(B42+B43+B44+B45+B46+B47+B48))+((250*(B49+B50+B51+B52+B53+B54))+((500*(B55+B56+B57+B58+B59+B60+B61)))))</f>
        <v>24500</v>
      </c>
      <c r="C135" s="14">
        <f t="shared" ref="C135:E135" si="335">(500*C39)+((500*(C42+C43+C44+C45+C46+C47+C48))+((250*(C49+C50+C51+C52+C53+C54))+((500*(C55+C56+C57+C58+C59+C60+C61)))))</f>
        <v>1125</v>
      </c>
      <c r="D135" s="14">
        <f t="shared" si="335"/>
        <v>3500</v>
      </c>
      <c r="E135" s="14">
        <f t="shared" si="335"/>
        <v>250</v>
      </c>
      <c r="F135" s="61">
        <f t="shared" si="305"/>
        <v>29375</v>
      </c>
      <c r="H135" s="14">
        <f>(500*H39)+((500*(H42+H43+H44+H45+H46+H47+H48))+((250*(H49+H50+H51+H52+H53+H54))+((500*(H55+H56+H57+H58+H59+H60+H61)))))</f>
        <v>59750</v>
      </c>
      <c r="I135" s="14">
        <f t="shared" ref="I135:K135" si="336">(1000*I39)+((1000*(I42+I43+I44+I45+I46+I47+I48))+((500*(I49+I50+I51+I52+I53+I54))+((1000*(I55+I56+I57+I58+I59+I60+I61)))))</f>
        <v>7000</v>
      </c>
      <c r="J135" s="14">
        <f t="shared" si="336"/>
        <v>22500</v>
      </c>
      <c r="K135" s="14">
        <f t="shared" si="336"/>
        <v>1500</v>
      </c>
      <c r="L135" s="61">
        <f t="shared" si="307"/>
        <v>90750</v>
      </c>
      <c r="N135" s="14">
        <f>(500*N39)+((500*(N42+N43+N44+N45+N46+N47+N48))+((250*(N49+N50+N51+N52+N53+N54))+((500*(N55+N56+N57+N58+N59+N60+N61)))))</f>
        <v>26000</v>
      </c>
      <c r="O135" s="14">
        <f t="shared" ref="O135:Q135" si="337">(500*O39)+((500*(O42+O43+O44+O45+O46+O47+O48))+((250*(O49+O50+O51+O52+O53+O54))+((500*(O55+O56+O57+O58+O59+O60+O61)))))</f>
        <v>1375</v>
      </c>
      <c r="P135" s="14">
        <f t="shared" si="337"/>
        <v>3165</v>
      </c>
      <c r="Q135" s="14">
        <f t="shared" si="337"/>
        <v>250</v>
      </c>
      <c r="R135" s="61">
        <f t="shared" si="325"/>
        <v>30790</v>
      </c>
      <c r="T135" s="14">
        <f>(500*T39)+((500*(T42+T43+T44+T45+T46+T47+T48))+((250*(T49+T50+T51+T52+T53+T54))+((500*(T55+T56+T57+T58+T59+T60+T61)))))</f>
        <v>31875</v>
      </c>
      <c r="U135" s="14">
        <f t="shared" ref="U135:W135" si="338">(500*U39)+((500*(U42+U43+U44+U45+U46+U47+U48))+((250*(U49+U50+U51+U52+U53+U54))+((500*(U55+U56+U57+U58+U59+U60+U61)))))</f>
        <v>1250</v>
      </c>
      <c r="V135" s="14">
        <f t="shared" si="338"/>
        <v>5420</v>
      </c>
      <c r="W135" s="14">
        <f t="shared" si="338"/>
        <v>250</v>
      </c>
      <c r="X135" s="61">
        <f t="shared" si="311"/>
        <v>38795</v>
      </c>
      <c r="Z135" s="14">
        <f>(500*Z39)+((500*(Z42+Z43+Z44+Z45+Z46+Z47+Z48))+((250*(Z49+Z50+Z51+Z52+Z53+Z54))+((500*(Z55+Z56+Z57+Z58+Z59+Z60+Z61)))))</f>
        <v>56500</v>
      </c>
      <c r="AA135" s="14">
        <f t="shared" ref="AA135:AC135" si="339">(500*AA39)+((500*(AA42+AA43+AA44+AA45+AA46+AA47+AA48))+((250*(AA49+AA50+AA51+AA52+AA53+AA54))+((500*(AA55+AA56+AA57+AA58+AA59+AA60+AA61)))))</f>
        <v>1750</v>
      </c>
      <c r="AB135" s="14">
        <f t="shared" si="339"/>
        <v>8915</v>
      </c>
      <c r="AC135" s="14">
        <f t="shared" si="339"/>
        <v>500</v>
      </c>
      <c r="AD135" s="61">
        <f t="shared" si="313"/>
        <v>67665</v>
      </c>
      <c r="AF135" s="14">
        <f>(500*AF39)+((500*(AF42+AF43+AF44+AF45+AF46+AF47+AF48))+((250*(AF49+AF50+AF51+AF52+AF53+AF54))+((500*(AF55+AF56+AF57+AF58+AF59+AF60+AF61)))))</f>
        <v>29250</v>
      </c>
      <c r="AG135" s="14">
        <f t="shared" ref="AG135:AI135" si="340">(500*AG39)+((500*(AG42+AG43+AG44+AG45+AG46+AG47+AG48))+((250*(AG49+AG50+AG51+AG52+AG53+AG54))+((500*(AG55+AG56+AG57+AG58+AG59+AG60+AG61)))))</f>
        <v>2250</v>
      </c>
      <c r="AH135" s="14">
        <f t="shared" si="340"/>
        <v>4000</v>
      </c>
      <c r="AI135" s="14">
        <f t="shared" si="340"/>
        <v>250</v>
      </c>
      <c r="AJ135" s="61">
        <f t="shared" si="315"/>
        <v>35750</v>
      </c>
      <c r="AL135" s="14"/>
      <c r="AM135" s="14"/>
      <c r="AN135" s="14"/>
      <c r="AO135" s="14"/>
      <c r="AP135" s="61">
        <f t="shared" si="317"/>
        <v>0</v>
      </c>
      <c r="AR135" s="14"/>
      <c r="AS135" s="14"/>
      <c r="AT135" s="14"/>
      <c r="AU135" s="14"/>
      <c r="AV135" s="61"/>
      <c r="AX135" s="7">
        <f t="shared" si="320"/>
        <v>227875</v>
      </c>
      <c r="AY135" s="7">
        <f t="shared" si="303"/>
        <v>14750</v>
      </c>
      <c r="AZ135" s="7">
        <f t="shared" si="303"/>
        <v>47500</v>
      </c>
      <c r="BA135" s="7">
        <f t="shared" si="303"/>
        <v>3000</v>
      </c>
      <c r="BB135" s="61">
        <f t="shared" si="321"/>
        <v>293125</v>
      </c>
    </row>
    <row r="136" spans="1:54" x14ac:dyDescent="0.25">
      <c r="A136" s="62" t="s">
        <v>108</v>
      </c>
      <c r="B136" s="7">
        <v>7500</v>
      </c>
      <c r="C136" s="7"/>
      <c r="D136" s="7"/>
      <c r="E136" s="7"/>
      <c r="F136" s="61">
        <f t="shared" si="305"/>
        <v>7500</v>
      </c>
      <c r="H136" s="7">
        <v>12000</v>
      </c>
      <c r="I136" s="7"/>
      <c r="J136" s="7"/>
      <c r="K136" s="7"/>
      <c r="L136" s="61">
        <f t="shared" si="307"/>
        <v>12000</v>
      </c>
      <c r="N136" s="7">
        <v>12000</v>
      </c>
      <c r="O136" s="7"/>
      <c r="P136" s="7"/>
      <c r="Q136" s="7"/>
      <c r="R136" s="61">
        <f t="shared" si="309"/>
        <v>12000</v>
      </c>
      <c r="T136" s="7">
        <v>12000</v>
      </c>
      <c r="U136" s="7"/>
      <c r="V136" s="7"/>
      <c r="W136" s="7"/>
      <c r="X136" s="61">
        <f t="shared" si="311"/>
        <v>12000</v>
      </c>
      <c r="Z136" s="7">
        <v>12000</v>
      </c>
      <c r="AA136" s="7"/>
      <c r="AB136" s="7"/>
      <c r="AC136" s="7"/>
      <c r="AD136" s="61">
        <f t="shared" si="313"/>
        <v>12000</v>
      </c>
      <c r="AF136" s="7">
        <v>12000</v>
      </c>
      <c r="AG136" s="7"/>
      <c r="AH136" s="7"/>
      <c r="AI136" s="7"/>
      <c r="AJ136" s="61">
        <f t="shared" si="315"/>
        <v>12000</v>
      </c>
      <c r="AL136" s="7">
        <v>0</v>
      </c>
      <c r="AM136" s="7"/>
      <c r="AN136" s="7"/>
      <c r="AO136" s="7"/>
      <c r="AP136" s="61">
        <f t="shared" si="317"/>
        <v>0</v>
      </c>
      <c r="AR136" s="7">
        <v>0</v>
      </c>
      <c r="AS136" s="7"/>
      <c r="AT136" s="7"/>
      <c r="AU136" s="7"/>
      <c r="AV136" s="61">
        <f t="shared" si="319"/>
        <v>0</v>
      </c>
      <c r="AX136" s="7">
        <f t="shared" si="320"/>
        <v>67500</v>
      </c>
      <c r="AY136" s="7">
        <f t="shared" si="303"/>
        <v>0</v>
      </c>
      <c r="AZ136" s="7">
        <f t="shared" si="303"/>
        <v>0</v>
      </c>
      <c r="BA136" s="7">
        <f t="shared" si="303"/>
        <v>0</v>
      </c>
      <c r="BB136" s="61">
        <f t="shared" si="321"/>
        <v>67500</v>
      </c>
    </row>
    <row r="137" spans="1:54" x14ac:dyDescent="0.25">
      <c r="A137" s="62" t="s">
        <v>109</v>
      </c>
      <c r="B137" s="37">
        <f>(175*10*B39)-B127</f>
        <v>48325</v>
      </c>
      <c r="C137" s="37">
        <f t="shared" ref="C137:E137" si="341">(175*10*C39)-C127</f>
        <v>0</v>
      </c>
      <c r="D137" s="37">
        <f t="shared" si="341"/>
        <v>7000</v>
      </c>
      <c r="E137" s="37">
        <f t="shared" si="341"/>
        <v>0</v>
      </c>
      <c r="F137" s="61">
        <f t="shared" si="305"/>
        <v>55325</v>
      </c>
      <c r="H137" s="37">
        <f>(175*10*H39)-H127</f>
        <v>126400</v>
      </c>
      <c r="I137" s="37">
        <f t="shared" ref="I137:K137" si="342">(175*10*I39)-I127</f>
        <v>0</v>
      </c>
      <c r="J137" s="37">
        <f t="shared" si="342"/>
        <v>22750</v>
      </c>
      <c r="K137" s="37">
        <f t="shared" si="342"/>
        <v>0</v>
      </c>
      <c r="L137" s="61">
        <f t="shared" si="307"/>
        <v>149150</v>
      </c>
      <c r="N137" s="37">
        <f>(175*10*N39)-N127</f>
        <v>52750</v>
      </c>
      <c r="O137" s="37">
        <f t="shared" ref="O137:Q137" si="343">(175*10*O39)-O127</f>
        <v>0</v>
      </c>
      <c r="P137" s="37">
        <f t="shared" si="343"/>
        <v>7000</v>
      </c>
      <c r="Q137" s="37">
        <f t="shared" si="343"/>
        <v>0</v>
      </c>
      <c r="R137" s="61">
        <f t="shared" si="309"/>
        <v>59750</v>
      </c>
      <c r="T137" s="37">
        <f>(175*10*T39)-T127</f>
        <v>70250</v>
      </c>
      <c r="U137" s="37">
        <f t="shared" ref="U137:W137" si="344">(175*10*U39)-U127</f>
        <v>0</v>
      </c>
      <c r="V137" s="37">
        <f t="shared" si="344"/>
        <v>8750</v>
      </c>
      <c r="W137" s="37">
        <f t="shared" si="344"/>
        <v>0</v>
      </c>
      <c r="X137" s="61">
        <f t="shared" si="311"/>
        <v>79000</v>
      </c>
      <c r="Z137" s="37">
        <f>(175*10*Z39)-Z127</f>
        <v>146325</v>
      </c>
      <c r="AA137" s="37">
        <f t="shared" ref="AA137:AC137" si="345">(175*10*AA39)-AA127</f>
        <v>0</v>
      </c>
      <c r="AB137" s="37">
        <f t="shared" si="345"/>
        <v>17500</v>
      </c>
      <c r="AC137" s="37">
        <f t="shared" si="345"/>
        <v>0</v>
      </c>
      <c r="AD137" s="61">
        <f t="shared" si="313"/>
        <v>163825</v>
      </c>
      <c r="AF137" s="37">
        <f>(175*10*AF39)-AF127</f>
        <v>65875</v>
      </c>
      <c r="AG137" s="37">
        <f t="shared" ref="AG137:AI137" si="346">(175*10*AG39)-AG127</f>
        <v>0</v>
      </c>
      <c r="AH137" s="37">
        <f t="shared" si="346"/>
        <v>9625</v>
      </c>
      <c r="AI137" s="37">
        <f t="shared" si="346"/>
        <v>0</v>
      </c>
      <c r="AJ137" s="61">
        <f t="shared" si="315"/>
        <v>75500</v>
      </c>
      <c r="AL137" s="37">
        <f>(165*10*AL39)-AL127</f>
        <v>0</v>
      </c>
      <c r="AM137" s="37">
        <v>0</v>
      </c>
      <c r="AN137" s="37">
        <f t="shared" ref="AN137:AO137" si="347">(165*10*AN39)-AN127</f>
        <v>0</v>
      </c>
      <c r="AO137" s="37">
        <f t="shared" si="347"/>
        <v>0</v>
      </c>
      <c r="AP137" s="61">
        <f t="shared" si="317"/>
        <v>0</v>
      </c>
      <c r="AR137" s="37">
        <f>(165*10*AR39)-AR127</f>
        <v>0</v>
      </c>
      <c r="AS137" s="37">
        <v>0</v>
      </c>
      <c r="AT137" s="37">
        <f t="shared" ref="AT137:AU137" si="348">(165*10*AT39)-AT127</f>
        <v>1650</v>
      </c>
      <c r="AU137" s="37">
        <f t="shared" si="348"/>
        <v>0</v>
      </c>
      <c r="AV137" s="61">
        <f t="shared" si="319"/>
        <v>1650</v>
      </c>
      <c r="AX137" s="7">
        <f t="shared" si="320"/>
        <v>509925</v>
      </c>
      <c r="AY137" s="7">
        <f t="shared" si="303"/>
        <v>0</v>
      </c>
      <c r="AZ137" s="7">
        <f t="shared" si="303"/>
        <v>74275</v>
      </c>
      <c r="BA137" s="7">
        <f t="shared" si="303"/>
        <v>0</v>
      </c>
      <c r="BB137" s="61">
        <f t="shared" si="321"/>
        <v>584200</v>
      </c>
    </row>
    <row r="138" spans="1:54" ht="15.75" thickBot="1" x14ac:dyDescent="0.3">
      <c r="A138" s="91" t="s">
        <v>110</v>
      </c>
      <c r="B138" s="87">
        <f>SUM(B130:B137)</f>
        <v>1510492.7360154474</v>
      </c>
      <c r="C138" s="87">
        <f>SUM(C130:C137)</f>
        <v>71217.375176629314</v>
      </c>
      <c r="D138" s="87">
        <f>SUM(D130:D137)</f>
        <v>198394.00148601906</v>
      </c>
      <c r="E138" s="87">
        <f t="shared" ref="E138:F138" si="349">SUM(E130:E137)</f>
        <v>11344.5</v>
      </c>
      <c r="F138" s="87">
        <f t="shared" si="349"/>
        <v>1791448.6126780957</v>
      </c>
      <c r="H138" s="87">
        <f>SUM(H130:H137)</f>
        <v>3658478.3947654716</v>
      </c>
      <c r="I138" s="87">
        <f>SUM(I130:I137)</f>
        <v>143538.74510387209</v>
      </c>
      <c r="J138" s="87">
        <f>SUM(J130:J137)</f>
        <v>677733.35295427695</v>
      </c>
      <c r="K138" s="87">
        <f t="shared" ref="K138:L138" si="350">SUM(K130:K137)</f>
        <v>35328</v>
      </c>
      <c r="L138" s="87">
        <f t="shared" si="350"/>
        <v>4515078.4928236203</v>
      </c>
      <c r="N138" s="87">
        <f>SUM(N130:N137)</f>
        <v>1558920.3649300637</v>
      </c>
      <c r="O138" s="87">
        <f>SUM(O130:O137)</f>
        <v>97291.217083091644</v>
      </c>
      <c r="P138" s="87">
        <f>SUM(P130:P137)</f>
        <v>215040.23158975999</v>
      </c>
      <c r="Q138" s="87">
        <f t="shared" ref="Q138:R138" si="351">SUM(Q130:Q137)</f>
        <v>11526</v>
      </c>
      <c r="R138" s="87">
        <f t="shared" si="351"/>
        <v>1882777.8136029153</v>
      </c>
      <c r="T138" s="87">
        <f>SUM(T130:T137)</f>
        <v>1942172.2740172963</v>
      </c>
      <c r="U138" s="87">
        <f>SUM(U130:U137)</f>
        <v>61319.658930300007</v>
      </c>
      <c r="V138" s="87">
        <f>SUM(V130:V137)</f>
        <v>273433.93281202699</v>
      </c>
      <c r="W138" s="87">
        <f t="shared" ref="W138:X138" si="352">SUM(W130:W137)</f>
        <v>11350.5</v>
      </c>
      <c r="X138" s="87">
        <f t="shared" si="352"/>
        <v>2288276.3657596232</v>
      </c>
      <c r="Z138" s="87">
        <f>SUM(Z130:Z137)</f>
        <v>3358464.1074596024</v>
      </c>
      <c r="AA138" s="87">
        <f>SUM(AA130:AA137)</f>
        <v>85745.137713420001</v>
      </c>
      <c r="AB138" s="87">
        <f>SUM(AB130:AB137)</f>
        <v>564730.24764792342</v>
      </c>
      <c r="AC138" s="87">
        <f t="shared" ref="AC138:AD138" si="353">SUM(AC130:AC137)</f>
        <v>22689</v>
      </c>
      <c r="AD138" s="87">
        <f t="shared" si="353"/>
        <v>4031628.492820946</v>
      </c>
      <c r="AF138" s="87">
        <f>SUM(AF130:AF137)</f>
        <v>1768724.3739400001</v>
      </c>
      <c r="AG138" s="87">
        <f>SUM(AG130:AG137)</f>
        <v>155724.26056999998</v>
      </c>
      <c r="AH138" s="87">
        <f>SUM(AH130:AH137)</f>
        <v>215317.5</v>
      </c>
      <c r="AI138" s="87">
        <f t="shared" ref="AI138:AJ138" si="354">SUM(AI130:AI137)</f>
        <v>12222</v>
      </c>
      <c r="AJ138" s="87">
        <f t="shared" si="354"/>
        <v>2151988.1345100002</v>
      </c>
      <c r="AL138" s="87">
        <f>SUM(AL130:AL137)</f>
        <v>82022.796817063354</v>
      </c>
      <c r="AM138" s="87">
        <f>SUM(AM130:AM137)</f>
        <v>14443.481052051698</v>
      </c>
      <c r="AN138" s="87">
        <f>SUM(AN130:AN137)</f>
        <v>0</v>
      </c>
      <c r="AO138" s="87">
        <f t="shared" ref="AO138:AP138" si="355">SUM(AO130:AO137)</f>
        <v>0</v>
      </c>
      <c r="AP138" s="87">
        <f t="shared" si="355"/>
        <v>96466.27786911506</v>
      </c>
      <c r="AR138" s="87">
        <f>SUM(AR130:AR137)</f>
        <v>213063.75</v>
      </c>
      <c r="AS138" s="87">
        <f>SUM(AS130:AS137)</f>
        <v>0</v>
      </c>
      <c r="AT138" s="87">
        <f>SUM(AT130:AT137)</f>
        <v>40139.5</v>
      </c>
      <c r="AU138" s="87">
        <f t="shared" ref="AU138:AV138" si="356">SUM(AU130:AU137)</f>
        <v>0</v>
      </c>
      <c r="AV138" s="87">
        <f t="shared" si="356"/>
        <v>253203.25</v>
      </c>
      <c r="AX138" s="87">
        <f>SUM(AX130:AX137)</f>
        <v>14092338.797944944</v>
      </c>
      <c r="AY138" s="87">
        <f>SUM(AY130:AY137)</f>
        <v>629279.87562936475</v>
      </c>
      <c r="AZ138" s="87">
        <f>SUM(AZ130:AZ137)</f>
        <v>2184788.7664900064</v>
      </c>
      <c r="BA138" s="87">
        <f t="shared" ref="BA138:BB138" si="357">SUM(BA130:BA137)</f>
        <v>104460</v>
      </c>
      <c r="BB138" s="87">
        <f t="shared" si="357"/>
        <v>17010867.440064318</v>
      </c>
    </row>
    <row r="139" spans="1:54" ht="15.75" thickBot="1" x14ac:dyDescent="0.3">
      <c r="A139" s="95" t="s">
        <v>111</v>
      </c>
      <c r="B139" s="90">
        <f>B129+B138</f>
        <v>4329625.5278420066</v>
      </c>
      <c r="C139" s="90">
        <f>C129+C138</f>
        <v>209804.81143638177</v>
      </c>
      <c r="D139" s="90">
        <f>D129+D138</f>
        <v>570318.1070983659</v>
      </c>
      <c r="E139" s="90">
        <f t="shared" ref="E139:F139" si="358">E129+E138</f>
        <v>33304.5</v>
      </c>
      <c r="F139" s="90">
        <f t="shared" si="358"/>
        <v>5143052.946376754</v>
      </c>
      <c r="H139" s="90">
        <f>H129+H138</f>
        <v>10488464.845566439</v>
      </c>
      <c r="I139" s="90">
        <f>I129+I138</f>
        <v>410941.29916309688</v>
      </c>
      <c r="J139" s="90">
        <f>J129+J138</f>
        <v>1930960.7436297168</v>
      </c>
      <c r="K139" s="90">
        <f t="shared" ref="K139:L139" si="359">K129+K138</f>
        <v>102288</v>
      </c>
      <c r="L139" s="90">
        <f t="shared" si="359"/>
        <v>12932654.888359252</v>
      </c>
      <c r="N139" s="90">
        <f>N129+N138</f>
        <v>4447495.4724789122</v>
      </c>
      <c r="O139" s="90">
        <f>O129+O138</f>
        <v>289344.99571507447</v>
      </c>
      <c r="P139" s="90">
        <f>P129+P138</f>
        <v>622951.98869696003</v>
      </c>
      <c r="Q139" s="90">
        <f t="shared" ref="Q139:R139" si="360">Q129+Q138</f>
        <v>33846</v>
      </c>
      <c r="R139" s="90">
        <f t="shared" si="360"/>
        <v>5393638.4568909463</v>
      </c>
      <c r="T139" s="90">
        <f>T129+T138</f>
        <v>5513474.3745655958</v>
      </c>
      <c r="U139" s="90">
        <f>U129+U138</f>
        <v>179765.11314630002</v>
      </c>
      <c r="V139" s="90">
        <f>V129+V138</f>
        <v>783670.71806746698</v>
      </c>
      <c r="W139" s="90">
        <f t="shared" ref="W139:X139" si="361">W129+W138</f>
        <v>33310.5</v>
      </c>
      <c r="X139" s="90">
        <f t="shared" si="361"/>
        <v>6510220.7057793634</v>
      </c>
      <c r="Z139" s="90">
        <f>Z129+Z138</f>
        <v>9532983.3022485301</v>
      </c>
      <c r="AA139" s="90">
        <f>AA129+AA138</f>
        <v>251758.75353582</v>
      </c>
      <c r="AB139" s="90">
        <f>AB129+AB138</f>
        <v>1633635.0633359714</v>
      </c>
      <c r="AC139" s="90">
        <f t="shared" ref="AC139:AD139" si="362">AC129+AC138</f>
        <v>66609</v>
      </c>
      <c r="AD139" s="90">
        <f t="shared" si="362"/>
        <v>11484986.119120322</v>
      </c>
      <c r="AF139" s="90">
        <f>AF129+AF138</f>
        <v>5016028.7307400005</v>
      </c>
      <c r="AG139" s="90">
        <f>AG129+AG138</f>
        <v>459822.23096999998</v>
      </c>
      <c r="AH139" s="90">
        <f>AH129+AH138</f>
        <v>613717.5</v>
      </c>
      <c r="AI139" s="90">
        <f t="shared" ref="AI139:AJ139" si="363">AI129+AI138</f>
        <v>35982</v>
      </c>
      <c r="AJ139" s="90">
        <f t="shared" si="363"/>
        <v>6125550.4617100004</v>
      </c>
      <c r="AL139" s="90">
        <f>AL129+AL138</f>
        <v>242838.79028796256</v>
      </c>
      <c r="AM139" s="90">
        <f>AM129+AM138</f>
        <v>43019.852440875693</v>
      </c>
      <c r="AN139" s="90">
        <f>AN129+AN138</f>
        <v>0</v>
      </c>
      <c r="AO139" s="90">
        <f t="shared" ref="AO139:AP139" si="364">AO129+AO138</f>
        <v>0</v>
      </c>
      <c r="AP139" s="90">
        <f t="shared" si="364"/>
        <v>285858.64272883825</v>
      </c>
      <c r="AR139" s="90">
        <f>AR129+AR138</f>
        <v>645963.75</v>
      </c>
      <c r="AS139" s="90">
        <f>AS129+AS138</f>
        <v>0</v>
      </c>
      <c r="AT139" s="90">
        <f>AT129+AT138</f>
        <v>116179.5</v>
      </c>
      <c r="AU139" s="90">
        <f t="shared" ref="AU139:AV139" si="365">AU129+AU138</f>
        <v>0</v>
      </c>
      <c r="AV139" s="90">
        <f t="shared" si="365"/>
        <v>762143.25</v>
      </c>
      <c r="AX139" s="90">
        <f>AX129+AX138</f>
        <v>40216874.793729447</v>
      </c>
      <c r="AY139" s="90">
        <f>AY129+AY138</f>
        <v>1844457.0564075487</v>
      </c>
      <c r="AZ139" s="90">
        <f>AZ129+AZ138</f>
        <v>6271433.6208284814</v>
      </c>
      <c r="BA139" s="90">
        <f t="shared" ref="BA139:BB139" si="366">BA129+BA138</f>
        <v>305340</v>
      </c>
      <c r="BB139" s="90">
        <f t="shared" si="366"/>
        <v>48638105.470965482</v>
      </c>
    </row>
    <row r="140" spans="1:54" x14ac:dyDescent="0.25">
      <c r="A140" s="97" t="s">
        <v>112</v>
      </c>
      <c r="B140" s="149" t="str">
        <f>B1</f>
        <v>Operating</v>
      </c>
      <c r="C140" s="149" t="str">
        <f>C1</f>
        <v>Weights</v>
      </c>
      <c r="D140" s="149" t="str">
        <f>D1</f>
        <v>SPED</v>
      </c>
      <c r="E140" s="149" t="str">
        <f t="shared" ref="E140:F140" si="367">E1</f>
        <v>NSLP</v>
      </c>
      <c r="F140" s="149" t="str">
        <f t="shared" si="367"/>
        <v>Horizon</v>
      </c>
      <c r="H140" s="149" t="str">
        <f>H1</f>
        <v>Operating</v>
      </c>
      <c r="I140" s="149" t="str">
        <f>I1</f>
        <v>Weights</v>
      </c>
      <c r="J140" s="149" t="str">
        <f>J1</f>
        <v>SPED</v>
      </c>
      <c r="K140" s="149" t="str">
        <f t="shared" ref="K140:L140" si="368">K1</f>
        <v>NSLP</v>
      </c>
      <c r="L140" s="149" t="str">
        <f t="shared" si="368"/>
        <v>Cadence</v>
      </c>
      <c r="N140" s="149" t="str">
        <f>N1</f>
        <v>Operating</v>
      </c>
      <c r="O140" s="149" t="str">
        <f>O1</f>
        <v>Weights</v>
      </c>
      <c r="P140" s="149" t="str">
        <f>P1</f>
        <v>SPED</v>
      </c>
      <c r="Q140" s="149" t="str">
        <f t="shared" ref="Q140:R140" si="369">Q1</f>
        <v>NSLP</v>
      </c>
      <c r="R140" s="149" t="str">
        <f t="shared" si="369"/>
        <v>St. Rose</v>
      </c>
      <c r="T140" s="149" t="str">
        <f>T1</f>
        <v>Operating</v>
      </c>
      <c r="U140" s="149" t="str">
        <f>U1</f>
        <v>Weights</v>
      </c>
      <c r="V140" s="149" t="str">
        <f>V1</f>
        <v>SPED</v>
      </c>
      <c r="W140" s="149" t="str">
        <f t="shared" ref="W140:X140" si="370">W1</f>
        <v>NSLP</v>
      </c>
      <c r="X140" s="149" t="str">
        <f t="shared" si="370"/>
        <v>Inspirada</v>
      </c>
      <c r="Z140" s="149" t="str">
        <f>Z1</f>
        <v>Operating</v>
      </c>
      <c r="AA140" s="149" t="str">
        <f>AA1</f>
        <v>Weights</v>
      </c>
      <c r="AB140" s="149" t="str">
        <f>AB1</f>
        <v>SPED</v>
      </c>
      <c r="AC140" s="149" t="str">
        <f t="shared" ref="AC140:AD140" si="371">AC1</f>
        <v>NSLP</v>
      </c>
      <c r="AD140" s="149" t="str">
        <f t="shared" si="371"/>
        <v>Sloan Canyon</v>
      </c>
      <c r="AF140" s="149" t="str">
        <f>AF1</f>
        <v>Operating</v>
      </c>
      <c r="AG140" s="149" t="str">
        <f>AG1</f>
        <v>Weights</v>
      </c>
      <c r="AH140" s="149" t="str">
        <f>AH1</f>
        <v>SPED</v>
      </c>
      <c r="AI140" s="149" t="str">
        <f t="shared" ref="AI140:AJ140" si="372">AI1</f>
        <v>NSLP</v>
      </c>
      <c r="AJ140" s="149" t="str">
        <f t="shared" si="372"/>
        <v>Springs</v>
      </c>
      <c r="AL140" s="149" t="str">
        <f>AL1</f>
        <v>Operating</v>
      </c>
      <c r="AM140" s="149" t="str">
        <f>AM1</f>
        <v>Weights</v>
      </c>
      <c r="AN140" s="149" t="str">
        <f>AN1</f>
        <v>SPED</v>
      </c>
      <c r="AO140" s="149" t="str">
        <f t="shared" ref="AO140:AP140" si="373">AO1</f>
        <v>NSLP</v>
      </c>
      <c r="AP140" s="149" t="str">
        <f t="shared" si="373"/>
        <v>System Wide</v>
      </c>
      <c r="AR140" s="149" t="str">
        <f>AR1</f>
        <v>Operating</v>
      </c>
      <c r="AS140" s="149" t="str">
        <f>AS1</f>
        <v>Weights</v>
      </c>
      <c r="AT140" s="149" t="str">
        <f>AT1</f>
        <v>SPED</v>
      </c>
      <c r="AU140" s="149" t="str">
        <f t="shared" ref="AU140:AV140" si="374">AU1</f>
        <v>NSLP</v>
      </c>
      <c r="AV140" s="149" t="str">
        <f t="shared" si="374"/>
        <v>Virtual</v>
      </c>
      <c r="AX140" s="149" t="str">
        <f>AX1</f>
        <v>Operating</v>
      </c>
      <c r="AY140" s="149" t="str">
        <f>AY1</f>
        <v>Weights</v>
      </c>
      <c r="AZ140" s="149" t="str">
        <f>AZ1</f>
        <v>SPED</v>
      </c>
      <c r="BA140" s="149" t="str">
        <f t="shared" ref="BA140:BB140" si="375">BA1</f>
        <v>NSLP</v>
      </c>
      <c r="BB140" s="149" t="str">
        <f t="shared" si="375"/>
        <v>Pinecrest System</v>
      </c>
    </row>
    <row r="141" spans="1:54" x14ac:dyDescent="0.25">
      <c r="A141" s="98" t="s">
        <v>113</v>
      </c>
      <c r="B141" s="15">
        <f>B19*150</f>
        <v>140400</v>
      </c>
      <c r="C141" s="15"/>
      <c r="D141" s="15"/>
      <c r="E141" s="15"/>
      <c r="F141" s="15">
        <f>SUM(B141:E141)</f>
        <v>140400</v>
      </c>
      <c r="H141" s="15">
        <f>H19*150</f>
        <v>368100</v>
      </c>
      <c r="I141" s="15"/>
      <c r="J141" s="15"/>
      <c r="K141" s="15"/>
      <c r="L141" s="15">
        <f>SUM(H141:K141)</f>
        <v>368100</v>
      </c>
      <c r="N141" s="15">
        <f>N19*150</f>
        <v>152400</v>
      </c>
      <c r="O141" s="15"/>
      <c r="P141" s="15"/>
      <c r="Q141" s="15"/>
      <c r="R141" s="15">
        <f>SUM(N141:Q141)</f>
        <v>152400</v>
      </c>
      <c r="T141" s="15">
        <f>T19*150</f>
        <v>182250</v>
      </c>
      <c r="U141" s="15"/>
      <c r="V141" s="15"/>
      <c r="W141" s="15"/>
      <c r="X141" s="15">
        <f>SUM(T141:W141)</f>
        <v>182250</v>
      </c>
      <c r="Z141" s="15">
        <f>Z19*150</f>
        <v>364200</v>
      </c>
      <c r="AA141" s="15"/>
      <c r="AB141" s="15"/>
      <c r="AC141" s="15"/>
      <c r="AD141" s="15">
        <f>SUM(Z141:AC141)</f>
        <v>364200</v>
      </c>
      <c r="AF141" s="15">
        <f>AF19*150</f>
        <v>180000</v>
      </c>
      <c r="AG141" s="15"/>
      <c r="AH141" s="15"/>
      <c r="AI141" s="15"/>
      <c r="AJ141" s="15">
        <f>SUM(AF141:AI141)</f>
        <v>180000</v>
      </c>
      <c r="AL141" s="15">
        <f>AL19*140</f>
        <v>0</v>
      </c>
      <c r="AM141" s="15"/>
      <c r="AN141" s="15"/>
      <c r="AO141" s="15"/>
      <c r="AP141" s="15">
        <f>SUM(AL141:AO141)</f>
        <v>0</v>
      </c>
      <c r="AR141" s="15">
        <f>AR19*400</f>
        <v>164000</v>
      </c>
      <c r="AS141" s="15"/>
      <c r="AT141" s="15"/>
      <c r="AU141" s="15"/>
      <c r="AV141" s="15">
        <f>SUM(AR141:AU141)</f>
        <v>164000</v>
      </c>
      <c r="AX141" s="7">
        <f>B141+H141+N141+T141+Z141+AF141+AL141+AR141</f>
        <v>1551350</v>
      </c>
      <c r="AY141" s="7">
        <f t="shared" ref="AY141:BA150" si="376">C141+I141+O141+U141+AA141+AG141+AM141+AS141</f>
        <v>0</v>
      </c>
      <c r="AZ141" s="7">
        <f t="shared" si="376"/>
        <v>0</v>
      </c>
      <c r="BA141" s="7">
        <f t="shared" si="376"/>
        <v>0</v>
      </c>
      <c r="BB141" s="15">
        <f>SUM(AX141:BA141)</f>
        <v>1551350</v>
      </c>
    </row>
    <row r="142" spans="1:54" x14ac:dyDescent="0.25">
      <c r="A142" s="99" t="s">
        <v>252</v>
      </c>
      <c r="B142" s="15">
        <v>0</v>
      </c>
      <c r="C142" s="7"/>
      <c r="D142" s="7"/>
      <c r="E142" s="7"/>
      <c r="F142" s="15">
        <f t="shared" ref="F142:F150" si="377">SUM(B142:E142)</f>
        <v>0</v>
      </c>
      <c r="H142" s="15">
        <v>250000</v>
      </c>
      <c r="I142" s="7"/>
      <c r="J142" s="7"/>
      <c r="K142" s="7"/>
      <c r="L142" s="15">
        <f t="shared" ref="L142:L150" si="378">SUM(H142:K142)</f>
        <v>250000</v>
      </c>
      <c r="N142" s="15">
        <v>0</v>
      </c>
      <c r="O142" s="7"/>
      <c r="P142" s="7"/>
      <c r="Q142" s="7"/>
      <c r="R142" s="15">
        <f t="shared" ref="R142:R150" si="379">SUM(N142:Q142)</f>
        <v>0</v>
      </c>
      <c r="T142" s="15">
        <v>0</v>
      </c>
      <c r="U142" s="7"/>
      <c r="V142" s="7"/>
      <c r="W142" s="7"/>
      <c r="X142" s="15">
        <f t="shared" ref="X142:X150" si="380">SUM(T142:W142)</f>
        <v>0</v>
      </c>
      <c r="Z142" s="15">
        <v>250000</v>
      </c>
      <c r="AA142" s="7"/>
      <c r="AB142" s="7"/>
      <c r="AC142" s="7"/>
      <c r="AD142" s="15">
        <f t="shared" ref="AD142:AD150" si="381">SUM(Z142:AC142)</f>
        <v>250000</v>
      </c>
      <c r="AF142" s="15">
        <v>0</v>
      </c>
      <c r="AG142" s="7"/>
      <c r="AH142" s="7"/>
      <c r="AI142" s="7"/>
      <c r="AJ142" s="15">
        <f t="shared" ref="AJ142:AJ150" si="382">SUM(AF142:AI142)</f>
        <v>0</v>
      </c>
      <c r="AL142" s="15">
        <v>0</v>
      </c>
      <c r="AM142" s="7"/>
      <c r="AN142" s="7"/>
      <c r="AO142" s="7"/>
      <c r="AP142" s="15">
        <f t="shared" ref="AP142:AP150" si="383">SUM(AL142:AO142)</f>
        <v>0</v>
      </c>
      <c r="AR142" s="15">
        <f>(120*3)*(12*35)</f>
        <v>151200</v>
      </c>
      <c r="AS142" s="7"/>
      <c r="AT142" s="7"/>
      <c r="AU142" s="7"/>
      <c r="AV142" s="15">
        <f t="shared" ref="AV142:AV147" si="384">SUM(AR142:AU142)</f>
        <v>151200</v>
      </c>
      <c r="AX142" s="7">
        <f t="shared" ref="AX142:AX150" si="385">B142+H142+N142+T142+Z142+AF142+AL142+AR142</f>
        <v>651200</v>
      </c>
      <c r="AY142" s="7">
        <f t="shared" si="376"/>
        <v>0</v>
      </c>
      <c r="AZ142" s="7">
        <f t="shared" si="376"/>
        <v>0</v>
      </c>
      <c r="BA142" s="7">
        <f t="shared" si="376"/>
        <v>0</v>
      </c>
      <c r="BB142" s="15">
        <f t="shared" ref="BB142:BB150" si="386">SUM(AX142:BA142)</f>
        <v>651200</v>
      </c>
    </row>
    <row r="143" spans="1:54" x14ac:dyDescent="0.25">
      <c r="A143" s="62" t="s">
        <v>115</v>
      </c>
      <c r="B143" s="11">
        <v>15000</v>
      </c>
      <c r="C143" s="11"/>
      <c r="D143" s="11"/>
      <c r="E143" s="11"/>
      <c r="F143" s="15">
        <f t="shared" si="377"/>
        <v>15000</v>
      </c>
      <c r="H143" s="198">
        <v>100000</v>
      </c>
      <c r="I143" s="11"/>
      <c r="J143" s="11"/>
      <c r="K143" s="11"/>
      <c r="L143" s="15">
        <f t="shared" si="378"/>
        <v>100000</v>
      </c>
      <c r="N143" s="198">
        <v>0</v>
      </c>
      <c r="O143" s="11"/>
      <c r="P143" s="11"/>
      <c r="Q143" s="11"/>
      <c r="R143" s="15">
        <f t="shared" si="379"/>
        <v>0</v>
      </c>
      <c r="T143" s="198">
        <v>0</v>
      </c>
      <c r="U143" s="11"/>
      <c r="V143" s="11"/>
      <c r="W143" s="11"/>
      <c r="X143" s="15">
        <f t="shared" si="380"/>
        <v>0</v>
      </c>
      <c r="Z143" s="11">
        <v>0</v>
      </c>
      <c r="AA143" s="11"/>
      <c r="AB143" s="11"/>
      <c r="AC143" s="11"/>
      <c r="AD143" s="15">
        <f t="shared" si="381"/>
        <v>0</v>
      </c>
      <c r="AF143" s="11">
        <v>340000</v>
      </c>
      <c r="AG143" s="11"/>
      <c r="AH143" s="11"/>
      <c r="AI143" s="11"/>
      <c r="AJ143" s="15">
        <f t="shared" si="382"/>
        <v>340000</v>
      </c>
      <c r="AL143" s="11">
        <v>0</v>
      </c>
      <c r="AM143" s="11"/>
      <c r="AN143" s="11"/>
      <c r="AO143" s="11"/>
      <c r="AP143" s="15">
        <f t="shared" si="383"/>
        <v>0</v>
      </c>
      <c r="AR143" s="11">
        <v>0</v>
      </c>
      <c r="AS143" s="11"/>
      <c r="AT143" s="11"/>
      <c r="AU143" s="11"/>
      <c r="AV143" s="15">
        <f t="shared" ref="AV143" si="387">SUM(AR143:AU143)</f>
        <v>0</v>
      </c>
      <c r="AX143" s="7">
        <f t="shared" si="385"/>
        <v>455000</v>
      </c>
      <c r="AY143" s="7">
        <f t="shared" si="376"/>
        <v>0</v>
      </c>
      <c r="AZ143" s="7">
        <f t="shared" si="376"/>
        <v>0</v>
      </c>
      <c r="BA143" s="7">
        <f t="shared" si="376"/>
        <v>0</v>
      </c>
      <c r="BB143" s="15">
        <f t="shared" si="386"/>
        <v>455000</v>
      </c>
    </row>
    <row r="144" spans="1:54" x14ac:dyDescent="0.25">
      <c r="A144" s="62" t="s">
        <v>116</v>
      </c>
      <c r="B144" s="7">
        <v>0</v>
      </c>
      <c r="C144" s="7">
        <v>0</v>
      </c>
      <c r="D144" s="7"/>
      <c r="E144" s="7"/>
      <c r="F144" s="15">
        <f t="shared" si="377"/>
        <v>0</v>
      </c>
      <c r="H144" s="7">
        <v>75000</v>
      </c>
      <c r="I144" s="7">
        <v>0</v>
      </c>
      <c r="J144" s="7"/>
      <c r="K144" s="7"/>
      <c r="L144" s="15">
        <f t="shared" si="378"/>
        <v>75000</v>
      </c>
      <c r="N144" s="7">
        <v>0</v>
      </c>
      <c r="O144" s="7">
        <v>0</v>
      </c>
      <c r="P144" s="7"/>
      <c r="Q144" s="7"/>
      <c r="R144" s="15">
        <f t="shared" si="379"/>
        <v>0</v>
      </c>
      <c r="T144" s="7">
        <v>0</v>
      </c>
      <c r="U144" s="7">
        <v>0</v>
      </c>
      <c r="V144" s="7"/>
      <c r="W144" s="7"/>
      <c r="X144" s="15">
        <f t="shared" si="380"/>
        <v>0</v>
      </c>
      <c r="Z144" s="7">
        <v>0</v>
      </c>
      <c r="AA144" s="7">
        <v>0</v>
      </c>
      <c r="AB144" s="7"/>
      <c r="AC144" s="7"/>
      <c r="AD144" s="15">
        <f t="shared" si="381"/>
        <v>0</v>
      </c>
      <c r="AF144" s="7">
        <v>0</v>
      </c>
      <c r="AG144" s="7">
        <v>0</v>
      </c>
      <c r="AH144" s="7"/>
      <c r="AI144" s="7"/>
      <c r="AJ144" s="15">
        <f t="shared" si="382"/>
        <v>0</v>
      </c>
      <c r="AL144" s="7">
        <v>0</v>
      </c>
      <c r="AM144" s="7">
        <v>0</v>
      </c>
      <c r="AN144" s="7"/>
      <c r="AO144" s="7"/>
      <c r="AP144" s="15">
        <f t="shared" si="383"/>
        <v>0</v>
      </c>
      <c r="AR144" s="7">
        <f>400*70</f>
        <v>28000</v>
      </c>
      <c r="AS144" s="7">
        <v>0</v>
      </c>
      <c r="AT144" s="7"/>
      <c r="AU144" s="7"/>
      <c r="AV144" s="15">
        <f t="shared" si="384"/>
        <v>28000</v>
      </c>
      <c r="AX144" s="7">
        <f t="shared" si="385"/>
        <v>103000</v>
      </c>
      <c r="AY144" s="7">
        <f t="shared" si="376"/>
        <v>0</v>
      </c>
      <c r="AZ144" s="7">
        <f t="shared" si="376"/>
        <v>0</v>
      </c>
      <c r="BA144" s="7">
        <f t="shared" si="376"/>
        <v>0</v>
      </c>
      <c r="BB144" s="15">
        <f t="shared" si="386"/>
        <v>103000</v>
      </c>
    </row>
    <row r="145" spans="1:54" x14ac:dyDescent="0.25">
      <c r="A145" s="62" t="s">
        <v>117</v>
      </c>
      <c r="B145" s="7">
        <f>14*B19</f>
        <v>13104</v>
      </c>
      <c r="C145" s="7">
        <f>13*C19</f>
        <v>0</v>
      </c>
      <c r="D145" s="7"/>
      <c r="E145" s="7">
        <v>0</v>
      </c>
      <c r="F145" s="15">
        <f t="shared" si="377"/>
        <v>13104</v>
      </c>
      <c r="H145" s="7">
        <f>14*H19</f>
        <v>34356</v>
      </c>
      <c r="I145" s="7">
        <f>13*I19</f>
        <v>0</v>
      </c>
      <c r="J145" s="7"/>
      <c r="K145" s="7">
        <v>0</v>
      </c>
      <c r="L145" s="15">
        <f t="shared" si="378"/>
        <v>34356</v>
      </c>
      <c r="N145" s="7">
        <f>14*N19</f>
        <v>14224</v>
      </c>
      <c r="O145" s="7">
        <f>13*O19</f>
        <v>0</v>
      </c>
      <c r="P145" s="7"/>
      <c r="Q145" s="7">
        <v>0</v>
      </c>
      <c r="R145" s="15">
        <f t="shared" si="379"/>
        <v>14224</v>
      </c>
      <c r="T145" s="7">
        <f>14*T19</f>
        <v>17010</v>
      </c>
      <c r="U145" s="7">
        <f>13*U19</f>
        <v>0</v>
      </c>
      <c r="V145" s="7"/>
      <c r="W145" s="7">
        <v>0</v>
      </c>
      <c r="X145" s="15">
        <f t="shared" si="380"/>
        <v>17010</v>
      </c>
      <c r="Z145" s="7">
        <f>14*Z19</f>
        <v>33992</v>
      </c>
      <c r="AA145" s="7">
        <f>13*AA19</f>
        <v>0</v>
      </c>
      <c r="AB145" s="7"/>
      <c r="AC145" s="7">
        <v>0</v>
      </c>
      <c r="AD145" s="15">
        <f t="shared" si="381"/>
        <v>33992</v>
      </c>
      <c r="AF145" s="7">
        <f>14*AF19</f>
        <v>16800</v>
      </c>
      <c r="AG145" s="7">
        <f>13*AG19</f>
        <v>0</v>
      </c>
      <c r="AH145" s="7"/>
      <c r="AI145" s="7">
        <v>0</v>
      </c>
      <c r="AJ145" s="15">
        <f t="shared" si="382"/>
        <v>16800</v>
      </c>
      <c r="AL145" s="7">
        <v>1000</v>
      </c>
      <c r="AM145" s="7">
        <f>13*AM19</f>
        <v>0</v>
      </c>
      <c r="AN145" s="7"/>
      <c r="AO145" s="7">
        <v>0</v>
      </c>
      <c r="AP145" s="15">
        <f t="shared" si="383"/>
        <v>1000</v>
      </c>
      <c r="AR145" s="7">
        <f>13*AR19</f>
        <v>5330</v>
      </c>
      <c r="AS145" s="7">
        <f>13*AS19</f>
        <v>0</v>
      </c>
      <c r="AT145" s="7"/>
      <c r="AU145" s="7">
        <v>0</v>
      </c>
      <c r="AV145" s="15">
        <f t="shared" si="384"/>
        <v>5330</v>
      </c>
      <c r="AX145" s="7">
        <f t="shared" si="385"/>
        <v>135816</v>
      </c>
      <c r="AY145" s="7">
        <f t="shared" si="376"/>
        <v>0</v>
      </c>
      <c r="AZ145" s="7">
        <f t="shared" si="376"/>
        <v>0</v>
      </c>
      <c r="BA145" s="7">
        <f t="shared" si="376"/>
        <v>0</v>
      </c>
      <c r="BB145" s="15">
        <f t="shared" si="386"/>
        <v>135816</v>
      </c>
    </row>
    <row r="146" spans="1:54" x14ac:dyDescent="0.25">
      <c r="A146" s="62" t="s">
        <v>118</v>
      </c>
      <c r="B146" s="7">
        <f>(29*B19)</f>
        <v>27144</v>
      </c>
      <c r="C146" s="7">
        <v>0</v>
      </c>
      <c r="D146" s="7"/>
      <c r="E146" s="7"/>
      <c r="F146" s="15">
        <f t="shared" si="377"/>
        <v>27144</v>
      </c>
      <c r="H146" s="7">
        <f>(29*H19)</f>
        <v>71166</v>
      </c>
      <c r="I146" s="7">
        <v>0</v>
      </c>
      <c r="J146" s="7"/>
      <c r="K146" s="7"/>
      <c r="L146" s="15">
        <f t="shared" si="378"/>
        <v>71166</v>
      </c>
      <c r="N146" s="7">
        <f>(29*N19)</f>
        <v>29464</v>
      </c>
      <c r="O146" s="7">
        <v>0</v>
      </c>
      <c r="P146" s="7"/>
      <c r="Q146" s="7"/>
      <c r="R146" s="15">
        <f t="shared" si="379"/>
        <v>29464</v>
      </c>
      <c r="T146" s="7">
        <f>(29*T19)</f>
        <v>35235</v>
      </c>
      <c r="U146" s="7">
        <v>0</v>
      </c>
      <c r="V146" s="7"/>
      <c r="W146" s="7"/>
      <c r="X146" s="15">
        <f t="shared" si="380"/>
        <v>35235</v>
      </c>
      <c r="Z146" s="7">
        <f>(29*Z19)</f>
        <v>70412</v>
      </c>
      <c r="AA146" s="7">
        <v>0</v>
      </c>
      <c r="AB146" s="7"/>
      <c r="AC146" s="7"/>
      <c r="AD146" s="15">
        <f t="shared" si="381"/>
        <v>70412</v>
      </c>
      <c r="AF146" s="7">
        <f>(29*AF19)</f>
        <v>34800</v>
      </c>
      <c r="AG146" s="7">
        <v>0</v>
      </c>
      <c r="AH146" s="7"/>
      <c r="AI146" s="7"/>
      <c r="AJ146" s="15">
        <f t="shared" si="382"/>
        <v>34800</v>
      </c>
      <c r="AL146" s="7">
        <f>(27*AL19)</f>
        <v>0</v>
      </c>
      <c r="AM146" s="7">
        <v>0</v>
      </c>
      <c r="AN146" s="7"/>
      <c r="AO146" s="7"/>
      <c r="AP146" s="15">
        <f t="shared" si="383"/>
        <v>0</v>
      </c>
      <c r="AR146" s="7">
        <f>(27*AR19)</f>
        <v>11070</v>
      </c>
      <c r="AS146" s="7">
        <v>0</v>
      </c>
      <c r="AT146" s="7"/>
      <c r="AU146" s="7"/>
      <c r="AV146" s="15">
        <f t="shared" si="384"/>
        <v>11070</v>
      </c>
      <c r="AX146" s="7">
        <f t="shared" si="385"/>
        <v>279291</v>
      </c>
      <c r="AY146" s="7">
        <f t="shared" si="376"/>
        <v>0</v>
      </c>
      <c r="AZ146" s="7">
        <f t="shared" si="376"/>
        <v>0</v>
      </c>
      <c r="BA146" s="7">
        <f t="shared" si="376"/>
        <v>0</v>
      </c>
      <c r="BB146" s="15">
        <f t="shared" si="386"/>
        <v>279291</v>
      </c>
    </row>
    <row r="147" spans="1:54" x14ac:dyDescent="0.25">
      <c r="A147" s="62" t="s">
        <v>119</v>
      </c>
      <c r="B147" s="7">
        <f>4.25*B19</f>
        <v>3978</v>
      </c>
      <c r="C147" s="7">
        <f>4*C19</f>
        <v>0</v>
      </c>
      <c r="D147" s="7"/>
      <c r="E147" s="7"/>
      <c r="F147" s="15">
        <f t="shared" si="377"/>
        <v>3978</v>
      </c>
      <c r="H147" s="7">
        <f>4.25*H19</f>
        <v>10429.5</v>
      </c>
      <c r="I147" s="7">
        <f>4*I19</f>
        <v>0</v>
      </c>
      <c r="J147" s="7"/>
      <c r="K147" s="7"/>
      <c r="L147" s="15">
        <f t="shared" si="378"/>
        <v>10429.5</v>
      </c>
      <c r="N147" s="7">
        <f>4.25*N19</f>
        <v>4318</v>
      </c>
      <c r="O147" s="7">
        <f>4*O19</f>
        <v>0</v>
      </c>
      <c r="P147" s="7"/>
      <c r="Q147" s="7"/>
      <c r="R147" s="15">
        <f t="shared" si="379"/>
        <v>4318</v>
      </c>
      <c r="T147" s="7">
        <f>4.25*T19</f>
        <v>5163.75</v>
      </c>
      <c r="U147" s="7">
        <f>4*U19</f>
        <v>0</v>
      </c>
      <c r="V147" s="7"/>
      <c r="W147" s="7"/>
      <c r="X147" s="15">
        <f t="shared" si="380"/>
        <v>5163.75</v>
      </c>
      <c r="Z147" s="7">
        <f>4.25*Z19</f>
        <v>10319</v>
      </c>
      <c r="AA147" s="7">
        <f>4*AA19</f>
        <v>0</v>
      </c>
      <c r="AB147" s="7"/>
      <c r="AC147" s="7"/>
      <c r="AD147" s="15">
        <f t="shared" si="381"/>
        <v>10319</v>
      </c>
      <c r="AF147" s="7">
        <f>4.25*AF19</f>
        <v>5100</v>
      </c>
      <c r="AG147" s="7">
        <f>4*AG19</f>
        <v>0</v>
      </c>
      <c r="AH147" s="7"/>
      <c r="AI147" s="7"/>
      <c r="AJ147" s="15">
        <f t="shared" si="382"/>
        <v>5100</v>
      </c>
      <c r="AL147" s="7">
        <f>4*AL19</f>
        <v>0</v>
      </c>
      <c r="AM147" s="7">
        <f>4*AM19</f>
        <v>0</v>
      </c>
      <c r="AN147" s="7"/>
      <c r="AO147" s="7"/>
      <c r="AP147" s="15">
        <f t="shared" si="383"/>
        <v>0</v>
      </c>
      <c r="AR147" s="142">
        <v>0</v>
      </c>
      <c r="AS147" s="7">
        <f>4*AS19</f>
        <v>0</v>
      </c>
      <c r="AT147" s="7"/>
      <c r="AU147" s="7"/>
      <c r="AV147" s="15">
        <f t="shared" si="384"/>
        <v>0</v>
      </c>
      <c r="AX147" s="7">
        <f t="shared" si="385"/>
        <v>39308.25</v>
      </c>
      <c r="AY147" s="7">
        <f t="shared" si="376"/>
        <v>0</v>
      </c>
      <c r="AZ147" s="7">
        <f t="shared" si="376"/>
        <v>0</v>
      </c>
      <c r="BA147" s="7">
        <f t="shared" si="376"/>
        <v>0</v>
      </c>
      <c r="BB147" s="15">
        <f t="shared" si="386"/>
        <v>39308.25</v>
      </c>
    </row>
    <row r="148" spans="1:54" x14ac:dyDescent="0.25">
      <c r="A148" s="62" t="s">
        <v>120</v>
      </c>
      <c r="B148" s="7">
        <f>3.25*B19</f>
        <v>3042</v>
      </c>
      <c r="C148" s="7">
        <f>3*C19</f>
        <v>0</v>
      </c>
      <c r="D148" s="7"/>
      <c r="E148" s="7"/>
      <c r="F148" s="15">
        <f t="shared" si="377"/>
        <v>3042</v>
      </c>
      <c r="H148" s="7">
        <f>3.25*H19</f>
        <v>7975.5</v>
      </c>
      <c r="I148" s="7">
        <f>3*I19</f>
        <v>0</v>
      </c>
      <c r="J148" s="7"/>
      <c r="K148" s="7"/>
      <c r="L148" s="15">
        <f t="shared" si="378"/>
        <v>7975.5</v>
      </c>
      <c r="N148" s="7">
        <f>3.25*N19</f>
        <v>3302</v>
      </c>
      <c r="O148" s="7">
        <f>3*O19</f>
        <v>0</v>
      </c>
      <c r="P148" s="7"/>
      <c r="Q148" s="7"/>
      <c r="R148" s="15">
        <f t="shared" si="379"/>
        <v>3302</v>
      </c>
      <c r="T148" s="7">
        <f>3.25*T19</f>
        <v>3948.75</v>
      </c>
      <c r="U148" s="7">
        <f>3*U19</f>
        <v>0</v>
      </c>
      <c r="V148" s="7"/>
      <c r="W148" s="7"/>
      <c r="X148" s="15">
        <f t="shared" si="380"/>
        <v>3948.75</v>
      </c>
      <c r="Z148" s="7">
        <f>3.25*Z19</f>
        <v>7891</v>
      </c>
      <c r="AA148" s="7">
        <f>3*AA19</f>
        <v>0</v>
      </c>
      <c r="AB148" s="7"/>
      <c r="AC148" s="7"/>
      <c r="AD148" s="15">
        <f t="shared" si="381"/>
        <v>7891</v>
      </c>
      <c r="AF148" s="7">
        <f>3.25*AF19</f>
        <v>3900</v>
      </c>
      <c r="AG148" s="7">
        <f>3*AG19</f>
        <v>0</v>
      </c>
      <c r="AH148" s="7"/>
      <c r="AI148" s="7"/>
      <c r="AJ148" s="15">
        <f t="shared" si="382"/>
        <v>3900</v>
      </c>
      <c r="AL148" s="7">
        <f>3*AL19</f>
        <v>0</v>
      </c>
      <c r="AM148" s="7">
        <f>3*AM19</f>
        <v>0</v>
      </c>
      <c r="AN148" s="7"/>
      <c r="AO148" s="7"/>
      <c r="AP148" s="15">
        <f t="shared" si="383"/>
        <v>0</v>
      </c>
      <c r="AR148" s="142">
        <v>0</v>
      </c>
      <c r="AS148" s="7">
        <f>3*AS19</f>
        <v>0</v>
      </c>
      <c r="AT148" s="7"/>
      <c r="AU148" s="7"/>
      <c r="AV148" s="15">
        <f t="shared" ref="AV148:AV150" si="388">SUM(AR148:AU148)</f>
        <v>0</v>
      </c>
      <c r="AX148" s="7">
        <f t="shared" si="385"/>
        <v>30059.25</v>
      </c>
      <c r="AY148" s="7">
        <f t="shared" si="376"/>
        <v>0</v>
      </c>
      <c r="AZ148" s="7">
        <f t="shared" si="376"/>
        <v>0</v>
      </c>
      <c r="BA148" s="7">
        <f t="shared" si="376"/>
        <v>0</v>
      </c>
      <c r="BB148" s="15">
        <f t="shared" si="386"/>
        <v>30059.25</v>
      </c>
    </row>
    <row r="149" spans="1:54" x14ac:dyDescent="0.25">
      <c r="A149" s="62" t="s">
        <v>121</v>
      </c>
      <c r="B149" s="7">
        <f>120*B22</f>
        <v>0</v>
      </c>
      <c r="C149" s="7">
        <f>120*C22</f>
        <v>0</v>
      </c>
      <c r="D149" s="7">
        <f>129*D22</f>
        <v>13027.995550611791</v>
      </c>
      <c r="E149" s="7"/>
      <c r="F149" s="15">
        <f t="shared" si="377"/>
        <v>13027.995550611791</v>
      </c>
      <c r="H149" s="7">
        <f>120*H22</f>
        <v>0</v>
      </c>
      <c r="I149" s="7">
        <f>120*I22</f>
        <v>0</v>
      </c>
      <c r="J149" s="7">
        <f>129*J22</f>
        <v>40205.574866310162</v>
      </c>
      <c r="K149" s="7"/>
      <c r="L149" s="15">
        <f t="shared" si="378"/>
        <v>40205.574866310162</v>
      </c>
      <c r="N149" s="7">
        <f>120*N22</f>
        <v>0</v>
      </c>
      <c r="O149" s="7">
        <f>120*O22</f>
        <v>0</v>
      </c>
      <c r="P149" s="7">
        <f>129*P22</f>
        <v>9546</v>
      </c>
      <c r="Q149" s="7"/>
      <c r="R149" s="15">
        <f t="shared" si="379"/>
        <v>9546</v>
      </c>
      <c r="T149" s="7">
        <f>120*T22</f>
        <v>0</v>
      </c>
      <c r="U149" s="7">
        <f>120*U22</f>
        <v>0</v>
      </c>
      <c r="V149" s="7">
        <f>129*V22</f>
        <v>14117.91492910759</v>
      </c>
      <c r="W149" s="7"/>
      <c r="X149" s="15">
        <f t="shared" si="380"/>
        <v>14117.91492910759</v>
      </c>
      <c r="Z149" s="7">
        <f>120*Z22</f>
        <v>0</v>
      </c>
      <c r="AA149" s="7">
        <f>120*AA22</f>
        <v>0</v>
      </c>
      <c r="AB149" s="7">
        <f>129*AB22</f>
        <v>25626.436363636363</v>
      </c>
      <c r="AC149" s="7"/>
      <c r="AD149" s="15">
        <f t="shared" si="381"/>
        <v>25626.436363636363</v>
      </c>
      <c r="AF149" s="7">
        <f>120*AF22</f>
        <v>0</v>
      </c>
      <c r="AG149" s="7">
        <f>120*AG22</f>
        <v>0</v>
      </c>
      <c r="AH149" s="7">
        <f>129*AH22</f>
        <v>16718.399999999998</v>
      </c>
      <c r="AI149" s="7"/>
      <c r="AJ149" s="15">
        <f t="shared" si="382"/>
        <v>16718.399999999998</v>
      </c>
      <c r="AL149" s="7">
        <f>120*AL22</f>
        <v>0</v>
      </c>
      <c r="AM149" s="7">
        <f>120*AM22</f>
        <v>0</v>
      </c>
      <c r="AN149" s="7">
        <f>120*AN22</f>
        <v>0</v>
      </c>
      <c r="AO149" s="7"/>
      <c r="AP149" s="15">
        <f t="shared" si="383"/>
        <v>0</v>
      </c>
      <c r="AR149" s="7">
        <f>120*AR22</f>
        <v>0</v>
      </c>
      <c r="AS149" s="7">
        <f>120*AS22</f>
        <v>0</v>
      </c>
      <c r="AT149" s="7">
        <f>150*AT22</f>
        <v>4800</v>
      </c>
      <c r="AU149" s="7"/>
      <c r="AV149" s="15">
        <f t="shared" si="388"/>
        <v>4800</v>
      </c>
      <c r="AX149" s="7">
        <f t="shared" si="385"/>
        <v>0</v>
      </c>
      <c r="AY149" s="7">
        <f t="shared" si="376"/>
        <v>0</v>
      </c>
      <c r="AZ149" s="7">
        <f t="shared" si="376"/>
        <v>124042.32170966591</v>
      </c>
      <c r="BA149" s="7">
        <f t="shared" si="376"/>
        <v>0</v>
      </c>
      <c r="BB149" s="15">
        <f t="shared" si="386"/>
        <v>124042.32170966591</v>
      </c>
    </row>
    <row r="150" spans="1:54" ht="15.75" thickBot="1" x14ac:dyDescent="0.3">
      <c r="A150" s="62" t="s">
        <v>122</v>
      </c>
      <c r="B150" s="37">
        <v>0</v>
      </c>
      <c r="C150" s="37">
        <v>0</v>
      </c>
      <c r="D150" s="37"/>
      <c r="E150" s="37"/>
      <c r="F150" s="15">
        <f t="shared" si="377"/>
        <v>0</v>
      </c>
      <c r="H150" s="15">
        <f>'FY27'!H150+10000</f>
        <v>100000</v>
      </c>
      <c r="I150" s="37">
        <v>0</v>
      </c>
      <c r="J150" s="37"/>
      <c r="K150" s="37"/>
      <c r="L150" s="15">
        <f t="shared" si="378"/>
        <v>100000</v>
      </c>
      <c r="N150" s="37">
        <v>0</v>
      </c>
      <c r="O150" s="37">
        <v>0</v>
      </c>
      <c r="P150" s="37"/>
      <c r="Q150" s="37"/>
      <c r="R150" s="15">
        <f t="shared" si="379"/>
        <v>0</v>
      </c>
      <c r="T150" s="37">
        <v>0</v>
      </c>
      <c r="U150" s="37">
        <v>0</v>
      </c>
      <c r="V150" s="37"/>
      <c r="W150" s="37"/>
      <c r="X150" s="15">
        <f t="shared" si="380"/>
        <v>0</v>
      </c>
      <c r="Z150" s="37">
        <v>40000</v>
      </c>
      <c r="AA150" s="37">
        <v>0</v>
      </c>
      <c r="AB150" s="37"/>
      <c r="AC150" s="37"/>
      <c r="AD150" s="15">
        <f t="shared" si="381"/>
        <v>40000</v>
      </c>
      <c r="AF150" s="37">
        <v>5000</v>
      </c>
      <c r="AG150" s="37">
        <v>0</v>
      </c>
      <c r="AH150" s="37"/>
      <c r="AI150" s="37"/>
      <c r="AJ150" s="15">
        <f t="shared" si="382"/>
        <v>5000</v>
      </c>
      <c r="AL150" s="37">
        <v>0</v>
      </c>
      <c r="AM150" s="37">
        <v>0</v>
      </c>
      <c r="AN150" s="37"/>
      <c r="AO150" s="37"/>
      <c r="AP150" s="15">
        <f t="shared" si="383"/>
        <v>0</v>
      </c>
      <c r="AR150" s="37">
        <v>0</v>
      </c>
      <c r="AS150" s="37">
        <v>0</v>
      </c>
      <c r="AT150" s="37"/>
      <c r="AU150" s="37"/>
      <c r="AV150" s="15">
        <f t="shared" si="388"/>
        <v>0</v>
      </c>
      <c r="AX150" s="7">
        <f t="shared" si="385"/>
        <v>145000</v>
      </c>
      <c r="AY150" s="7">
        <f t="shared" si="376"/>
        <v>0</v>
      </c>
      <c r="AZ150" s="7">
        <f t="shared" si="376"/>
        <v>0</v>
      </c>
      <c r="BA150" s="7">
        <f t="shared" si="376"/>
        <v>0</v>
      </c>
      <c r="BB150" s="15">
        <f t="shared" si="386"/>
        <v>145000</v>
      </c>
    </row>
    <row r="151" spans="1:54" ht="15.75" thickBot="1" x14ac:dyDescent="0.3">
      <c r="A151" s="95" t="s">
        <v>123</v>
      </c>
      <c r="B151" s="92">
        <f>SUM(B141:B150)</f>
        <v>202668</v>
      </c>
      <c r="C151" s="92">
        <f>SUM(C141:C150)</f>
        <v>0</v>
      </c>
      <c r="D151" s="92">
        <f>SUM(D141:D150)</f>
        <v>13027.995550611791</v>
      </c>
      <c r="E151" s="92">
        <f>SUM(E141:E150)</f>
        <v>0</v>
      </c>
      <c r="F151" s="92">
        <f>SUM(F141:F150)</f>
        <v>215695.99555061178</v>
      </c>
      <c r="H151" s="92">
        <f>SUM(H141:H150)</f>
        <v>1017027</v>
      </c>
      <c r="I151" s="92">
        <f>SUM(I141:I150)</f>
        <v>0</v>
      </c>
      <c r="J151" s="92">
        <f>SUM(J141:J150)</f>
        <v>40205.574866310162</v>
      </c>
      <c r="K151" s="92">
        <f>SUM(K141:K150)</f>
        <v>0</v>
      </c>
      <c r="L151" s="92">
        <f>SUM(L141:L150)</f>
        <v>1057232.5748663102</v>
      </c>
      <c r="N151" s="92">
        <f>SUM(N141:N150)</f>
        <v>203708</v>
      </c>
      <c r="O151" s="92">
        <f>SUM(O141:O150)</f>
        <v>0</v>
      </c>
      <c r="P151" s="92">
        <f>SUM(P141:P150)</f>
        <v>9546</v>
      </c>
      <c r="Q151" s="92">
        <f>SUM(Q141:Q150)</f>
        <v>0</v>
      </c>
      <c r="R151" s="92">
        <f>SUM(R141:R150)</f>
        <v>213254</v>
      </c>
      <c r="T151" s="92">
        <f>SUM(T141:T150)</f>
        <v>243607.5</v>
      </c>
      <c r="U151" s="92">
        <f>SUM(U141:U150)</f>
        <v>0</v>
      </c>
      <c r="V151" s="92">
        <f>SUM(V141:V150)</f>
        <v>14117.91492910759</v>
      </c>
      <c r="W151" s="92">
        <f>SUM(W141:W150)</f>
        <v>0</v>
      </c>
      <c r="X151" s="92">
        <f>SUM(X141:X150)</f>
        <v>257725.41492910759</v>
      </c>
      <c r="Z151" s="92">
        <f>SUM(Z141:Z150)</f>
        <v>776814</v>
      </c>
      <c r="AA151" s="92">
        <f>SUM(AA141:AA150)</f>
        <v>0</v>
      </c>
      <c r="AB151" s="92">
        <f>SUM(AB141:AB150)</f>
        <v>25626.436363636363</v>
      </c>
      <c r="AC151" s="92">
        <f>SUM(AC141:AC150)</f>
        <v>0</v>
      </c>
      <c r="AD151" s="92">
        <f>SUM(AD141:AD150)</f>
        <v>802440.4363636364</v>
      </c>
      <c r="AF151" s="92">
        <f>SUM(AF141:AF150)</f>
        <v>585600</v>
      </c>
      <c r="AG151" s="92">
        <f>SUM(AG141:AG150)</f>
        <v>0</v>
      </c>
      <c r="AH151" s="92">
        <f>SUM(AH141:AH150)</f>
        <v>16718.399999999998</v>
      </c>
      <c r="AI151" s="92">
        <f>SUM(AI141:AI150)</f>
        <v>0</v>
      </c>
      <c r="AJ151" s="92">
        <f>SUM(AJ141:AJ150)</f>
        <v>602318.4</v>
      </c>
      <c r="AL151" s="92">
        <f>SUM(AL141:AL150)</f>
        <v>1000</v>
      </c>
      <c r="AM151" s="92">
        <f>SUM(AM141:AM150)</f>
        <v>0</v>
      </c>
      <c r="AN151" s="92">
        <f>SUM(AN141:AN150)</f>
        <v>0</v>
      </c>
      <c r="AO151" s="92">
        <f>SUM(AO141:AO150)</f>
        <v>0</v>
      </c>
      <c r="AP151" s="92">
        <f>SUM(AP141:AP150)</f>
        <v>1000</v>
      </c>
      <c r="AR151" s="92">
        <f>SUM(AR141:AR150)</f>
        <v>359600</v>
      </c>
      <c r="AS151" s="92">
        <f>SUM(AS141:AS150)</f>
        <v>0</v>
      </c>
      <c r="AT151" s="92">
        <f>SUM(AT141:AT150)</f>
        <v>4800</v>
      </c>
      <c r="AU151" s="92">
        <f>SUM(AU141:AU150)</f>
        <v>0</v>
      </c>
      <c r="AV151" s="92">
        <f>SUM(AV141:AV150)</f>
        <v>364400</v>
      </c>
      <c r="AX151" s="92">
        <f>SUM(AX141:AX150)</f>
        <v>3390024.5</v>
      </c>
      <c r="AY151" s="92">
        <f>SUM(AY141:AY150)</f>
        <v>0</v>
      </c>
      <c r="AZ151" s="92">
        <f>SUM(AZ141:AZ150)</f>
        <v>124042.32170966591</v>
      </c>
      <c r="BA151" s="92">
        <f>SUM(BA141:BA150)</f>
        <v>0</v>
      </c>
      <c r="BB151" s="92">
        <f>SUM(BB141:BB150)</f>
        <v>3514066.8217096659</v>
      </c>
    </row>
    <row r="152" spans="1:54" x14ac:dyDescent="0.25">
      <c r="A152" s="101" t="s">
        <v>124</v>
      </c>
      <c r="B152" s="149" t="str">
        <f>B1</f>
        <v>Operating</v>
      </c>
      <c r="C152" s="149" t="str">
        <f>C1</f>
        <v>Weights</v>
      </c>
      <c r="D152" s="149" t="str">
        <f>D1</f>
        <v>SPED</v>
      </c>
      <c r="E152" s="149" t="str">
        <f>E1</f>
        <v>NSLP</v>
      </c>
      <c r="F152" s="149" t="str">
        <f>F1</f>
        <v>Horizon</v>
      </c>
      <c r="H152" s="149" t="str">
        <f>H1</f>
        <v>Operating</v>
      </c>
      <c r="I152" s="149" t="str">
        <f>I1</f>
        <v>Weights</v>
      </c>
      <c r="J152" s="149" t="str">
        <f>J1</f>
        <v>SPED</v>
      </c>
      <c r="K152" s="149" t="str">
        <f>K1</f>
        <v>NSLP</v>
      </c>
      <c r="L152" s="149" t="str">
        <f>L1</f>
        <v>Cadence</v>
      </c>
      <c r="N152" s="149" t="str">
        <f>N1</f>
        <v>Operating</v>
      </c>
      <c r="O152" s="149" t="str">
        <f>O1</f>
        <v>Weights</v>
      </c>
      <c r="P152" s="149" t="str">
        <f>P1</f>
        <v>SPED</v>
      </c>
      <c r="Q152" s="149" t="str">
        <f>Q1</f>
        <v>NSLP</v>
      </c>
      <c r="R152" s="149" t="str">
        <f>R1</f>
        <v>St. Rose</v>
      </c>
      <c r="T152" s="149" t="str">
        <f>T1</f>
        <v>Operating</v>
      </c>
      <c r="U152" s="149" t="str">
        <f>U1</f>
        <v>Weights</v>
      </c>
      <c r="V152" s="149" t="str">
        <f>V1</f>
        <v>SPED</v>
      </c>
      <c r="W152" s="149" t="str">
        <f>W1</f>
        <v>NSLP</v>
      </c>
      <c r="X152" s="149" t="str">
        <f>X1</f>
        <v>Inspirada</v>
      </c>
      <c r="Z152" s="149" t="str">
        <f>Z1</f>
        <v>Operating</v>
      </c>
      <c r="AA152" s="149" t="str">
        <f>AA1</f>
        <v>Weights</v>
      </c>
      <c r="AB152" s="149" t="str">
        <f>AB1</f>
        <v>SPED</v>
      </c>
      <c r="AC152" s="149" t="str">
        <f>AC1</f>
        <v>NSLP</v>
      </c>
      <c r="AD152" s="149" t="str">
        <f>AD1</f>
        <v>Sloan Canyon</v>
      </c>
      <c r="AF152" s="149" t="str">
        <f>AF1</f>
        <v>Operating</v>
      </c>
      <c r="AG152" s="149" t="str">
        <f>AG1</f>
        <v>Weights</v>
      </c>
      <c r="AH152" s="149" t="str">
        <f>AH1</f>
        <v>SPED</v>
      </c>
      <c r="AI152" s="149" t="str">
        <f>AI1</f>
        <v>NSLP</v>
      </c>
      <c r="AJ152" s="149" t="str">
        <f>AJ1</f>
        <v>Springs</v>
      </c>
      <c r="AL152" s="149" t="str">
        <f>AL1</f>
        <v>Operating</v>
      </c>
      <c r="AM152" s="149" t="str">
        <f>AM1</f>
        <v>Weights</v>
      </c>
      <c r="AN152" s="149" t="str">
        <f>AN1</f>
        <v>SPED</v>
      </c>
      <c r="AO152" s="149" t="str">
        <f>AO1</f>
        <v>NSLP</v>
      </c>
      <c r="AP152" s="149" t="str">
        <f>AP1</f>
        <v>System Wide</v>
      </c>
      <c r="AR152" s="149" t="str">
        <f>AR1</f>
        <v>Operating</v>
      </c>
      <c r="AS152" s="149" t="str">
        <f>AS1</f>
        <v>Weights</v>
      </c>
      <c r="AT152" s="149" t="str">
        <f>AT1</f>
        <v>SPED</v>
      </c>
      <c r="AU152" s="149" t="str">
        <f>AU1</f>
        <v>NSLP</v>
      </c>
      <c r="AV152" s="149" t="str">
        <f>AV1</f>
        <v>Virtual</v>
      </c>
      <c r="AX152" s="149" t="str">
        <f>AX1</f>
        <v>Operating</v>
      </c>
      <c r="AY152" s="149" t="str">
        <f>AY1</f>
        <v>Weights</v>
      </c>
      <c r="AZ152" s="149" t="str">
        <f>AZ1</f>
        <v>SPED</v>
      </c>
      <c r="BA152" s="149" t="str">
        <f>BA1</f>
        <v>NSLP</v>
      </c>
      <c r="BB152" s="149" t="str">
        <f>BB1</f>
        <v>Pinecrest System</v>
      </c>
    </row>
    <row r="153" spans="1:54" x14ac:dyDescent="0.25">
      <c r="A153" s="62" t="s">
        <v>125</v>
      </c>
      <c r="B153" s="80">
        <v>0</v>
      </c>
      <c r="C153" s="15">
        <f>'FY26'!C153*1.03</f>
        <v>9566.824885</v>
      </c>
      <c r="D153" s="80"/>
      <c r="E153" s="80"/>
      <c r="F153" s="80">
        <f>SUM(B153:E153)</f>
        <v>9566.824885</v>
      </c>
      <c r="H153" s="80">
        <v>0</v>
      </c>
      <c r="I153" s="15">
        <f>'FY26'!I153*1.03</f>
        <v>20259.158580000003</v>
      </c>
      <c r="J153" s="80"/>
      <c r="K153" s="80"/>
      <c r="L153" s="80">
        <f>SUM(H153:K153)</f>
        <v>20259.158580000003</v>
      </c>
      <c r="N153" s="80">
        <v>0</v>
      </c>
      <c r="O153" s="15">
        <f>'FY26'!O153*1.03</f>
        <v>13506.105720000003</v>
      </c>
      <c r="P153" s="80"/>
      <c r="Q153" s="80"/>
      <c r="R153" s="80">
        <f>SUM(N153:Q153)</f>
        <v>13506.105720000003</v>
      </c>
      <c r="T153" s="80">
        <v>0</v>
      </c>
      <c r="U153" s="15">
        <f>'FY26'!U153*1.03</f>
        <v>13506.105720000003</v>
      </c>
      <c r="V153" s="80"/>
      <c r="W153" s="80"/>
      <c r="X153" s="80">
        <f>SUM(T153:W153)</f>
        <v>13506.105720000003</v>
      </c>
      <c r="Z153" s="80">
        <v>0</v>
      </c>
      <c r="AA153" s="15">
        <f>'FY26'!AA153*1.03</f>
        <v>20259.158580000003</v>
      </c>
      <c r="AB153" s="80"/>
      <c r="AC153" s="80"/>
      <c r="AD153" s="80">
        <f>SUM(Z153:AC153)</f>
        <v>20259.158580000003</v>
      </c>
      <c r="AF153" s="80">
        <v>0</v>
      </c>
      <c r="AG153" s="15">
        <f>'FY26'!AG153*1.03</f>
        <v>12730.800000000001</v>
      </c>
      <c r="AH153" s="80"/>
      <c r="AI153" s="80"/>
      <c r="AJ153" s="80">
        <f>SUM(AF153:AI153)</f>
        <v>12730.800000000001</v>
      </c>
      <c r="AL153" s="80">
        <v>0</v>
      </c>
      <c r="AM153" s="80">
        <v>0</v>
      </c>
      <c r="AN153" s="80"/>
      <c r="AO153" s="80"/>
      <c r="AP153" s="80">
        <f>SUM(AL153:AO153)</f>
        <v>0</v>
      </c>
      <c r="AR153" s="80">
        <v>0</v>
      </c>
      <c r="AS153" s="80">
        <f>7500*1.06*1.03*1.03*1.03</f>
        <v>8687.17965</v>
      </c>
      <c r="AT153" s="80"/>
      <c r="AU153" s="80"/>
      <c r="AV153" s="80">
        <f>SUM(AR153:AU153)</f>
        <v>8687.17965</v>
      </c>
      <c r="AX153" s="7">
        <f>B153+H153+N153+T153+Z153+AF153+AL153+AR153</f>
        <v>0</v>
      </c>
      <c r="AY153" s="7">
        <f t="shared" ref="AY153:BA166" si="389">C153+I153+O153+U153+AA153+AG153+AM153+AS153</f>
        <v>98515.333135000023</v>
      </c>
      <c r="AZ153" s="7">
        <f t="shared" si="389"/>
        <v>0</v>
      </c>
      <c r="BA153" s="7">
        <f t="shared" si="389"/>
        <v>0</v>
      </c>
      <c r="BB153" s="80">
        <f>SUM(AX153:BA153)</f>
        <v>98515.333135000023</v>
      </c>
    </row>
    <row r="154" spans="1:54" x14ac:dyDescent="0.25">
      <c r="A154" s="62" t="s">
        <v>126</v>
      </c>
      <c r="B154" s="14">
        <v>0</v>
      </c>
      <c r="C154" s="142"/>
      <c r="D154" s="14">
        <f>320*B19</f>
        <v>299520</v>
      </c>
      <c r="E154" s="142"/>
      <c r="F154" s="80">
        <f t="shared" ref="F154:F165" si="390">SUM(B154:E154)</f>
        <v>299520</v>
      </c>
      <c r="H154" s="14">
        <v>0</v>
      </c>
      <c r="I154" s="142"/>
      <c r="J154" s="14">
        <f>175*H19</f>
        <v>429450</v>
      </c>
      <c r="K154" s="142"/>
      <c r="L154" s="80">
        <f t="shared" ref="L154:L165" si="391">SUM(H154:K154)</f>
        <v>429450</v>
      </c>
      <c r="N154" s="14">
        <v>0</v>
      </c>
      <c r="O154" s="142"/>
      <c r="P154" s="14">
        <f>170*N19</f>
        <v>172720</v>
      </c>
      <c r="Q154" s="142"/>
      <c r="R154" s="80">
        <f t="shared" ref="R154:R165" si="392">SUM(N154:Q154)</f>
        <v>172720</v>
      </c>
      <c r="T154" s="14">
        <v>0</v>
      </c>
      <c r="U154" s="142"/>
      <c r="V154" s="14">
        <f>135*T19</f>
        <v>164025</v>
      </c>
      <c r="W154" s="142"/>
      <c r="X154" s="80">
        <f t="shared" ref="X154:X165" si="393">SUM(T154:W154)</f>
        <v>164025</v>
      </c>
      <c r="Z154" s="14">
        <v>0</v>
      </c>
      <c r="AA154" s="142"/>
      <c r="AB154" s="14">
        <f>115*Z19</f>
        <v>279220</v>
      </c>
      <c r="AC154" s="142"/>
      <c r="AD154" s="80">
        <f t="shared" ref="AD154:AD165" si="394">SUM(Z154:AC154)</f>
        <v>279220</v>
      </c>
      <c r="AF154" s="14">
        <v>0</v>
      </c>
      <c r="AG154" s="142"/>
      <c r="AH154" s="360">
        <f>205*AF19</f>
        <v>246000</v>
      </c>
      <c r="AI154" s="142"/>
      <c r="AJ154" s="80">
        <f t="shared" ref="AJ154:AJ165" si="395">SUM(AF154:AI154)</f>
        <v>246000</v>
      </c>
      <c r="AL154" s="14">
        <v>0</v>
      </c>
      <c r="AM154" s="142"/>
      <c r="AN154" s="14">
        <f>105*AL19</f>
        <v>0</v>
      </c>
      <c r="AO154" s="142"/>
      <c r="AP154" s="80">
        <f t="shared" ref="AP154:AP165" si="396">SUM(AL154:AO154)</f>
        <v>0</v>
      </c>
      <c r="AR154" s="14">
        <v>0</v>
      </c>
      <c r="AS154" s="142"/>
      <c r="AT154" s="14">
        <f>280*AR19</f>
        <v>114800</v>
      </c>
      <c r="AU154" s="142"/>
      <c r="AV154" s="80">
        <f t="shared" ref="AV154:AV165" si="397">SUM(AR154:AU154)</f>
        <v>114800</v>
      </c>
      <c r="AX154" s="7">
        <f t="shared" ref="AX154:AX165" si="398">B154+H154+N154+T154+Z154+AF154+AL154+AR154</f>
        <v>0</v>
      </c>
      <c r="AY154" s="7">
        <f t="shared" si="389"/>
        <v>0</v>
      </c>
      <c r="AZ154" s="7">
        <f t="shared" si="389"/>
        <v>1705735</v>
      </c>
      <c r="BA154" s="7">
        <f t="shared" si="389"/>
        <v>0</v>
      </c>
      <c r="BB154" s="80">
        <f t="shared" ref="BB154:BB165" si="399">SUM(AX154:BA154)</f>
        <v>1705735</v>
      </c>
    </row>
    <row r="155" spans="1:54" x14ac:dyDescent="0.25">
      <c r="A155" s="62" t="s">
        <v>253</v>
      </c>
      <c r="B155" s="11">
        <v>0</v>
      </c>
      <c r="C155" s="142"/>
      <c r="D155" s="14"/>
      <c r="E155" s="142"/>
      <c r="F155" s="80">
        <f t="shared" si="390"/>
        <v>0</v>
      </c>
      <c r="H155" s="11">
        <v>0</v>
      </c>
      <c r="I155" s="142"/>
      <c r="J155" s="14"/>
      <c r="K155" s="142"/>
      <c r="L155" s="80">
        <f t="shared" si="391"/>
        <v>0</v>
      </c>
      <c r="N155" s="11">
        <v>0</v>
      </c>
      <c r="O155" s="142"/>
      <c r="P155" s="14"/>
      <c r="Q155" s="142"/>
      <c r="R155" s="80">
        <f t="shared" si="392"/>
        <v>0</v>
      </c>
      <c r="T155" s="11">
        <v>0</v>
      </c>
      <c r="U155" s="142"/>
      <c r="V155" s="14"/>
      <c r="W155" s="142"/>
      <c r="X155" s="80">
        <f t="shared" si="393"/>
        <v>0</v>
      </c>
      <c r="Z155" s="11">
        <v>0</v>
      </c>
      <c r="AA155" s="142"/>
      <c r="AB155" s="14"/>
      <c r="AC155" s="142"/>
      <c r="AD155" s="80">
        <f t="shared" si="394"/>
        <v>0</v>
      </c>
      <c r="AF155" s="11">
        <v>0</v>
      </c>
      <c r="AG155" s="142"/>
      <c r="AH155" s="14"/>
      <c r="AI155" s="142"/>
      <c r="AJ155" s="80">
        <f t="shared" si="395"/>
        <v>0</v>
      </c>
      <c r="AL155" s="11">
        <v>0</v>
      </c>
      <c r="AM155" s="142"/>
      <c r="AN155" s="14"/>
      <c r="AO155" s="142"/>
      <c r="AP155" s="80">
        <f t="shared" si="396"/>
        <v>0</v>
      </c>
      <c r="AR155" s="11">
        <f>(120*10)*AR19</f>
        <v>492000</v>
      </c>
      <c r="AS155" s="142"/>
      <c r="AT155" s="14"/>
      <c r="AU155" s="142"/>
      <c r="AV155" s="80">
        <f t="shared" si="397"/>
        <v>492000</v>
      </c>
      <c r="AX155" s="7">
        <f t="shared" si="398"/>
        <v>492000</v>
      </c>
      <c r="AY155" s="7">
        <f t="shared" si="389"/>
        <v>0</v>
      </c>
      <c r="AZ155" s="7">
        <f t="shared" si="389"/>
        <v>0</v>
      </c>
      <c r="BA155" s="7">
        <f t="shared" si="389"/>
        <v>0</v>
      </c>
      <c r="BB155" s="80">
        <f t="shared" si="399"/>
        <v>492000</v>
      </c>
    </row>
    <row r="156" spans="1:54" x14ac:dyDescent="0.25">
      <c r="A156" s="62" t="s">
        <v>254</v>
      </c>
      <c r="B156" s="11">
        <v>0</v>
      </c>
      <c r="C156" s="142"/>
      <c r="D156" s="14"/>
      <c r="E156" s="142"/>
      <c r="F156" s="80">
        <f t="shared" si="390"/>
        <v>0</v>
      </c>
      <c r="H156" s="11">
        <v>0</v>
      </c>
      <c r="I156" s="142"/>
      <c r="J156" s="14"/>
      <c r="K156" s="142"/>
      <c r="L156" s="80">
        <f t="shared" si="391"/>
        <v>0</v>
      </c>
      <c r="N156" s="11">
        <v>0</v>
      </c>
      <c r="O156" s="142"/>
      <c r="P156" s="14"/>
      <c r="Q156" s="142"/>
      <c r="R156" s="80">
        <f t="shared" si="392"/>
        <v>0</v>
      </c>
      <c r="T156" s="11">
        <v>0</v>
      </c>
      <c r="U156" s="142"/>
      <c r="V156" s="14"/>
      <c r="W156" s="142"/>
      <c r="X156" s="80">
        <f t="shared" si="393"/>
        <v>0</v>
      </c>
      <c r="Z156" s="11">
        <v>0</v>
      </c>
      <c r="AA156" s="142"/>
      <c r="AB156" s="14"/>
      <c r="AC156" s="142"/>
      <c r="AD156" s="80">
        <f t="shared" si="394"/>
        <v>0</v>
      </c>
      <c r="AF156" s="11">
        <v>0</v>
      </c>
      <c r="AG156" s="142"/>
      <c r="AH156" s="14"/>
      <c r="AI156" s="142"/>
      <c r="AJ156" s="80">
        <f t="shared" si="395"/>
        <v>0</v>
      </c>
      <c r="AL156" s="11">
        <v>0</v>
      </c>
      <c r="AM156" s="142"/>
      <c r="AN156" s="14"/>
      <c r="AO156" s="142"/>
      <c r="AP156" s="80">
        <f t="shared" si="396"/>
        <v>0</v>
      </c>
      <c r="AR156" s="11">
        <f>(1500*AR19)</f>
        <v>615000</v>
      </c>
      <c r="AS156" s="142"/>
      <c r="AT156" s="14"/>
      <c r="AU156" s="142"/>
      <c r="AV156" s="80">
        <f t="shared" si="397"/>
        <v>615000</v>
      </c>
      <c r="AX156" s="7">
        <f t="shared" si="398"/>
        <v>615000</v>
      </c>
      <c r="AY156" s="7">
        <f t="shared" si="389"/>
        <v>0</v>
      </c>
      <c r="AZ156" s="7">
        <f t="shared" si="389"/>
        <v>0</v>
      </c>
      <c r="BA156" s="7">
        <f t="shared" si="389"/>
        <v>0</v>
      </c>
      <c r="BB156" s="80">
        <f t="shared" si="399"/>
        <v>615000</v>
      </c>
    </row>
    <row r="157" spans="1:54" x14ac:dyDescent="0.25">
      <c r="A157" s="62" t="s">
        <v>128</v>
      </c>
      <c r="B157" s="7">
        <f>(450*B19)</f>
        <v>421200</v>
      </c>
      <c r="C157" s="7"/>
      <c r="D157" s="7"/>
      <c r="E157" s="7"/>
      <c r="F157" s="80">
        <f t="shared" si="390"/>
        <v>421200</v>
      </c>
      <c r="H157" s="7">
        <f>(450*H19)</f>
        <v>1104300</v>
      </c>
      <c r="I157" s="7"/>
      <c r="J157" s="7"/>
      <c r="K157" s="7"/>
      <c r="L157" s="80">
        <f t="shared" si="391"/>
        <v>1104300</v>
      </c>
      <c r="N157" s="7">
        <f>(450*N19)</f>
        <v>457200</v>
      </c>
      <c r="O157" s="7"/>
      <c r="P157" s="7"/>
      <c r="Q157" s="7"/>
      <c r="R157" s="80">
        <f t="shared" si="392"/>
        <v>457200</v>
      </c>
      <c r="T157" s="7">
        <f>(450*T19)</f>
        <v>546750</v>
      </c>
      <c r="U157" s="7"/>
      <c r="V157" s="7"/>
      <c r="W157" s="7"/>
      <c r="X157" s="80">
        <f t="shared" si="393"/>
        <v>546750</v>
      </c>
      <c r="Z157" s="7">
        <f>(450*Z19)</f>
        <v>1092600</v>
      </c>
      <c r="AA157" s="7"/>
      <c r="AB157" s="7"/>
      <c r="AC157" s="7"/>
      <c r="AD157" s="80">
        <f t="shared" si="394"/>
        <v>1092600</v>
      </c>
      <c r="AF157" s="7">
        <f>(450*AF19)</f>
        <v>540000</v>
      </c>
      <c r="AG157" s="7"/>
      <c r="AH157" s="7"/>
      <c r="AI157" s="7"/>
      <c r="AJ157" s="80">
        <f t="shared" si="395"/>
        <v>540000</v>
      </c>
      <c r="AL157" s="7">
        <f>(450*AL19)</f>
        <v>0</v>
      </c>
      <c r="AM157" s="7"/>
      <c r="AN157" s="7"/>
      <c r="AO157" s="7"/>
      <c r="AP157" s="80">
        <f t="shared" si="396"/>
        <v>0</v>
      </c>
      <c r="AR157" s="7">
        <f>(450*AR19)</f>
        <v>184500</v>
      </c>
      <c r="AS157" s="7"/>
      <c r="AT157" s="7"/>
      <c r="AU157" s="7"/>
      <c r="AV157" s="80">
        <f t="shared" si="397"/>
        <v>184500</v>
      </c>
      <c r="AX157" s="7">
        <f t="shared" si="398"/>
        <v>4346550</v>
      </c>
      <c r="AY157" s="7">
        <f t="shared" si="389"/>
        <v>0</v>
      </c>
      <c r="AZ157" s="7">
        <f t="shared" si="389"/>
        <v>0</v>
      </c>
      <c r="BA157" s="7">
        <f t="shared" si="389"/>
        <v>0</v>
      </c>
      <c r="BB157" s="80">
        <f t="shared" si="399"/>
        <v>4346550</v>
      </c>
    </row>
    <row r="158" spans="1:54" x14ac:dyDescent="0.25">
      <c r="A158" s="62" t="s">
        <v>129</v>
      </c>
      <c r="B158" s="7">
        <f>(240*B66)+2000</f>
        <v>14120</v>
      </c>
      <c r="C158" s="7">
        <f>(240*C66)</f>
        <v>720</v>
      </c>
      <c r="D158" s="7">
        <f>(240*D66)</f>
        <v>2160</v>
      </c>
      <c r="E158" s="7">
        <f>(240*E66)</f>
        <v>240</v>
      </c>
      <c r="F158" s="80">
        <f t="shared" si="390"/>
        <v>17240</v>
      </c>
      <c r="H158" s="7">
        <f>(240*H66)+2000</f>
        <v>31760</v>
      </c>
      <c r="I158" s="7">
        <f>(240*I66)</f>
        <v>2880</v>
      </c>
      <c r="J158" s="7">
        <f>(240*J66)</f>
        <v>6960</v>
      </c>
      <c r="K158" s="7">
        <f>(240*K66)</f>
        <v>720</v>
      </c>
      <c r="L158" s="80">
        <f t="shared" si="391"/>
        <v>42320</v>
      </c>
      <c r="N158" s="7">
        <f>(240*N66)+2000</f>
        <v>14960</v>
      </c>
      <c r="O158" s="7">
        <f>(240*O66)</f>
        <v>1200</v>
      </c>
      <c r="P158" s="7">
        <f>(240*P66)</f>
        <v>1999.2</v>
      </c>
      <c r="Q158" s="7">
        <f>(240*Q66)</f>
        <v>240</v>
      </c>
      <c r="R158" s="80">
        <f t="shared" si="392"/>
        <v>18399.2</v>
      </c>
      <c r="T158" s="7">
        <f>(240*T66)+2000</f>
        <v>17960</v>
      </c>
      <c r="U158" s="7">
        <f>(240*U66)</f>
        <v>840</v>
      </c>
      <c r="V158" s="7">
        <f>(240*V66)</f>
        <v>3201.6</v>
      </c>
      <c r="W158" s="7">
        <f>(240*W66)</f>
        <v>240</v>
      </c>
      <c r="X158" s="80">
        <f t="shared" si="393"/>
        <v>22241.599999999999</v>
      </c>
      <c r="Z158" s="7">
        <f>(240*Z66)+2000</f>
        <v>30080</v>
      </c>
      <c r="AA158" s="7">
        <f>(240*AA66)</f>
        <v>1320</v>
      </c>
      <c r="AB158" s="7">
        <f>(240*AB66)</f>
        <v>5479.2</v>
      </c>
      <c r="AC158" s="7">
        <f>(240*AC66)</f>
        <v>480</v>
      </c>
      <c r="AD158" s="80">
        <f t="shared" si="394"/>
        <v>37359.199999999997</v>
      </c>
      <c r="AF158" s="7">
        <f>(240*AF66)+2000</f>
        <v>16520</v>
      </c>
      <c r="AG158" s="7">
        <f>(240*AG66)</f>
        <v>1080</v>
      </c>
      <c r="AH158" s="7">
        <f>(240*AH66)</f>
        <v>2520</v>
      </c>
      <c r="AI158" s="7">
        <f>(240*AI66)</f>
        <v>240</v>
      </c>
      <c r="AJ158" s="80">
        <f t="shared" si="395"/>
        <v>20360</v>
      </c>
      <c r="AL158" s="7">
        <f>(240*AL66)+2000</f>
        <v>2720</v>
      </c>
      <c r="AM158" s="7">
        <f>(240*AM66)</f>
        <v>120</v>
      </c>
      <c r="AN158" s="7">
        <f>(240*AN66)</f>
        <v>0</v>
      </c>
      <c r="AO158" s="7">
        <f>(240*AO66)</f>
        <v>0</v>
      </c>
      <c r="AP158" s="80">
        <f t="shared" si="396"/>
        <v>2840</v>
      </c>
      <c r="AR158" s="7">
        <f>(240*AR66)+2000</f>
        <v>2240</v>
      </c>
      <c r="AS158" s="7">
        <f>(240*AS66)</f>
        <v>0</v>
      </c>
      <c r="AT158" s="7">
        <f>(240*AT66)</f>
        <v>480</v>
      </c>
      <c r="AU158" s="7">
        <f>(240*AU66)</f>
        <v>0</v>
      </c>
      <c r="AV158" s="80">
        <f t="shared" si="397"/>
        <v>2720</v>
      </c>
      <c r="AX158" s="7">
        <f t="shared" si="398"/>
        <v>130360</v>
      </c>
      <c r="AY158" s="7">
        <f t="shared" si="389"/>
        <v>8160</v>
      </c>
      <c r="AZ158" s="7">
        <f t="shared" si="389"/>
        <v>22800</v>
      </c>
      <c r="BA158" s="7">
        <f t="shared" si="389"/>
        <v>2160</v>
      </c>
      <c r="BB158" s="80">
        <f t="shared" si="399"/>
        <v>163480</v>
      </c>
    </row>
    <row r="159" spans="1:54" s="212" customFormat="1" x14ac:dyDescent="0.25">
      <c r="A159" s="62" t="s">
        <v>130</v>
      </c>
      <c r="B159" s="15">
        <f>'FY27'!B159*1.03</f>
        <v>13331.651854450001</v>
      </c>
      <c r="C159" s="15"/>
      <c r="D159" s="15"/>
      <c r="E159" s="15"/>
      <c r="F159" s="80">
        <f t="shared" si="390"/>
        <v>13331.651854450001</v>
      </c>
      <c r="G159" s="211"/>
      <c r="H159" s="15">
        <f>'FY27'!H159*1.03</f>
        <v>13331.651854450001</v>
      </c>
      <c r="I159" s="15"/>
      <c r="J159" s="15"/>
      <c r="K159" s="15"/>
      <c r="L159" s="80">
        <f t="shared" si="391"/>
        <v>13331.651854450001</v>
      </c>
      <c r="M159" s="211"/>
      <c r="N159" s="15">
        <f>'FY27'!N159*1.03</f>
        <v>13331.651854450001</v>
      </c>
      <c r="O159" s="15"/>
      <c r="P159" s="15"/>
      <c r="Q159" s="15"/>
      <c r="R159" s="80">
        <f t="shared" si="392"/>
        <v>13331.651854450001</v>
      </c>
      <c r="S159" s="211"/>
      <c r="T159" s="15">
        <f>'FY27'!T159*1.03</f>
        <v>13331.651854450001</v>
      </c>
      <c r="U159" s="15"/>
      <c r="V159" s="15"/>
      <c r="W159" s="15"/>
      <c r="X159" s="80">
        <f t="shared" si="393"/>
        <v>13331.651854450001</v>
      </c>
      <c r="Y159" s="211"/>
      <c r="Z159" s="15">
        <f>'FY27'!Z159*1.03</f>
        <v>13331.651854450001</v>
      </c>
      <c r="AA159" s="15"/>
      <c r="AB159" s="15"/>
      <c r="AC159" s="15"/>
      <c r="AD159" s="80">
        <f t="shared" si="394"/>
        <v>13331.651854450001</v>
      </c>
      <c r="AE159" s="211"/>
      <c r="AF159" s="15">
        <f>'FY27'!AF159*1.03</f>
        <v>13331.29</v>
      </c>
      <c r="AG159" s="15"/>
      <c r="AH159" s="15"/>
      <c r="AI159" s="15"/>
      <c r="AJ159" s="80">
        <f t="shared" si="395"/>
        <v>13331.29</v>
      </c>
      <c r="AK159" s="211"/>
      <c r="AL159" s="15">
        <v>0</v>
      </c>
      <c r="AM159" s="15"/>
      <c r="AN159" s="15"/>
      <c r="AO159" s="15"/>
      <c r="AP159" s="80">
        <f t="shared" si="396"/>
        <v>0</v>
      </c>
      <c r="AQ159" s="211"/>
      <c r="AR159" s="7">
        <f>12500*1.15</f>
        <v>14374.999999999998</v>
      </c>
      <c r="AS159" s="7"/>
      <c r="AT159" s="7"/>
      <c r="AU159" s="7"/>
      <c r="AV159" s="80">
        <f t="shared" si="397"/>
        <v>14374.999999999998</v>
      </c>
      <c r="AX159" s="7">
        <f t="shared" si="398"/>
        <v>94364.549272250006</v>
      </c>
      <c r="AY159" s="7">
        <f t="shared" si="389"/>
        <v>0</v>
      </c>
      <c r="AZ159" s="7">
        <f t="shared" si="389"/>
        <v>0</v>
      </c>
      <c r="BA159" s="7">
        <f t="shared" si="389"/>
        <v>0</v>
      </c>
      <c r="BB159" s="80">
        <f t="shared" si="399"/>
        <v>94364.549272250006</v>
      </c>
    </row>
    <row r="160" spans="1:54" x14ac:dyDescent="0.25">
      <c r="A160" s="62" t="s">
        <v>131</v>
      </c>
      <c r="B160" s="7">
        <v>6000</v>
      </c>
      <c r="C160" s="7"/>
      <c r="D160" s="7"/>
      <c r="E160" s="7"/>
      <c r="F160" s="80">
        <f t="shared" si="390"/>
        <v>6000</v>
      </c>
      <c r="H160" s="7">
        <v>6000</v>
      </c>
      <c r="I160" s="7"/>
      <c r="J160" s="7"/>
      <c r="K160" s="7"/>
      <c r="L160" s="80">
        <f t="shared" si="391"/>
        <v>6000</v>
      </c>
      <c r="N160" s="7">
        <v>6000</v>
      </c>
      <c r="O160" s="7"/>
      <c r="P160" s="7"/>
      <c r="Q160" s="7"/>
      <c r="R160" s="80">
        <f t="shared" si="392"/>
        <v>6000</v>
      </c>
      <c r="T160" s="7">
        <v>6000</v>
      </c>
      <c r="U160" s="7"/>
      <c r="V160" s="7"/>
      <c r="W160" s="7"/>
      <c r="X160" s="80">
        <f t="shared" si="393"/>
        <v>6000</v>
      </c>
      <c r="Z160" s="7">
        <v>6000</v>
      </c>
      <c r="AA160" s="7"/>
      <c r="AB160" s="7"/>
      <c r="AC160" s="7"/>
      <c r="AD160" s="80">
        <f t="shared" si="394"/>
        <v>6000</v>
      </c>
      <c r="AF160" s="7">
        <v>6000</v>
      </c>
      <c r="AG160" s="7"/>
      <c r="AH160" s="7"/>
      <c r="AI160" s="7"/>
      <c r="AJ160" s="80">
        <f t="shared" si="395"/>
        <v>6000</v>
      </c>
      <c r="AL160" s="7">
        <v>0</v>
      </c>
      <c r="AM160" s="7"/>
      <c r="AN160" s="7"/>
      <c r="AO160" s="7"/>
      <c r="AP160" s="80">
        <f t="shared" si="396"/>
        <v>0</v>
      </c>
      <c r="AR160" s="7">
        <v>1500</v>
      </c>
      <c r="AS160" s="7"/>
      <c r="AT160" s="7"/>
      <c r="AU160" s="7"/>
      <c r="AV160" s="80">
        <f t="shared" si="397"/>
        <v>1500</v>
      </c>
      <c r="AX160" s="7">
        <f t="shared" si="398"/>
        <v>37500</v>
      </c>
      <c r="AY160" s="7">
        <f t="shared" si="389"/>
        <v>0</v>
      </c>
      <c r="AZ160" s="7">
        <f t="shared" si="389"/>
        <v>0</v>
      </c>
      <c r="BA160" s="7">
        <f t="shared" si="389"/>
        <v>0</v>
      </c>
      <c r="BB160" s="80">
        <f t="shared" si="399"/>
        <v>37500</v>
      </c>
    </row>
    <row r="161" spans="1:54" x14ac:dyDescent="0.25">
      <c r="A161" s="62" t="s">
        <v>132</v>
      </c>
      <c r="B161" s="7">
        <f>45*B19</f>
        <v>42120</v>
      </c>
      <c r="C161" s="7"/>
      <c r="D161" s="7"/>
      <c r="E161" s="7"/>
      <c r="F161" s="80">
        <f t="shared" si="390"/>
        <v>42120</v>
      </c>
      <c r="H161" s="7">
        <f>45*H19</f>
        <v>110430</v>
      </c>
      <c r="I161" s="7"/>
      <c r="J161" s="7"/>
      <c r="K161" s="7"/>
      <c r="L161" s="80">
        <f t="shared" si="391"/>
        <v>110430</v>
      </c>
      <c r="N161" s="7">
        <f>45*N19</f>
        <v>45720</v>
      </c>
      <c r="O161" s="7"/>
      <c r="P161" s="7"/>
      <c r="Q161" s="7"/>
      <c r="R161" s="80">
        <f t="shared" si="392"/>
        <v>45720</v>
      </c>
      <c r="T161" s="7">
        <f>45*T19</f>
        <v>54675</v>
      </c>
      <c r="U161" s="7"/>
      <c r="V161" s="7"/>
      <c r="W161" s="7"/>
      <c r="X161" s="80">
        <f t="shared" si="393"/>
        <v>54675</v>
      </c>
      <c r="Z161" s="7">
        <f>45*Z19</f>
        <v>109260</v>
      </c>
      <c r="AA161" s="7"/>
      <c r="AB161" s="7"/>
      <c r="AC161" s="7"/>
      <c r="AD161" s="80">
        <f t="shared" si="394"/>
        <v>109260</v>
      </c>
      <c r="AF161" s="7">
        <f>45*AF19</f>
        <v>54000</v>
      </c>
      <c r="AG161" s="7"/>
      <c r="AH161" s="7"/>
      <c r="AI161" s="7"/>
      <c r="AJ161" s="80">
        <f t="shared" si="395"/>
        <v>54000</v>
      </c>
      <c r="AL161" s="7">
        <f>42*AL19</f>
        <v>0</v>
      </c>
      <c r="AM161" s="7"/>
      <c r="AN161" s="7"/>
      <c r="AO161" s="7"/>
      <c r="AP161" s="80">
        <f t="shared" si="396"/>
        <v>0</v>
      </c>
      <c r="AR161" s="7">
        <f>42*AR19</f>
        <v>17220</v>
      </c>
      <c r="AS161" s="7"/>
      <c r="AT161" s="7"/>
      <c r="AU161" s="7"/>
      <c r="AV161" s="80">
        <f t="shared" si="397"/>
        <v>17220</v>
      </c>
      <c r="AX161" s="7">
        <f t="shared" si="398"/>
        <v>433425</v>
      </c>
      <c r="AY161" s="7">
        <f t="shared" si="389"/>
        <v>0</v>
      </c>
      <c r="AZ161" s="7">
        <f t="shared" si="389"/>
        <v>0</v>
      </c>
      <c r="BA161" s="7">
        <f t="shared" si="389"/>
        <v>0</v>
      </c>
      <c r="BB161" s="80">
        <f t="shared" si="399"/>
        <v>433425</v>
      </c>
    </row>
    <row r="162" spans="1:54" x14ac:dyDescent="0.25">
      <c r="A162" s="62" t="s">
        <v>133</v>
      </c>
      <c r="B162" s="7">
        <v>5000</v>
      </c>
      <c r="C162" s="7"/>
      <c r="D162" s="7"/>
      <c r="E162" s="7"/>
      <c r="F162" s="80">
        <f t="shared" si="390"/>
        <v>5000</v>
      </c>
      <c r="H162" s="7">
        <v>9000</v>
      </c>
      <c r="I162" s="7"/>
      <c r="J162" s="7"/>
      <c r="K162" s="7"/>
      <c r="L162" s="80">
        <f t="shared" si="391"/>
        <v>9000</v>
      </c>
      <c r="N162" s="7">
        <v>7500</v>
      </c>
      <c r="O162" s="7"/>
      <c r="P162" s="7"/>
      <c r="Q162" s="7"/>
      <c r="R162" s="80">
        <f t="shared" si="392"/>
        <v>7500</v>
      </c>
      <c r="T162" s="7">
        <v>7500</v>
      </c>
      <c r="U162" s="7"/>
      <c r="V162" s="7"/>
      <c r="W162" s="7"/>
      <c r="X162" s="80">
        <f t="shared" si="393"/>
        <v>7500</v>
      </c>
      <c r="Z162" s="7">
        <v>12500</v>
      </c>
      <c r="AA162" s="7"/>
      <c r="AB162" s="7"/>
      <c r="AC162" s="7"/>
      <c r="AD162" s="80">
        <f t="shared" si="394"/>
        <v>12500</v>
      </c>
      <c r="AF162" s="7">
        <v>12500</v>
      </c>
      <c r="AG162" s="7"/>
      <c r="AH162" s="7"/>
      <c r="AI162" s="7"/>
      <c r="AJ162" s="80">
        <f t="shared" si="395"/>
        <v>12500</v>
      </c>
      <c r="AL162" s="7">
        <v>0</v>
      </c>
      <c r="AM162" s="7"/>
      <c r="AN162" s="7"/>
      <c r="AO162" s="7"/>
      <c r="AP162" s="80">
        <f t="shared" si="396"/>
        <v>0</v>
      </c>
      <c r="AR162" s="7">
        <v>13000</v>
      </c>
      <c r="AS162" s="7"/>
      <c r="AT162" s="7"/>
      <c r="AU162" s="7"/>
      <c r="AV162" s="80">
        <f t="shared" si="397"/>
        <v>13000</v>
      </c>
      <c r="AX162" s="7">
        <f t="shared" si="398"/>
        <v>67000</v>
      </c>
      <c r="AY162" s="7">
        <f t="shared" si="389"/>
        <v>0</v>
      </c>
      <c r="AZ162" s="7">
        <f t="shared" si="389"/>
        <v>0</v>
      </c>
      <c r="BA162" s="7">
        <f t="shared" si="389"/>
        <v>0</v>
      </c>
      <c r="BB162" s="80">
        <f t="shared" si="399"/>
        <v>67000</v>
      </c>
    </row>
    <row r="163" spans="1:54" x14ac:dyDescent="0.25">
      <c r="A163" s="62" t="s">
        <v>134</v>
      </c>
      <c r="B163" s="7">
        <f>(B87+B88)*0.0125</f>
        <v>91020.517864318012</v>
      </c>
      <c r="C163" s="7"/>
      <c r="D163" s="7"/>
      <c r="E163" s="7"/>
      <c r="F163" s="80">
        <f t="shared" si="390"/>
        <v>91020.517864318012</v>
      </c>
      <c r="H163" s="7">
        <f>(H87+H88)*0.0125</f>
        <v>238637.12696478248</v>
      </c>
      <c r="I163" s="7"/>
      <c r="J163" s="7"/>
      <c r="K163" s="7"/>
      <c r="L163" s="80">
        <f t="shared" si="391"/>
        <v>238637.12696478248</v>
      </c>
      <c r="N163" s="7">
        <f>(N87+N88)*0.0125</f>
        <v>98800.049305712717</v>
      </c>
      <c r="O163" s="7"/>
      <c r="P163" s="7"/>
      <c r="Q163" s="7"/>
      <c r="R163" s="80">
        <f t="shared" si="392"/>
        <v>98800.049305712717</v>
      </c>
      <c r="T163" s="7">
        <f>(T87+T88)*0.0125</f>
        <v>118151.63376618203</v>
      </c>
      <c r="U163" s="7"/>
      <c r="V163" s="7"/>
      <c r="W163" s="7"/>
      <c r="X163" s="80">
        <f t="shared" si="393"/>
        <v>118151.63376618203</v>
      </c>
      <c r="Z163" s="7">
        <f>(Z87+Z88)*0.0125</f>
        <v>236108.77924632921</v>
      </c>
      <c r="AA163" s="7"/>
      <c r="AB163" s="7"/>
      <c r="AC163" s="7"/>
      <c r="AD163" s="80">
        <f t="shared" si="394"/>
        <v>236108.77924632921</v>
      </c>
      <c r="AF163" s="7">
        <f>(AF87+AF88)*0.0125</f>
        <v>116692.97162092054</v>
      </c>
      <c r="AG163" s="7"/>
      <c r="AH163" s="7"/>
      <c r="AI163" s="7"/>
      <c r="AJ163" s="80">
        <f t="shared" si="395"/>
        <v>116692.97162092054</v>
      </c>
      <c r="AL163" s="7">
        <f>(AL87+AL88)*0.0125</f>
        <v>0</v>
      </c>
      <c r="AM163" s="7"/>
      <c r="AN163" s="7"/>
      <c r="AO163" s="7"/>
      <c r="AP163" s="80">
        <f t="shared" si="396"/>
        <v>0</v>
      </c>
      <c r="AR163" s="7">
        <f>(AR87+AR88)*0.0125</f>
        <v>38937.187499999993</v>
      </c>
      <c r="AS163" s="7"/>
      <c r="AT163" s="7"/>
      <c r="AU163" s="7"/>
      <c r="AV163" s="80">
        <f t="shared" si="397"/>
        <v>38937.187499999993</v>
      </c>
      <c r="AX163" s="7">
        <f t="shared" si="398"/>
        <v>938348.26626824494</v>
      </c>
      <c r="AY163" s="7">
        <f t="shared" si="389"/>
        <v>0</v>
      </c>
      <c r="AZ163" s="7">
        <f t="shared" si="389"/>
        <v>0</v>
      </c>
      <c r="BA163" s="7">
        <f t="shared" si="389"/>
        <v>0</v>
      </c>
      <c r="BB163" s="80">
        <f t="shared" si="399"/>
        <v>938348.26626824494</v>
      </c>
    </row>
    <row r="164" spans="1:54" x14ac:dyDescent="0.25">
      <c r="A164" s="62" t="s">
        <v>135</v>
      </c>
      <c r="B164" s="7">
        <f>(B87+B88)*0.005</f>
        <v>36408.207145727203</v>
      </c>
      <c r="C164" s="7"/>
      <c r="D164" s="7"/>
      <c r="E164" s="7"/>
      <c r="F164" s="80">
        <f t="shared" si="390"/>
        <v>36408.207145727203</v>
      </c>
      <c r="H164" s="7">
        <f>(H87+H88)*0.005</f>
        <v>95454.85078591299</v>
      </c>
      <c r="I164" s="7"/>
      <c r="J164" s="7"/>
      <c r="K164" s="7"/>
      <c r="L164" s="80">
        <f t="shared" si="391"/>
        <v>95454.85078591299</v>
      </c>
      <c r="N164" s="7">
        <f>(N87+N88)*0.005</f>
        <v>39520.019722285084</v>
      </c>
      <c r="O164" s="7"/>
      <c r="P164" s="7"/>
      <c r="Q164" s="7"/>
      <c r="R164" s="80">
        <f t="shared" si="392"/>
        <v>39520.019722285084</v>
      </c>
      <c r="T164" s="7">
        <f>(T87+T88)*0.005</f>
        <v>47260.653506472809</v>
      </c>
      <c r="U164" s="7"/>
      <c r="V164" s="7"/>
      <c r="W164" s="7"/>
      <c r="X164" s="80">
        <f t="shared" si="393"/>
        <v>47260.653506472809</v>
      </c>
      <c r="Z164" s="7">
        <f>(Z87+Z88)*0.005</f>
        <v>94443.511698531671</v>
      </c>
      <c r="AA164" s="7"/>
      <c r="AB164" s="7"/>
      <c r="AC164" s="7"/>
      <c r="AD164" s="80">
        <f t="shared" si="394"/>
        <v>94443.511698531671</v>
      </c>
      <c r="AF164" s="7">
        <f>(AF87+AF88)*0.005</f>
        <v>46677.188648368217</v>
      </c>
      <c r="AG164" s="7"/>
      <c r="AH164" s="7"/>
      <c r="AI164" s="7"/>
      <c r="AJ164" s="80">
        <f t="shared" si="395"/>
        <v>46677.188648368217</v>
      </c>
      <c r="AL164" s="7">
        <f>(AL87+AL88)*0.005</f>
        <v>0</v>
      </c>
      <c r="AM164" s="7"/>
      <c r="AN164" s="7"/>
      <c r="AO164" s="7"/>
      <c r="AP164" s="80">
        <f t="shared" si="396"/>
        <v>0</v>
      </c>
      <c r="AR164" s="7">
        <f>(AR87+AR88)*0.005</f>
        <v>15574.874999999998</v>
      </c>
      <c r="AS164" s="7"/>
      <c r="AT164" s="7"/>
      <c r="AU164" s="7"/>
      <c r="AV164" s="80">
        <f t="shared" si="397"/>
        <v>15574.874999999998</v>
      </c>
      <c r="AX164" s="7">
        <f t="shared" si="398"/>
        <v>375339.30650729802</v>
      </c>
      <c r="AY164" s="7">
        <f t="shared" si="389"/>
        <v>0</v>
      </c>
      <c r="AZ164" s="7">
        <f t="shared" si="389"/>
        <v>0</v>
      </c>
      <c r="BA164" s="7">
        <f t="shared" si="389"/>
        <v>0</v>
      </c>
      <c r="BB164" s="80">
        <f t="shared" si="399"/>
        <v>375339.30650729802</v>
      </c>
    </row>
    <row r="165" spans="1:54" x14ac:dyDescent="0.25">
      <c r="A165" s="62" t="s">
        <v>136</v>
      </c>
      <c r="B165" s="7">
        <f>(B87+B88)*0.005</f>
        <v>36408.207145727203</v>
      </c>
      <c r="C165" s="7"/>
      <c r="D165" s="7"/>
      <c r="E165" s="7"/>
      <c r="F165" s="80">
        <f t="shared" si="390"/>
        <v>36408.207145727203</v>
      </c>
      <c r="H165" s="7">
        <f>(H87+H88)*0.005</f>
        <v>95454.85078591299</v>
      </c>
      <c r="I165" s="7"/>
      <c r="J165" s="7"/>
      <c r="K165" s="7"/>
      <c r="L165" s="80">
        <f t="shared" si="391"/>
        <v>95454.85078591299</v>
      </c>
      <c r="N165" s="7">
        <f>(N87+N88)*0.005</f>
        <v>39520.019722285084</v>
      </c>
      <c r="O165" s="7"/>
      <c r="P165" s="7"/>
      <c r="Q165" s="7"/>
      <c r="R165" s="80">
        <f t="shared" si="392"/>
        <v>39520.019722285084</v>
      </c>
      <c r="T165" s="7">
        <f>(T87+T88)*0.005</f>
        <v>47260.653506472809</v>
      </c>
      <c r="U165" s="7"/>
      <c r="V165" s="7"/>
      <c r="W165" s="7"/>
      <c r="X165" s="80">
        <f t="shared" si="393"/>
        <v>47260.653506472809</v>
      </c>
      <c r="Z165" s="7">
        <f>(Z87+Z88)*0.005</f>
        <v>94443.511698531671</v>
      </c>
      <c r="AA165" s="7"/>
      <c r="AB165" s="7"/>
      <c r="AC165" s="7"/>
      <c r="AD165" s="80">
        <f t="shared" si="394"/>
        <v>94443.511698531671</v>
      </c>
      <c r="AF165" s="7">
        <f>(AF87+AF88)*0.005</f>
        <v>46677.188648368217</v>
      </c>
      <c r="AG165" s="7"/>
      <c r="AH165" s="7"/>
      <c r="AI165" s="7"/>
      <c r="AJ165" s="80">
        <f t="shared" si="395"/>
        <v>46677.188648368217</v>
      </c>
      <c r="AL165" s="7">
        <f>(AL87+AL88)*0.005</f>
        <v>0</v>
      </c>
      <c r="AM165" s="7"/>
      <c r="AN165" s="7"/>
      <c r="AO165" s="7"/>
      <c r="AP165" s="80">
        <f t="shared" si="396"/>
        <v>0</v>
      </c>
      <c r="AR165" s="7">
        <f>(AR87+AR88)*0.005</f>
        <v>15574.874999999998</v>
      </c>
      <c r="AS165" s="7"/>
      <c r="AT165" s="7"/>
      <c r="AU165" s="7"/>
      <c r="AV165" s="80">
        <f t="shared" si="397"/>
        <v>15574.874999999998</v>
      </c>
      <c r="AX165" s="7">
        <f t="shared" si="398"/>
        <v>375339.30650729802</v>
      </c>
      <c r="AY165" s="7">
        <f t="shared" si="389"/>
        <v>0</v>
      </c>
      <c r="AZ165" s="7">
        <f t="shared" si="389"/>
        <v>0</v>
      </c>
      <c r="BA165" s="7">
        <f t="shared" si="389"/>
        <v>0</v>
      </c>
      <c r="BB165" s="80">
        <f t="shared" si="399"/>
        <v>375339.30650729802</v>
      </c>
    </row>
    <row r="166" spans="1:54" ht="15.75" thickBot="1" x14ac:dyDescent="0.3">
      <c r="A166" s="62" t="s">
        <v>137</v>
      </c>
      <c r="B166" s="81"/>
      <c r="C166" s="81"/>
      <c r="D166" s="81"/>
      <c r="E166" s="81"/>
      <c r="F166" s="81"/>
      <c r="H166" s="81"/>
      <c r="I166" s="81"/>
      <c r="J166" s="81"/>
      <c r="K166" s="81"/>
      <c r="L166" s="81"/>
      <c r="N166" s="81"/>
      <c r="O166" s="81"/>
      <c r="P166" s="81"/>
      <c r="Q166" s="81"/>
      <c r="R166" s="81"/>
      <c r="T166" s="81"/>
      <c r="U166" s="81"/>
      <c r="V166" s="81"/>
      <c r="W166" s="81"/>
      <c r="X166" s="81"/>
      <c r="Z166" s="81"/>
      <c r="AA166" s="81"/>
      <c r="AB166" s="81"/>
      <c r="AC166" s="81"/>
      <c r="AD166" s="81"/>
      <c r="AF166" s="81"/>
      <c r="AG166" s="81"/>
      <c r="AH166" s="81"/>
      <c r="AI166" s="81"/>
      <c r="AJ166" s="81"/>
      <c r="AL166" s="81"/>
      <c r="AM166" s="81"/>
      <c r="AN166" s="81"/>
      <c r="AO166" s="81"/>
      <c r="AP166" s="81"/>
      <c r="AR166" s="81"/>
      <c r="AS166" s="81"/>
      <c r="AT166" s="81"/>
      <c r="AU166" s="81"/>
      <c r="AV166" s="81"/>
      <c r="AX166" s="7">
        <f>B166+H166+N166+T166+Z166+AF166+AL166+AR166</f>
        <v>0</v>
      </c>
      <c r="AY166" s="7">
        <f t="shared" si="389"/>
        <v>0</v>
      </c>
      <c r="AZ166" s="7">
        <f t="shared" si="389"/>
        <v>0</v>
      </c>
      <c r="BA166" s="7">
        <f t="shared" si="389"/>
        <v>0</v>
      </c>
      <c r="BB166" s="81"/>
    </row>
    <row r="167" spans="1:54" ht="15.75" thickBot="1" x14ac:dyDescent="0.3">
      <c r="A167" s="95" t="s">
        <v>138</v>
      </c>
      <c r="B167" s="92">
        <f>SUM(B153:B166)</f>
        <v>665608.58401022246</v>
      </c>
      <c r="C167" s="92">
        <f>SUM(C153:C166)</f>
        <v>10286.824885</v>
      </c>
      <c r="D167" s="92">
        <f>SUM(D153:D166)</f>
        <v>301680</v>
      </c>
      <c r="E167" s="92">
        <f t="shared" ref="E167:F167" si="400">SUM(E153:E166)</f>
        <v>240</v>
      </c>
      <c r="F167" s="92">
        <f t="shared" si="400"/>
        <v>977815.40889522247</v>
      </c>
      <c r="H167" s="92">
        <f>SUM(H153:H166)</f>
        <v>1704368.4803910586</v>
      </c>
      <c r="I167" s="92">
        <f>SUM(I153:I166)</f>
        <v>23139.158580000003</v>
      </c>
      <c r="J167" s="92">
        <f>SUM(J153:J166)</f>
        <v>436410</v>
      </c>
      <c r="K167" s="92">
        <f t="shared" ref="K167:L167" si="401">SUM(K153:K166)</f>
        <v>720</v>
      </c>
      <c r="L167" s="92">
        <f t="shared" si="401"/>
        <v>2164637.6389710587</v>
      </c>
      <c r="N167" s="92">
        <f>SUM(N153:N166)</f>
        <v>722551.74060473288</v>
      </c>
      <c r="O167" s="92">
        <f>SUM(O153:O166)</f>
        <v>14706.105720000003</v>
      </c>
      <c r="P167" s="92">
        <f>SUM(P153:P166)</f>
        <v>174719.2</v>
      </c>
      <c r="Q167" s="92">
        <f t="shared" ref="Q167:R167" si="402">SUM(Q153:Q166)</f>
        <v>240</v>
      </c>
      <c r="R167" s="92">
        <f t="shared" si="402"/>
        <v>912217.04632473283</v>
      </c>
      <c r="T167" s="92">
        <f>SUM(T153:T166)</f>
        <v>858889.59263357765</v>
      </c>
      <c r="U167" s="92">
        <f>SUM(U153:U166)</f>
        <v>14346.105720000003</v>
      </c>
      <c r="V167" s="92">
        <f>SUM(V153:V166)</f>
        <v>167226.6</v>
      </c>
      <c r="W167" s="92">
        <f t="shared" ref="W167:X167" si="403">SUM(W153:W166)</f>
        <v>240</v>
      </c>
      <c r="X167" s="92">
        <f t="shared" si="403"/>
        <v>1040702.2983535776</v>
      </c>
      <c r="Z167" s="92">
        <f>SUM(Z153:Z166)</f>
        <v>1688767.4544978426</v>
      </c>
      <c r="AA167" s="92">
        <f>SUM(AA153:AA166)</f>
        <v>21579.158580000003</v>
      </c>
      <c r="AB167" s="92">
        <f>SUM(AB153:AB166)</f>
        <v>284699.2</v>
      </c>
      <c r="AC167" s="92">
        <f t="shared" ref="AC167:AD167" si="404">SUM(AC153:AC166)</f>
        <v>480</v>
      </c>
      <c r="AD167" s="92">
        <f t="shared" si="404"/>
        <v>1995525.8130778428</v>
      </c>
      <c r="AF167" s="92">
        <f>SUM(AF153:AF166)</f>
        <v>852398.63891765708</v>
      </c>
      <c r="AG167" s="92">
        <f>SUM(AG153:AG166)</f>
        <v>13810.800000000001</v>
      </c>
      <c r="AH167" s="92">
        <f>SUM(AH153:AH166)</f>
        <v>248520</v>
      </c>
      <c r="AI167" s="92">
        <f t="shared" ref="AI167:AJ167" si="405">SUM(AI153:AI166)</f>
        <v>240</v>
      </c>
      <c r="AJ167" s="92">
        <f t="shared" si="405"/>
        <v>1114969.4389176571</v>
      </c>
      <c r="AL167" s="92">
        <f>SUM(AL153:AL166)</f>
        <v>2720</v>
      </c>
      <c r="AM167" s="92">
        <f>SUM(AM153:AM166)</f>
        <v>120</v>
      </c>
      <c r="AN167" s="92">
        <f>SUM(AN153:AN166)</f>
        <v>0</v>
      </c>
      <c r="AO167" s="92">
        <f t="shared" ref="AO167:AP167" si="406">SUM(AO153:AO166)</f>
        <v>0</v>
      </c>
      <c r="AP167" s="92">
        <f t="shared" si="406"/>
        <v>2840</v>
      </c>
      <c r="AR167" s="92">
        <f>SUM(AR153:AR166)</f>
        <v>1409921.9375</v>
      </c>
      <c r="AS167" s="92">
        <f>SUM(AS153:AS166)</f>
        <v>8687.17965</v>
      </c>
      <c r="AT167" s="92">
        <f>SUM(AT153:AT166)</f>
        <v>115280</v>
      </c>
      <c r="AU167" s="92">
        <f t="shared" ref="AU167:AV167" si="407">SUM(AU153:AU166)</f>
        <v>0</v>
      </c>
      <c r="AV167" s="92">
        <f t="shared" si="407"/>
        <v>1533889.1171500001</v>
      </c>
      <c r="AX167" s="92">
        <f>SUM(AX153:AX166)</f>
        <v>7905226.4285550909</v>
      </c>
      <c r="AY167" s="92">
        <f>SUM(AY153:AY166)</f>
        <v>106675.33313500002</v>
      </c>
      <c r="AZ167" s="92">
        <f>SUM(AZ153:AZ166)</f>
        <v>1728535</v>
      </c>
      <c r="BA167" s="92">
        <f t="shared" ref="BA167:BB167" si="408">SUM(BA153:BA166)</f>
        <v>2160</v>
      </c>
      <c r="BB167" s="92">
        <f t="shared" si="408"/>
        <v>9742596.7616900913</v>
      </c>
    </row>
    <row r="168" spans="1:54" x14ac:dyDescent="0.25">
      <c r="A168" s="101" t="s">
        <v>139</v>
      </c>
      <c r="B168" s="149" t="str">
        <f>B152</f>
        <v>Operating</v>
      </c>
      <c r="C168" s="149" t="str">
        <f>C152</f>
        <v>Weights</v>
      </c>
      <c r="D168" s="149" t="str">
        <f>D152</f>
        <v>SPED</v>
      </c>
      <c r="E168" s="149" t="str">
        <f t="shared" ref="E168:F168" si="409">E152</f>
        <v>NSLP</v>
      </c>
      <c r="F168" s="149" t="str">
        <f t="shared" si="409"/>
        <v>Horizon</v>
      </c>
      <c r="H168" s="149" t="str">
        <f>H152</f>
        <v>Operating</v>
      </c>
      <c r="I168" s="149" t="str">
        <f>I152</f>
        <v>Weights</v>
      </c>
      <c r="J168" s="149" t="str">
        <f>J152</f>
        <v>SPED</v>
      </c>
      <c r="K168" s="149" t="str">
        <f t="shared" ref="K168:L168" si="410">K152</f>
        <v>NSLP</v>
      </c>
      <c r="L168" s="149" t="str">
        <f t="shared" si="410"/>
        <v>Cadence</v>
      </c>
      <c r="N168" s="149" t="str">
        <f>N152</f>
        <v>Operating</v>
      </c>
      <c r="O168" s="149" t="str">
        <f>O152</f>
        <v>Weights</v>
      </c>
      <c r="P168" s="149" t="str">
        <f>P152</f>
        <v>SPED</v>
      </c>
      <c r="Q168" s="149" t="str">
        <f t="shared" ref="Q168:R168" si="411">Q152</f>
        <v>NSLP</v>
      </c>
      <c r="R168" s="149" t="str">
        <f t="shared" si="411"/>
        <v>St. Rose</v>
      </c>
      <c r="T168" s="149" t="str">
        <f>T152</f>
        <v>Operating</v>
      </c>
      <c r="U168" s="149" t="str">
        <f>U152</f>
        <v>Weights</v>
      </c>
      <c r="V168" s="149" t="str">
        <f>V152</f>
        <v>SPED</v>
      </c>
      <c r="W168" s="149" t="str">
        <f t="shared" ref="W168:X168" si="412">W152</f>
        <v>NSLP</v>
      </c>
      <c r="X168" s="149" t="str">
        <f t="shared" si="412"/>
        <v>Inspirada</v>
      </c>
      <c r="Z168" s="149" t="str">
        <f>Z152</f>
        <v>Operating</v>
      </c>
      <c r="AA168" s="149" t="str">
        <f>AA152</f>
        <v>Weights</v>
      </c>
      <c r="AB168" s="149" t="str">
        <f>AB152</f>
        <v>SPED</v>
      </c>
      <c r="AC168" s="149" t="str">
        <f t="shared" ref="AC168:AD168" si="413">AC152</f>
        <v>NSLP</v>
      </c>
      <c r="AD168" s="149" t="str">
        <f t="shared" si="413"/>
        <v>Sloan Canyon</v>
      </c>
      <c r="AF168" s="149" t="str">
        <f>AF152</f>
        <v>Operating</v>
      </c>
      <c r="AG168" s="149" t="str">
        <f>AG152</f>
        <v>Weights</v>
      </c>
      <c r="AH168" s="149" t="str">
        <f>AH152</f>
        <v>SPED</v>
      </c>
      <c r="AI168" s="149" t="str">
        <f t="shared" ref="AI168:AJ168" si="414">AI152</f>
        <v>NSLP</v>
      </c>
      <c r="AJ168" s="149" t="str">
        <f t="shared" si="414"/>
        <v>Springs</v>
      </c>
      <c r="AL168" s="149" t="str">
        <f>AL152</f>
        <v>Operating</v>
      </c>
      <c r="AM168" s="149" t="str">
        <f>AM152</f>
        <v>Weights</v>
      </c>
      <c r="AN168" s="149" t="str">
        <f>AN152</f>
        <v>SPED</v>
      </c>
      <c r="AO168" s="149" t="str">
        <f t="shared" ref="AO168:AP168" si="415">AO152</f>
        <v>NSLP</v>
      </c>
      <c r="AP168" s="149" t="str">
        <f t="shared" si="415"/>
        <v>System Wide</v>
      </c>
      <c r="AR168" s="149" t="str">
        <f>AR152</f>
        <v>Operating</v>
      </c>
      <c r="AS168" s="149" t="str">
        <f>AS152</f>
        <v>Weights</v>
      </c>
      <c r="AT168" s="149" t="str">
        <f>AT152</f>
        <v>SPED</v>
      </c>
      <c r="AU168" s="149" t="str">
        <f t="shared" ref="AU168:AV168" si="416">AU152</f>
        <v>NSLP</v>
      </c>
      <c r="AV168" s="149" t="str">
        <f t="shared" si="416"/>
        <v>Virtual</v>
      </c>
      <c r="AX168" s="149" t="str">
        <f>AX152</f>
        <v>Operating</v>
      </c>
      <c r="AY168" s="149" t="str">
        <f>AY152</f>
        <v>Weights</v>
      </c>
      <c r="AZ168" s="149" t="str">
        <f>AZ152</f>
        <v>SPED</v>
      </c>
      <c r="BA168" s="149" t="str">
        <f t="shared" ref="BA168:BB168" si="417">BA152</f>
        <v>NSLP</v>
      </c>
      <c r="BB168" s="149" t="str">
        <f t="shared" si="417"/>
        <v>Pinecrest System</v>
      </c>
    </row>
    <row r="169" spans="1:54" x14ac:dyDescent="0.25">
      <c r="A169" s="62" t="s">
        <v>140</v>
      </c>
      <c r="B169" s="15">
        <f>'FY27'!B169*1.03</f>
        <v>6245.589075291251</v>
      </c>
      <c r="C169" s="7"/>
      <c r="D169" s="7"/>
      <c r="E169" s="7"/>
      <c r="F169" s="7">
        <f t="shared" ref="F169:F174" si="418">SUM(B169:E169)</f>
        <v>6245.589075291251</v>
      </c>
      <c r="H169" s="15">
        <f>'FY27'!H169*1.03</f>
        <v>9564.0111129750003</v>
      </c>
      <c r="I169" s="7"/>
      <c r="J169" s="7"/>
      <c r="K169" s="7"/>
      <c r="L169" s="7">
        <f t="shared" ref="L169:L174" si="419">SUM(H169:K169)</f>
        <v>9564.0111129750003</v>
      </c>
      <c r="N169" s="15">
        <f>'FY27'!N169*1.03</f>
        <v>4347.2777786249999</v>
      </c>
      <c r="O169" s="7"/>
      <c r="P169" s="7"/>
      <c r="Q169" s="7"/>
      <c r="R169" s="7">
        <f t="shared" ref="R169:R174" si="420">SUM(N169:Q169)</f>
        <v>4347.2777786249999</v>
      </c>
      <c r="T169" s="15">
        <f>'FY27'!T169*1.03</f>
        <v>6190.5235567620011</v>
      </c>
      <c r="U169" s="7"/>
      <c r="V169" s="7"/>
      <c r="W169" s="7"/>
      <c r="X169" s="7">
        <f t="shared" ref="X169:X174" si="421">SUM(T169:W169)</f>
        <v>6190.5235567620011</v>
      </c>
      <c r="Z169" s="15">
        <f>'FY27'!Z169*1.03</f>
        <v>5216.7333343500013</v>
      </c>
      <c r="AA169" s="7"/>
      <c r="AB169" s="7"/>
      <c r="AC169" s="7"/>
      <c r="AD169" s="7">
        <f t="shared" ref="AD169:AD174" si="422">SUM(Z169:AC169)</f>
        <v>5216.7333343500013</v>
      </c>
      <c r="AF169" s="15">
        <f>'FY27'!AF169*1.03</f>
        <v>6753.0528600000016</v>
      </c>
      <c r="AG169" s="7"/>
      <c r="AH169" s="7"/>
      <c r="AI169" s="7"/>
      <c r="AJ169" s="7">
        <f t="shared" ref="AJ169:AJ175" si="423">SUM(AF169:AI169)</f>
        <v>6753.0528600000016</v>
      </c>
      <c r="AL169" s="7">
        <v>0</v>
      </c>
      <c r="AM169" s="7"/>
      <c r="AN169" s="7"/>
      <c r="AO169" s="7"/>
      <c r="AP169" s="7">
        <f t="shared" ref="AP169:AP175" si="424">SUM(AL169:AO169)</f>
        <v>0</v>
      </c>
      <c r="AR169" s="7">
        <v>0</v>
      </c>
      <c r="AS169" s="7"/>
      <c r="AT169" s="7"/>
      <c r="AU169" s="7"/>
      <c r="AV169" s="7">
        <f t="shared" ref="AV169:AV175" si="425">SUM(AR169:AU169)</f>
        <v>0</v>
      </c>
      <c r="AX169" s="7">
        <f>B169+H169+N169+T169+Z169+AF169+AL169+AR169</f>
        <v>38317.187718003253</v>
      </c>
      <c r="AY169" s="7">
        <f t="shared" ref="AY169:BA175" si="426">C169+I169+O169+U169+AA169+AG169+AM169+AS169</f>
        <v>0</v>
      </c>
      <c r="AZ169" s="7">
        <f t="shared" si="426"/>
        <v>0</v>
      </c>
      <c r="BA169" s="7">
        <f t="shared" si="426"/>
        <v>0</v>
      </c>
      <c r="BB169" s="7">
        <f t="shared" ref="BB169:BB175" si="427">SUM(AX169:BA169)</f>
        <v>38317.187718003253</v>
      </c>
    </row>
    <row r="170" spans="1:54" x14ac:dyDescent="0.25">
      <c r="A170" s="62" t="s">
        <v>141</v>
      </c>
      <c r="B170" s="15">
        <f>'FY27'!B170*1.03</f>
        <v>14606.853336180002</v>
      </c>
      <c r="C170" s="7"/>
      <c r="D170" s="7"/>
      <c r="E170" s="7"/>
      <c r="F170" s="7">
        <f t="shared" si="418"/>
        <v>14606.853336180002</v>
      </c>
      <c r="H170" s="15">
        <f>'FY27'!H170*1.03</f>
        <v>19239.312537082802</v>
      </c>
      <c r="I170" s="7"/>
      <c r="J170" s="7"/>
      <c r="K170" s="7"/>
      <c r="L170" s="7">
        <f t="shared" si="419"/>
        <v>19239.312537082802</v>
      </c>
      <c r="N170" s="15">
        <f>'FY27'!N170*1.03</f>
        <v>16920.764388482803</v>
      </c>
      <c r="O170" s="7"/>
      <c r="P170" s="7"/>
      <c r="Q170" s="7"/>
      <c r="R170" s="7">
        <f t="shared" si="420"/>
        <v>16920.764388482803</v>
      </c>
      <c r="T170" s="15">
        <f>'FY27'!T170*1.03</f>
        <v>16920.764388482803</v>
      </c>
      <c r="U170" s="7"/>
      <c r="V170" s="7"/>
      <c r="W170" s="7"/>
      <c r="X170" s="7">
        <f t="shared" si="421"/>
        <v>16920.764388482803</v>
      </c>
      <c r="Z170" s="15">
        <f>'FY27'!Z170*1.03</f>
        <v>18659.6754999328</v>
      </c>
      <c r="AA170" s="7"/>
      <c r="AB170" s="7"/>
      <c r="AC170" s="7"/>
      <c r="AD170" s="7">
        <f t="shared" si="422"/>
        <v>18659.6754999328</v>
      </c>
      <c r="AF170" s="15">
        <f>'FY27'!AF170*1.03</f>
        <v>10129.579290000001</v>
      </c>
      <c r="AG170" s="7"/>
      <c r="AH170" s="7"/>
      <c r="AI170" s="7"/>
      <c r="AJ170" s="7">
        <f t="shared" si="423"/>
        <v>10129.579290000001</v>
      </c>
      <c r="AL170" s="7">
        <v>0</v>
      </c>
      <c r="AM170" s="7"/>
      <c r="AN170" s="7"/>
      <c r="AO170" s="7"/>
      <c r="AP170" s="7">
        <f t="shared" si="424"/>
        <v>0</v>
      </c>
      <c r="AR170" s="7">
        <v>0</v>
      </c>
      <c r="AS170" s="7"/>
      <c r="AT170" s="7"/>
      <c r="AU170" s="7"/>
      <c r="AV170" s="7">
        <f t="shared" si="425"/>
        <v>0</v>
      </c>
      <c r="AX170" s="7">
        <f t="shared" ref="AX170:AX175" si="428">B170+H170+N170+T170+Z170+AF170+AL170+AR170</f>
        <v>96476.949440161203</v>
      </c>
      <c r="AY170" s="7">
        <f t="shared" si="426"/>
        <v>0</v>
      </c>
      <c r="AZ170" s="7">
        <f t="shared" si="426"/>
        <v>0</v>
      </c>
      <c r="BA170" s="7">
        <f t="shared" si="426"/>
        <v>0</v>
      </c>
      <c r="BB170" s="7">
        <f t="shared" si="427"/>
        <v>96476.949440161203</v>
      </c>
    </row>
    <row r="171" spans="1:54" x14ac:dyDescent="0.25">
      <c r="A171" s="62" t="s">
        <v>142</v>
      </c>
      <c r="B171" s="7">
        <v>0</v>
      </c>
      <c r="C171" s="7"/>
      <c r="D171" s="7"/>
      <c r="E171" s="7"/>
      <c r="F171" s="7">
        <f t="shared" si="418"/>
        <v>0</v>
      </c>
      <c r="H171" s="7">
        <v>0</v>
      </c>
      <c r="I171" s="7"/>
      <c r="J171" s="7"/>
      <c r="K171" s="7"/>
      <c r="L171" s="7">
        <f t="shared" si="419"/>
        <v>0</v>
      </c>
      <c r="N171" s="7">
        <v>0</v>
      </c>
      <c r="O171" s="7"/>
      <c r="P171" s="7"/>
      <c r="Q171" s="7"/>
      <c r="R171" s="7">
        <f t="shared" si="420"/>
        <v>0</v>
      </c>
      <c r="T171" s="7">
        <v>0</v>
      </c>
      <c r="U171" s="7"/>
      <c r="V171" s="7"/>
      <c r="W171" s="7"/>
      <c r="X171" s="7">
        <f t="shared" si="421"/>
        <v>0</v>
      </c>
      <c r="Z171" s="7">
        <v>0</v>
      </c>
      <c r="AA171" s="7"/>
      <c r="AB171" s="7"/>
      <c r="AC171" s="7"/>
      <c r="AD171" s="7">
        <f t="shared" si="422"/>
        <v>0</v>
      </c>
      <c r="AF171" s="7">
        <v>0</v>
      </c>
      <c r="AG171" s="7"/>
      <c r="AH171" s="7"/>
      <c r="AI171" s="7"/>
      <c r="AJ171" s="7">
        <f t="shared" si="423"/>
        <v>0</v>
      </c>
      <c r="AL171" s="7">
        <v>0</v>
      </c>
      <c r="AM171" s="7"/>
      <c r="AN171" s="7"/>
      <c r="AO171" s="7"/>
      <c r="AP171" s="7">
        <f t="shared" si="424"/>
        <v>0</v>
      </c>
      <c r="AR171" s="7">
        <v>0</v>
      </c>
      <c r="AS171" s="7"/>
      <c r="AT171" s="7"/>
      <c r="AU171" s="7"/>
      <c r="AV171" s="7">
        <f t="shared" si="425"/>
        <v>0</v>
      </c>
      <c r="AX171" s="7">
        <f t="shared" si="428"/>
        <v>0</v>
      </c>
      <c r="AY171" s="7">
        <f t="shared" si="426"/>
        <v>0</v>
      </c>
      <c r="AZ171" s="7">
        <f t="shared" si="426"/>
        <v>0</v>
      </c>
      <c r="BA171" s="7">
        <f t="shared" si="426"/>
        <v>0</v>
      </c>
      <c r="BB171" s="7">
        <f t="shared" si="427"/>
        <v>0</v>
      </c>
    </row>
    <row r="172" spans="1:54" x14ac:dyDescent="0.25">
      <c r="A172" s="62" t="s">
        <v>143</v>
      </c>
      <c r="B172" s="7">
        <v>1000</v>
      </c>
      <c r="C172" s="7"/>
      <c r="D172" s="7"/>
      <c r="E172" s="7"/>
      <c r="F172" s="7">
        <f t="shared" si="418"/>
        <v>1000</v>
      </c>
      <c r="H172" s="7">
        <v>1300</v>
      </c>
      <c r="I172" s="7"/>
      <c r="J172" s="7"/>
      <c r="K172" s="7"/>
      <c r="L172" s="7">
        <f t="shared" si="419"/>
        <v>1300</v>
      </c>
      <c r="N172" s="7">
        <v>1000</v>
      </c>
      <c r="O172" s="7"/>
      <c r="P172" s="7"/>
      <c r="Q172" s="7"/>
      <c r="R172" s="7">
        <f t="shared" si="420"/>
        <v>1000</v>
      </c>
      <c r="T172" s="7">
        <v>1100</v>
      </c>
      <c r="U172" s="7"/>
      <c r="V172" s="7"/>
      <c r="W172" s="7"/>
      <c r="X172" s="7">
        <f t="shared" si="421"/>
        <v>1100</v>
      </c>
      <c r="Z172" s="7">
        <v>1300</v>
      </c>
      <c r="AA172" s="7"/>
      <c r="AB172" s="7"/>
      <c r="AC172" s="7"/>
      <c r="AD172" s="7">
        <f t="shared" si="422"/>
        <v>1300</v>
      </c>
      <c r="AF172" s="7">
        <v>1300</v>
      </c>
      <c r="AG172" s="7"/>
      <c r="AH172" s="7"/>
      <c r="AI172" s="7"/>
      <c r="AJ172" s="7">
        <f t="shared" si="423"/>
        <v>1300</v>
      </c>
      <c r="AL172" s="7">
        <v>0</v>
      </c>
      <c r="AM172" s="7"/>
      <c r="AN172" s="7"/>
      <c r="AO172" s="7"/>
      <c r="AP172" s="7">
        <f t="shared" si="424"/>
        <v>0</v>
      </c>
      <c r="AR172" s="7">
        <v>3100</v>
      </c>
      <c r="AS172" s="7"/>
      <c r="AT172" s="7"/>
      <c r="AU172" s="7"/>
      <c r="AV172" s="7">
        <f t="shared" si="425"/>
        <v>3100</v>
      </c>
      <c r="AX172" s="7">
        <f t="shared" si="428"/>
        <v>10100</v>
      </c>
      <c r="AY172" s="7">
        <f t="shared" si="426"/>
        <v>0</v>
      </c>
      <c r="AZ172" s="7">
        <f t="shared" si="426"/>
        <v>0</v>
      </c>
      <c r="BA172" s="7">
        <f t="shared" si="426"/>
        <v>0</v>
      </c>
      <c r="BB172" s="7">
        <f t="shared" si="427"/>
        <v>10100</v>
      </c>
    </row>
    <row r="173" spans="1:54" x14ac:dyDescent="0.25">
      <c r="A173" s="62" t="s">
        <v>144</v>
      </c>
      <c r="B173" s="15">
        <f>'FY27'!B173*1.03</f>
        <v>5796.3703715000001</v>
      </c>
      <c r="C173" s="7"/>
      <c r="D173" s="7"/>
      <c r="E173" s="7"/>
      <c r="F173" s="7">
        <f t="shared" si="418"/>
        <v>5796.3703715000001</v>
      </c>
      <c r="H173" s="15">
        <f>'FY27'!H173*1.03</f>
        <v>5796.3703715000001</v>
      </c>
      <c r="I173" s="7"/>
      <c r="J173" s="7"/>
      <c r="K173" s="7"/>
      <c r="L173" s="7">
        <f t="shared" si="419"/>
        <v>5796.3703715000001</v>
      </c>
      <c r="N173" s="15">
        <f>'FY27'!N173*1.03</f>
        <v>5796.3703715000001</v>
      </c>
      <c r="O173" s="7"/>
      <c r="P173" s="7"/>
      <c r="Q173" s="7"/>
      <c r="R173" s="7">
        <f t="shared" si="420"/>
        <v>5796.3703715000001</v>
      </c>
      <c r="T173" s="15">
        <f>'FY27'!T173*1.03</f>
        <v>5796.3703715000001</v>
      </c>
      <c r="U173" s="7"/>
      <c r="V173" s="7"/>
      <c r="W173" s="7"/>
      <c r="X173" s="7">
        <f t="shared" si="421"/>
        <v>5796.3703715000001</v>
      </c>
      <c r="Z173" s="15">
        <f>'FY27'!Z173*1.03</f>
        <v>5796.3703715000001</v>
      </c>
      <c r="AA173" s="7"/>
      <c r="AB173" s="7"/>
      <c r="AC173" s="7"/>
      <c r="AD173" s="7">
        <f t="shared" si="422"/>
        <v>5796.3703715000001</v>
      </c>
      <c r="AF173" s="15">
        <f>'FY27'!AF173*1.03</f>
        <v>4502.0352400000002</v>
      </c>
      <c r="AG173" s="7"/>
      <c r="AH173" s="7"/>
      <c r="AI173" s="7"/>
      <c r="AJ173" s="7">
        <f t="shared" si="423"/>
        <v>4502.0352400000002</v>
      </c>
      <c r="AL173" s="7">
        <v>0</v>
      </c>
      <c r="AM173" s="7"/>
      <c r="AN173" s="7"/>
      <c r="AO173" s="7"/>
      <c r="AP173" s="7">
        <f t="shared" si="424"/>
        <v>0</v>
      </c>
      <c r="AR173" s="7">
        <v>4700</v>
      </c>
      <c r="AS173" s="7"/>
      <c r="AT173" s="7"/>
      <c r="AU173" s="7"/>
      <c r="AV173" s="7">
        <f t="shared" si="425"/>
        <v>4700</v>
      </c>
      <c r="AX173" s="7">
        <f t="shared" si="428"/>
        <v>38183.887097500003</v>
      </c>
      <c r="AY173" s="7">
        <f t="shared" si="426"/>
        <v>0</v>
      </c>
      <c r="AZ173" s="7">
        <f t="shared" si="426"/>
        <v>0</v>
      </c>
      <c r="BA173" s="7">
        <f t="shared" si="426"/>
        <v>0</v>
      </c>
      <c r="BB173" s="7">
        <f t="shared" si="427"/>
        <v>38183.887097500003</v>
      </c>
    </row>
    <row r="174" spans="1:54" x14ac:dyDescent="0.25">
      <c r="A174" s="62" t="s">
        <v>145</v>
      </c>
      <c r="B174" s="15">
        <f>'FY27'!B174*1.04</f>
        <v>34066.2812672</v>
      </c>
      <c r="C174" s="7"/>
      <c r="D174" s="7"/>
      <c r="E174" s="7"/>
      <c r="F174" s="7">
        <f t="shared" si="418"/>
        <v>34066.2812672</v>
      </c>
      <c r="H174" s="15">
        <f>'FY27'!H174*1.04</f>
        <v>74459.157626879998</v>
      </c>
      <c r="I174" s="7"/>
      <c r="J174" s="7"/>
      <c r="K174" s="7"/>
      <c r="L174" s="7">
        <f t="shared" si="419"/>
        <v>74459.157626879998</v>
      </c>
      <c r="N174" s="15">
        <f>'FY27'!N174*1.04</f>
        <v>38932.892876800011</v>
      </c>
      <c r="O174" s="7"/>
      <c r="P174" s="7"/>
      <c r="Q174" s="7"/>
      <c r="R174" s="7">
        <f t="shared" si="420"/>
        <v>38932.892876800011</v>
      </c>
      <c r="T174" s="15">
        <f>'FY27'!T174*1.04</f>
        <v>38932.892876800011</v>
      </c>
      <c r="U174" s="7"/>
      <c r="V174" s="7"/>
      <c r="W174" s="7"/>
      <c r="X174" s="7">
        <f t="shared" si="421"/>
        <v>38932.892876800011</v>
      </c>
      <c r="Z174" s="15">
        <f>'FY27'!Z174*1.04</f>
        <v>69957.541888000007</v>
      </c>
      <c r="AA174" s="7"/>
      <c r="AB174" s="7"/>
      <c r="AC174" s="7"/>
      <c r="AD174" s="7">
        <f t="shared" si="422"/>
        <v>69957.541888000007</v>
      </c>
      <c r="AF174" s="15">
        <f>'FY27'!AF174*1.04</f>
        <v>34758.297600000005</v>
      </c>
      <c r="AG174" s="7"/>
      <c r="AH174" s="7"/>
      <c r="AI174" s="7"/>
      <c r="AJ174" s="7">
        <f t="shared" si="423"/>
        <v>34758.297600000005</v>
      </c>
      <c r="AL174" s="7">
        <v>0</v>
      </c>
      <c r="AM174" s="7"/>
      <c r="AN174" s="7"/>
      <c r="AO174" s="7"/>
      <c r="AP174" s="7">
        <f t="shared" si="424"/>
        <v>0</v>
      </c>
      <c r="AR174" s="15">
        <v>0</v>
      </c>
      <c r="AS174" s="7"/>
      <c r="AT174" s="7"/>
      <c r="AU174" s="7"/>
      <c r="AV174" s="7">
        <f t="shared" si="425"/>
        <v>0</v>
      </c>
      <c r="AX174" s="7">
        <f t="shared" si="428"/>
        <v>291107.06413568003</v>
      </c>
      <c r="AY174" s="7">
        <f t="shared" si="426"/>
        <v>0</v>
      </c>
      <c r="AZ174" s="7">
        <f t="shared" si="426"/>
        <v>0</v>
      </c>
      <c r="BA174" s="7">
        <f t="shared" si="426"/>
        <v>0</v>
      </c>
      <c r="BB174" s="7">
        <f t="shared" si="427"/>
        <v>291107.06413568003</v>
      </c>
    </row>
    <row r="175" spans="1:54" ht="15.75" thickBot="1" x14ac:dyDescent="0.3">
      <c r="A175" s="62" t="s">
        <v>146</v>
      </c>
      <c r="B175" s="7">
        <f>2500+(2*B19)</f>
        <v>4372</v>
      </c>
      <c r="C175" s="7"/>
      <c r="D175" s="7"/>
      <c r="E175" s="7"/>
      <c r="F175" s="7">
        <f t="shared" ref="F175" si="429">SUM(B175:E175)</f>
        <v>4372</v>
      </c>
      <c r="H175" s="7">
        <f>2500+(2*H19)</f>
        <v>7408</v>
      </c>
      <c r="I175" s="7"/>
      <c r="J175" s="7"/>
      <c r="K175" s="7"/>
      <c r="L175" s="7">
        <f t="shared" ref="L175" si="430">SUM(H175:K175)</f>
        <v>7408</v>
      </c>
      <c r="N175" s="7">
        <f>2500+(2*N19)</f>
        <v>4532</v>
      </c>
      <c r="O175" s="7"/>
      <c r="P175" s="7"/>
      <c r="Q175" s="7"/>
      <c r="R175" s="7">
        <f t="shared" ref="R175" si="431">SUM(N175:Q175)</f>
        <v>4532</v>
      </c>
      <c r="T175" s="7">
        <f>2500+(2*T19)</f>
        <v>4930</v>
      </c>
      <c r="U175" s="7"/>
      <c r="V175" s="7"/>
      <c r="W175" s="7"/>
      <c r="X175" s="7">
        <f t="shared" ref="X175" si="432">SUM(T175:W175)</f>
        <v>4930</v>
      </c>
      <c r="Z175" s="7">
        <f>2500+(2*Z19)</f>
        <v>7356</v>
      </c>
      <c r="AA175" s="7"/>
      <c r="AB175" s="7"/>
      <c r="AC175" s="7"/>
      <c r="AD175" s="7">
        <f t="shared" ref="AD175" si="433">SUM(Z175:AC175)</f>
        <v>7356</v>
      </c>
      <c r="AF175" s="7">
        <f>2500+(2*AF19)</f>
        <v>4900</v>
      </c>
      <c r="AG175" s="7"/>
      <c r="AH175" s="7"/>
      <c r="AI175" s="7"/>
      <c r="AJ175" s="7">
        <f t="shared" si="423"/>
        <v>4900</v>
      </c>
      <c r="AL175" s="7">
        <v>0</v>
      </c>
      <c r="AM175" s="7"/>
      <c r="AN175" s="7"/>
      <c r="AO175" s="7"/>
      <c r="AP175" s="7">
        <f t="shared" si="424"/>
        <v>0</v>
      </c>
      <c r="AR175" s="7">
        <v>2750</v>
      </c>
      <c r="AS175" s="7"/>
      <c r="AT175" s="7"/>
      <c r="AU175" s="7"/>
      <c r="AV175" s="7">
        <f t="shared" si="425"/>
        <v>2750</v>
      </c>
      <c r="AX175" s="7">
        <f t="shared" si="428"/>
        <v>36248</v>
      </c>
      <c r="AY175" s="7">
        <f t="shared" si="426"/>
        <v>0</v>
      </c>
      <c r="AZ175" s="7">
        <f t="shared" si="426"/>
        <v>0</v>
      </c>
      <c r="BA175" s="7">
        <f t="shared" si="426"/>
        <v>0</v>
      </c>
      <c r="BB175" s="7">
        <f t="shared" si="427"/>
        <v>36248</v>
      </c>
    </row>
    <row r="176" spans="1:54" ht="15.75" thickBot="1" x14ac:dyDescent="0.3">
      <c r="A176" s="95" t="s">
        <v>147</v>
      </c>
      <c r="B176" s="92">
        <f>SUM(B169:B175)</f>
        <v>66087.094050171261</v>
      </c>
      <c r="C176" s="92">
        <f>SUM(C169:C175)</f>
        <v>0</v>
      </c>
      <c r="D176" s="92">
        <f t="shared" ref="D176:F176" si="434">SUM(D169:D175)</f>
        <v>0</v>
      </c>
      <c r="E176" s="92">
        <f t="shared" si="434"/>
        <v>0</v>
      </c>
      <c r="F176" s="92">
        <f t="shared" si="434"/>
        <v>66087.094050171261</v>
      </c>
      <c r="H176" s="92">
        <f>SUM(H169:H175)</f>
        <v>117766.85164843779</v>
      </c>
      <c r="I176" s="92">
        <f>SUM(I169:I175)</f>
        <v>0</v>
      </c>
      <c r="J176" s="92">
        <f t="shared" ref="J176:L176" si="435">SUM(J169:J175)</f>
        <v>0</v>
      </c>
      <c r="K176" s="92">
        <f t="shared" si="435"/>
        <v>0</v>
      </c>
      <c r="L176" s="92">
        <f t="shared" si="435"/>
        <v>117766.85164843779</v>
      </c>
      <c r="N176" s="92">
        <f>SUM(N169:N175)</f>
        <v>71529.305415407813</v>
      </c>
      <c r="O176" s="92">
        <f>SUM(O169:O175)</f>
        <v>0</v>
      </c>
      <c r="P176" s="92">
        <f t="shared" ref="P176:R176" si="436">SUM(P169:P175)</f>
        <v>0</v>
      </c>
      <c r="Q176" s="92">
        <f t="shared" si="436"/>
        <v>0</v>
      </c>
      <c r="R176" s="92">
        <f t="shared" si="436"/>
        <v>71529.305415407813</v>
      </c>
      <c r="T176" s="92">
        <f>SUM(T169:T175)</f>
        <v>73870.551193544816</v>
      </c>
      <c r="U176" s="92">
        <f>SUM(U169:U175)</f>
        <v>0</v>
      </c>
      <c r="V176" s="92">
        <f t="shared" ref="V176:X176" si="437">SUM(V169:V175)</f>
        <v>0</v>
      </c>
      <c r="W176" s="92">
        <f t="shared" si="437"/>
        <v>0</v>
      </c>
      <c r="X176" s="92">
        <f t="shared" si="437"/>
        <v>73870.551193544816</v>
      </c>
      <c r="Z176" s="92">
        <f>SUM(Z169:Z175)</f>
        <v>108286.32109378281</v>
      </c>
      <c r="AA176" s="92">
        <f>SUM(AA169:AA175)</f>
        <v>0</v>
      </c>
      <c r="AB176" s="92">
        <f t="shared" ref="AB176:AD176" si="438">SUM(AB169:AB175)</f>
        <v>0</v>
      </c>
      <c r="AC176" s="92">
        <f t="shared" si="438"/>
        <v>0</v>
      </c>
      <c r="AD176" s="92">
        <f t="shared" si="438"/>
        <v>108286.32109378281</v>
      </c>
      <c r="AF176" s="92">
        <f>SUM(AF169:AF175)</f>
        <v>62342.964990000008</v>
      </c>
      <c r="AG176" s="92">
        <f>SUM(AG169:AG175)</f>
        <v>0</v>
      </c>
      <c r="AH176" s="92">
        <f t="shared" ref="AH176:AJ176" si="439">SUM(AH169:AH175)</f>
        <v>0</v>
      </c>
      <c r="AI176" s="92">
        <f t="shared" si="439"/>
        <v>0</v>
      </c>
      <c r="AJ176" s="92">
        <f t="shared" si="439"/>
        <v>62342.964990000008</v>
      </c>
      <c r="AL176" s="92">
        <f>SUM(AL169:AL175)</f>
        <v>0</v>
      </c>
      <c r="AM176" s="92">
        <f>SUM(AM169:AM175)</f>
        <v>0</v>
      </c>
      <c r="AN176" s="92">
        <f t="shared" ref="AN176:AP176" si="440">SUM(AN169:AN175)</f>
        <v>0</v>
      </c>
      <c r="AO176" s="92">
        <f t="shared" si="440"/>
        <v>0</v>
      </c>
      <c r="AP176" s="92">
        <f t="shared" si="440"/>
        <v>0</v>
      </c>
      <c r="AR176" s="92">
        <f>SUM(AR169:AR175)</f>
        <v>10550</v>
      </c>
      <c r="AS176" s="92">
        <f>SUM(AS169:AS175)</f>
        <v>0</v>
      </c>
      <c r="AT176" s="92">
        <f t="shared" ref="AT176:AV176" si="441">SUM(AT169:AT175)</f>
        <v>0</v>
      </c>
      <c r="AU176" s="92">
        <f t="shared" si="441"/>
        <v>0</v>
      </c>
      <c r="AV176" s="92">
        <f t="shared" si="441"/>
        <v>10550</v>
      </c>
      <c r="AX176" s="92">
        <f>SUM(AX169:AX175)</f>
        <v>510433.08839134453</v>
      </c>
      <c r="AY176" s="92">
        <f>SUM(AY169:AY175)</f>
        <v>0</v>
      </c>
      <c r="AZ176" s="92">
        <f t="shared" ref="AZ176:BB176" si="442">SUM(AZ169:AZ175)</f>
        <v>0</v>
      </c>
      <c r="BA176" s="92">
        <f t="shared" si="442"/>
        <v>0</v>
      </c>
      <c r="BB176" s="92">
        <f t="shared" si="442"/>
        <v>510433.08839134453</v>
      </c>
    </row>
    <row r="177" spans="1:54" x14ac:dyDescent="0.25">
      <c r="A177" s="101" t="s">
        <v>148</v>
      </c>
      <c r="B177" s="96"/>
      <c r="C177" s="96"/>
      <c r="D177" s="96"/>
      <c r="E177" s="96"/>
      <c r="F177" s="96"/>
      <c r="H177" s="96"/>
      <c r="I177" s="96"/>
      <c r="J177" s="96"/>
      <c r="K177" s="96"/>
      <c r="L177" s="96"/>
      <c r="N177" s="96"/>
      <c r="O177" s="96"/>
      <c r="P177" s="96"/>
      <c r="Q177" s="96"/>
      <c r="R177" s="96"/>
      <c r="T177" s="96"/>
      <c r="U177" s="96"/>
      <c r="V177" s="96"/>
      <c r="W177" s="96"/>
      <c r="X177" s="96"/>
      <c r="Z177" s="96"/>
      <c r="AA177" s="96"/>
      <c r="AB177" s="96"/>
      <c r="AC177" s="96"/>
      <c r="AD177" s="96"/>
      <c r="AF177" s="96"/>
      <c r="AG177" s="96"/>
      <c r="AH177" s="96"/>
      <c r="AI177" s="96"/>
      <c r="AJ177" s="96"/>
      <c r="AL177" s="96"/>
      <c r="AM177" s="96"/>
      <c r="AN177" s="96"/>
      <c r="AO177" s="96"/>
      <c r="AP177" s="96"/>
      <c r="AR177" s="96"/>
      <c r="AS177" s="96"/>
      <c r="AT177" s="96"/>
      <c r="AU177" s="96"/>
      <c r="AV177" s="96"/>
      <c r="AX177" s="96"/>
      <c r="AY177" s="96"/>
      <c r="AZ177" s="96"/>
      <c r="BA177" s="96"/>
      <c r="BB177" s="96"/>
    </row>
    <row r="178" spans="1:54" x14ac:dyDescent="0.25">
      <c r="A178" s="62" t="s">
        <v>149</v>
      </c>
      <c r="B178" s="15">
        <f>'FY27'!B178*1.06</f>
        <v>15456.505421280004</v>
      </c>
      <c r="C178" s="15"/>
      <c r="D178" s="15"/>
      <c r="E178" s="15"/>
      <c r="F178" s="15">
        <f>SUM(B178:E178)</f>
        <v>15456.505421280004</v>
      </c>
      <c r="H178" s="15">
        <f>'FY27'!H178*1.06</f>
        <v>37537.22745168001</v>
      </c>
      <c r="I178" s="15"/>
      <c r="J178" s="15"/>
      <c r="K178" s="15"/>
      <c r="L178" s="15">
        <f>SUM(H178:K178)</f>
        <v>37537.22745168001</v>
      </c>
      <c r="N178" s="15">
        <f>'FY27'!N178*1.06</f>
        <v>15456.505421280004</v>
      </c>
      <c r="O178" s="15"/>
      <c r="P178" s="15"/>
      <c r="Q178" s="15"/>
      <c r="R178" s="15">
        <f>SUM(N178:Q178)</f>
        <v>15456.505421280004</v>
      </c>
      <c r="T178" s="15">
        <f>'FY27'!T178*1.06</f>
        <v>16928.553556640007</v>
      </c>
      <c r="U178" s="15"/>
      <c r="V178" s="15"/>
      <c r="W178" s="15"/>
      <c r="X178" s="15">
        <f>SUM(T178:W178)</f>
        <v>16928.553556640007</v>
      </c>
      <c r="Z178" s="15">
        <f>'FY27'!Z178*1.06</f>
        <v>24288.794233440003</v>
      </c>
      <c r="AA178" s="15"/>
      <c r="AB178" s="15"/>
      <c r="AC178" s="15"/>
      <c r="AD178" s="15">
        <f>SUM(Z178:AC178)</f>
        <v>24288.794233440003</v>
      </c>
      <c r="AF178" s="15">
        <f>'FY27'!AF178*1.06</f>
        <v>12624.7696</v>
      </c>
      <c r="AG178" s="15"/>
      <c r="AH178" s="15"/>
      <c r="AI178" s="15"/>
      <c r="AJ178" s="15">
        <f>SUM(AF178:AI178)</f>
        <v>12624.7696</v>
      </c>
      <c r="AL178" s="15">
        <v>0</v>
      </c>
      <c r="AM178" s="15"/>
      <c r="AN178" s="15"/>
      <c r="AO178" s="15"/>
      <c r="AP178" s="15">
        <f>SUM(AL178:AO178)</f>
        <v>0</v>
      </c>
      <c r="AR178" s="15"/>
      <c r="AS178" s="15"/>
      <c r="AT178" s="15"/>
      <c r="AU178" s="15"/>
      <c r="AV178" s="15">
        <f>SUM(AR178:AU178)</f>
        <v>0</v>
      </c>
      <c r="AX178" s="7">
        <f>B178+H178+N178+T178+Z178+AF178+AL178+AR178</f>
        <v>122292.35568432002</v>
      </c>
      <c r="AY178" s="7">
        <f t="shared" ref="AY178:BA180" si="443">C178+I178+O178+U178+AA178+AG178+AM178+AS178</f>
        <v>0</v>
      </c>
      <c r="AZ178" s="7">
        <f t="shared" si="443"/>
        <v>0</v>
      </c>
      <c r="BA178" s="7">
        <f t="shared" si="443"/>
        <v>0</v>
      </c>
      <c r="BB178" s="15">
        <f>SUM(AX178:BA178)</f>
        <v>122292.35568432002</v>
      </c>
    </row>
    <row r="179" spans="1:54" x14ac:dyDescent="0.25">
      <c r="A179" s="62" t="s">
        <v>150</v>
      </c>
      <c r="B179" s="15">
        <f>'FY27'!B179*1.06</f>
        <v>8832.2888121600026</v>
      </c>
      <c r="C179" s="7"/>
      <c r="D179" s="7"/>
      <c r="E179" s="7"/>
      <c r="F179" s="15">
        <f>SUM(B179:E179)</f>
        <v>8832.2888121600026</v>
      </c>
      <c r="H179" s="15">
        <f>'FY27'!H179*1.06</f>
        <v>16192.529488960006</v>
      </c>
      <c r="I179" s="7"/>
      <c r="J179" s="7"/>
      <c r="K179" s="7"/>
      <c r="L179" s="15">
        <f>SUM(H179:K179)</f>
        <v>16192.529488960006</v>
      </c>
      <c r="N179" s="15">
        <f>'FY27'!N179*1.06</f>
        <v>10304.336947520007</v>
      </c>
      <c r="O179" s="7"/>
      <c r="P179" s="7"/>
      <c r="Q179" s="7"/>
      <c r="R179" s="15">
        <f>SUM(N179:Q179)</f>
        <v>10304.336947520007</v>
      </c>
      <c r="T179" s="15">
        <f>'FY27'!T179*1.06</f>
        <v>10304.336947520007</v>
      </c>
      <c r="U179" s="7"/>
      <c r="V179" s="7"/>
      <c r="W179" s="7"/>
      <c r="X179" s="15">
        <f>SUM(T179:W179)</f>
        <v>10304.336947520007</v>
      </c>
      <c r="Z179" s="15">
        <f>'FY27'!Z179*1.06</f>
        <v>17664.577624320005</v>
      </c>
      <c r="AA179" s="7"/>
      <c r="AB179" s="7"/>
      <c r="AC179" s="7"/>
      <c r="AD179" s="15">
        <f>SUM(Z179:AC179)</f>
        <v>17664.577624320005</v>
      </c>
      <c r="AF179" s="15">
        <f>'FY27'!AF179*1.06</f>
        <v>8837.3387200000016</v>
      </c>
      <c r="AG179" s="7"/>
      <c r="AH179" s="7"/>
      <c r="AI179" s="7"/>
      <c r="AJ179" s="15">
        <f>SUM(AF179:AI179)</f>
        <v>8837.3387200000016</v>
      </c>
      <c r="AL179" s="15">
        <v>0</v>
      </c>
      <c r="AM179" s="7"/>
      <c r="AN179" s="7"/>
      <c r="AO179" s="7"/>
      <c r="AP179" s="15">
        <f>SUM(AL179:AO179)</f>
        <v>0</v>
      </c>
      <c r="AR179" s="7">
        <f>7500*1.05*1.1*1.1*1.1*1.1</f>
        <v>11529.7875</v>
      </c>
      <c r="AS179" s="7"/>
      <c r="AT179" s="7"/>
      <c r="AU179" s="7"/>
      <c r="AV179" s="15">
        <f>SUM(AR179:AU179)</f>
        <v>11529.7875</v>
      </c>
      <c r="AX179" s="7">
        <f t="shared" ref="AX179:AX180" si="444">B179+H179+N179+T179+Z179+AF179+AL179+AR179</f>
        <v>83665.196040480034</v>
      </c>
      <c r="AY179" s="7">
        <f t="shared" si="443"/>
        <v>0</v>
      </c>
      <c r="AZ179" s="7">
        <f t="shared" si="443"/>
        <v>0</v>
      </c>
      <c r="BA179" s="7">
        <f t="shared" si="443"/>
        <v>0</v>
      </c>
      <c r="BB179" s="15">
        <f>SUM(AX179:BA179)</f>
        <v>83665.196040480034</v>
      </c>
    </row>
    <row r="180" spans="1:54" ht="15.75" thickBot="1" x14ac:dyDescent="0.3">
      <c r="A180" s="62" t="s">
        <v>151</v>
      </c>
      <c r="B180" s="15">
        <f>'FY27'!B180*1.06</f>
        <v>18400.601692000004</v>
      </c>
      <c r="C180" s="7"/>
      <c r="D180" s="7"/>
      <c r="E180" s="7"/>
      <c r="F180" s="15">
        <f>SUM(B180:E180)</f>
        <v>18400.601692000004</v>
      </c>
      <c r="H180" s="15">
        <f>'FY27'!H180*1.06</f>
        <v>47841.564399200019</v>
      </c>
      <c r="I180" s="7"/>
      <c r="J180" s="7"/>
      <c r="K180" s="7"/>
      <c r="L180" s="15">
        <f>SUM(H180:K180)</f>
        <v>47841.564399200019</v>
      </c>
      <c r="N180" s="15">
        <f>'FY27'!N180*1.06</f>
        <v>23552.770165760005</v>
      </c>
      <c r="O180" s="7"/>
      <c r="P180" s="7"/>
      <c r="Q180" s="7"/>
      <c r="R180" s="15">
        <f>SUM(N180:Q180)</f>
        <v>23552.770165760005</v>
      </c>
      <c r="T180" s="15">
        <f>'FY27'!T180*1.06</f>
        <v>30913.010842560008</v>
      </c>
      <c r="U180" s="7"/>
      <c r="V180" s="7"/>
      <c r="W180" s="7"/>
      <c r="X180" s="15">
        <f>SUM(T180:W180)</f>
        <v>30913.010842560008</v>
      </c>
      <c r="Z180" s="15">
        <f>'FY27'!Z180*1.06</f>
        <v>41953.371857760016</v>
      </c>
      <c r="AA180" s="7"/>
      <c r="AB180" s="7"/>
      <c r="AC180" s="7"/>
      <c r="AD180" s="15">
        <f>SUM(Z180:AC180)</f>
        <v>41953.371857760016</v>
      </c>
      <c r="AF180" s="15">
        <f>'FY27'!AF180*1.06</f>
        <v>16412.200480000003</v>
      </c>
      <c r="AG180" s="7"/>
      <c r="AH180" s="7"/>
      <c r="AI180" s="7"/>
      <c r="AJ180" s="15">
        <f>SUM(AF180:AI180)</f>
        <v>16412.200480000003</v>
      </c>
      <c r="AL180" s="15">
        <v>0</v>
      </c>
      <c r="AM180" s="7"/>
      <c r="AN180" s="7"/>
      <c r="AO180" s="7"/>
      <c r="AP180" s="15">
        <f>SUM(AL180:AO180)</f>
        <v>0</v>
      </c>
      <c r="AR180" s="7">
        <f>5500*1.05*1.1*1.1*1.1*1.1</f>
        <v>8455.1775000000034</v>
      </c>
      <c r="AS180" s="7"/>
      <c r="AT180" s="7"/>
      <c r="AU180" s="7"/>
      <c r="AV180" s="15">
        <f>SUM(AR180:AU180)</f>
        <v>8455.1775000000034</v>
      </c>
      <c r="AX180" s="7">
        <f t="shared" si="444"/>
        <v>187528.69693728004</v>
      </c>
      <c r="AY180" s="7">
        <f t="shared" si="443"/>
        <v>0</v>
      </c>
      <c r="AZ180" s="7">
        <f t="shared" si="443"/>
        <v>0</v>
      </c>
      <c r="BA180" s="7">
        <f t="shared" si="443"/>
        <v>0</v>
      </c>
      <c r="BB180" s="15">
        <f>SUM(AX180:BA180)</f>
        <v>187528.69693728004</v>
      </c>
    </row>
    <row r="181" spans="1:54" ht="15.75" thickBot="1" x14ac:dyDescent="0.3">
      <c r="A181" s="95" t="s">
        <v>152</v>
      </c>
      <c r="B181" s="92">
        <f>SUM(B178:B180)</f>
        <v>42689.395925440011</v>
      </c>
      <c r="C181" s="92">
        <f>SUM(C178:C180)</f>
        <v>0</v>
      </c>
      <c r="D181" s="92">
        <f t="shared" ref="D181:F181" si="445">SUM(D178:D180)</f>
        <v>0</v>
      </c>
      <c r="E181" s="92">
        <f t="shared" si="445"/>
        <v>0</v>
      </c>
      <c r="F181" s="92">
        <f t="shared" si="445"/>
        <v>42689.395925440011</v>
      </c>
      <c r="H181" s="92">
        <f>SUM(H178:H180)</f>
        <v>101571.32133984004</v>
      </c>
      <c r="I181" s="92">
        <f>SUM(I178:I180)</f>
        <v>0</v>
      </c>
      <c r="J181" s="92">
        <f t="shared" ref="J181:L181" si="446">SUM(J178:J180)</f>
        <v>0</v>
      </c>
      <c r="K181" s="92">
        <f t="shared" si="446"/>
        <v>0</v>
      </c>
      <c r="L181" s="92">
        <f t="shared" si="446"/>
        <v>101571.32133984004</v>
      </c>
      <c r="N181" s="92">
        <f>SUM(N178:N180)</f>
        <v>49313.612534560016</v>
      </c>
      <c r="O181" s="92">
        <f>SUM(O178:O180)</f>
        <v>0</v>
      </c>
      <c r="P181" s="92">
        <f t="shared" ref="P181:R181" si="447">SUM(P178:P180)</f>
        <v>0</v>
      </c>
      <c r="Q181" s="92">
        <f t="shared" si="447"/>
        <v>0</v>
      </c>
      <c r="R181" s="92">
        <f t="shared" si="447"/>
        <v>49313.612534560016</v>
      </c>
      <c r="T181" s="92">
        <f>SUM(T178:T180)</f>
        <v>58145.901346720028</v>
      </c>
      <c r="U181" s="92">
        <f>SUM(U178:U180)</f>
        <v>0</v>
      </c>
      <c r="V181" s="92">
        <f t="shared" ref="V181:X181" si="448">SUM(V178:V180)</f>
        <v>0</v>
      </c>
      <c r="W181" s="92">
        <f t="shared" si="448"/>
        <v>0</v>
      </c>
      <c r="X181" s="92">
        <f t="shared" si="448"/>
        <v>58145.901346720028</v>
      </c>
      <c r="Z181" s="92">
        <f>SUM(Z178:Z180)</f>
        <v>83906.743715520017</v>
      </c>
      <c r="AA181" s="92">
        <f>SUM(AA178:AA180)</f>
        <v>0</v>
      </c>
      <c r="AB181" s="92">
        <f t="shared" ref="AB181:AD181" si="449">SUM(AB178:AB180)</f>
        <v>0</v>
      </c>
      <c r="AC181" s="92">
        <f t="shared" si="449"/>
        <v>0</v>
      </c>
      <c r="AD181" s="92">
        <f t="shared" si="449"/>
        <v>83906.743715520017</v>
      </c>
      <c r="AF181" s="92">
        <f>SUM(AF178:AF180)</f>
        <v>37874.308799999999</v>
      </c>
      <c r="AG181" s="92">
        <f>SUM(AG178:AG180)</f>
        <v>0</v>
      </c>
      <c r="AH181" s="92">
        <f t="shared" ref="AH181:AJ181" si="450">SUM(AH178:AH180)</f>
        <v>0</v>
      </c>
      <c r="AI181" s="92">
        <f t="shared" si="450"/>
        <v>0</v>
      </c>
      <c r="AJ181" s="92">
        <f t="shared" si="450"/>
        <v>37874.308799999999</v>
      </c>
      <c r="AL181" s="92">
        <f>SUM(AL178:AL180)</f>
        <v>0</v>
      </c>
      <c r="AM181" s="92">
        <f>SUM(AM178:AM180)</f>
        <v>0</v>
      </c>
      <c r="AN181" s="92">
        <f t="shared" ref="AN181:AP181" si="451">SUM(AN178:AN180)</f>
        <v>0</v>
      </c>
      <c r="AO181" s="92">
        <f t="shared" si="451"/>
        <v>0</v>
      </c>
      <c r="AP181" s="92">
        <f t="shared" si="451"/>
        <v>0</v>
      </c>
      <c r="AR181" s="92">
        <f>SUM(AR178:AR180)</f>
        <v>19984.965000000004</v>
      </c>
      <c r="AS181" s="92">
        <f>SUM(AS178:AS180)</f>
        <v>0</v>
      </c>
      <c r="AT181" s="92">
        <f t="shared" ref="AT181:AV181" si="452">SUM(AT178:AT180)</f>
        <v>0</v>
      </c>
      <c r="AU181" s="92">
        <f t="shared" si="452"/>
        <v>0</v>
      </c>
      <c r="AV181" s="92">
        <f t="shared" si="452"/>
        <v>19984.965000000004</v>
      </c>
      <c r="AX181" s="92">
        <f>SUM(AX178:AX180)</f>
        <v>393486.24866208009</v>
      </c>
      <c r="AY181" s="92">
        <f>SUM(AY178:AY180)</f>
        <v>0</v>
      </c>
      <c r="AZ181" s="92">
        <f t="shared" ref="AZ181:BB181" si="453">SUM(AZ178:AZ180)</f>
        <v>0</v>
      </c>
      <c r="BA181" s="92">
        <f t="shared" si="453"/>
        <v>0</v>
      </c>
      <c r="BB181" s="92">
        <f t="shared" si="453"/>
        <v>393486.24866208009</v>
      </c>
    </row>
    <row r="182" spans="1:54" x14ac:dyDescent="0.25">
      <c r="A182" s="101" t="s">
        <v>153</v>
      </c>
      <c r="B182" s="96" t="str">
        <f>B1</f>
        <v>Operating</v>
      </c>
      <c r="C182" s="96" t="str">
        <f>C1</f>
        <v>Weights</v>
      </c>
      <c r="D182" s="96" t="str">
        <f>D1</f>
        <v>SPED</v>
      </c>
      <c r="E182" s="96" t="str">
        <f>E1</f>
        <v>NSLP</v>
      </c>
      <c r="F182" s="96" t="str">
        <f>F1</f>
        <v>Horizon</v>
      </c>
      <c r="H182" s="96" t="str">
        <f>H1</f>
        <v>Operating</v>
      </c>
      <c r="I182" s="96" t="str">
        <f>I1</f>
        <v>Weights</v>
      </c>
      <c r="J182" s="96" t="str">
        <f>J1</f>
        <v>SPED</v>
      </c>
      <c r="K182" s="96" t="str">
        <f>K1</f>
        <v>NSLP</v>
      </c>
      <c r="L182" s="96" t="str">
        <f>L1</f>
        <v>Cadence</v>
      </c>
      <c r="N182" s="96" t="str">
        <f>N1</f>
        <v>Operating</v>
      </c>
      <c r="O182" s="96" t="str">
        <f>O1</f>
        <v>Weights</v>
      </c>
      <c r="P182" s="96" t="str">
        <f>P1</f>
        <v>SPED</v>
      </c>
      <c r="Q182" s="96" t="str">
        <f>Q1</f>
        <v>NSLP</v>
      </c>
      <c r="R182" s="96" t="str">
        <f>R1</f>
        <v>St. Rose</v>
      </c>
      <c r="T182" s="96" t="str">
        <f>T1</f>
        <v>Operating</v>
      </c>
      <c r="U182" s="96" t="str">
        <f>U1</f>
        <v>Weights</v>
      </c>
      <c r="V182" s="96" t="str">
        <f>V1</f>
        <v>SPED</v>
      </c>
      <c r="W182" s="96" t="str">
        <f>W1</f>
        <v>NSLP</v>
      </c>
      <c r="X182" s="96" t="str">
        <f>X1</f>
        <v>Inspirada</v>
      </c>
      <c r="Z182" s="96" t="str">
        <f>Z1</f>
        <v>Operating</v>
      </c>
      <c r="AA182" s="96" t="str">
        <f>AA1</f>
        <v>Weights</v>
      </c>
      <c r="AB182" s="96" t="str">
        <f>AB1</f>
        <v>SPED</v>
      </c>
      <c r="AC182" s="96" t="str">
        <f>AC1</f>
        <v>NSLP</v>
      </c>
      <c r="AD182" s="96" t="str">
        <f>AD1</f>
        <v>Sloan Canyon</v>
      </c>
      <c r="AF182" s="96" t="str">
        <f>AF1</f>
        <v>Operating</v>
      </c>
      <c r="AG182" s="96" t="str">
        <f>AG1</f>
        <v>Weights</v>
      </c>
      <c r="AH182" s="96" t="str">
        <f>AH1</f>
        <v>SPED</v>
      </c>
      <c r="AI182" s="96" t="str">
        <f>AI1</f>
        <v>NSLP</v>
      </c>
      <c r="AJ182" s="96" t="str">
        <f>AJ1</f>
        <v>Springs</v>
      </c>
      <c r="AL182" s="96" t="str">
        <f>AL1</f>
        <v>Operating</v>
      </c>
      <c r="AM182" s="96" t="str">
        <f>AM1</f>
        <v>Weights</v>
      </c>
      <c r="AN182" s="96" t="str">
        <f>AN1</f>
        <v>SPED</v>
      </c>
      <c r="AO182" s="96" t="str">
        <f>AO1</f>
        <v>NSLP</v>
      </c>
      <c r="AP182" s="96" t="str">
        <f>AP1</f>
        <v>System Wide</v>
      </c>
      <c r="AR182" s="96" t="str">
        <f>AR1</f>
        <v>Operating</v>
      </c>
      <c r="AS182" s="96" t="str">
        <f>AS1</f>
        <v>Weights</v>
      </c>
      <c r="AT182" s="96" t="str">
        <f>AT1</f>
        <v>SPED</v>
      </c>
      <c r="AU182" s="96" t="str">
        <f>AU1</f>
        <v>NSLP</v>
      </c>
      <c r="AV182" s="96" t="str">
        <f>AV1</f>
        <v>Virtual</v>
      </c>
      <c r="AX182" s="96" t="str">
        <f>AX1</f>
        <v>Operating</v>
      </c>
      <c r="AY182" s="96" t="str">
        <f>AY1</f>
        <v>Weights</v>
      </c>
      <c r="AZ182" s="96" t="str">
        <f>AZ1</f>
        <v>SPED</v>
      </c>
      <c r="BA182" s="96" t="str">
        <f>BA1</f>
        <v>NSLP</v>
      </c>
      <c r="BB182" s="96" t="str">
        <f>BB1</f>
        <v>Pinecrest System</v>
      </c>
    </row>
    <row r="183" spans="1:54" x14ac:dyDescent="0.25">
      <c r="A183" s="62" t="s">
        <v>154</v>
      </c>
      <c r="B183" s="14">
        <f>(($C$19*B25)*3.56*180)</f>
        <v>0</v>
      </c>
      <c r="C183" s="142"/>
      <c r="D183" s="142"/>
      <c r="E183" s="14">
        <f>((B19*E25)*3.15*180)+1200</f>
        <v>202870.56</v>
      </c>
      <c r="F183" s="14">
        <f t="shared" ref="F183:F191" si="454">SUM(B183:E183)</f>
        <v>202870.56</v>
      </c>
      <c r="H183" s="14">
        <f>(($C$19*H25)*3.56*180)</f>
        <v>0</v>
      </c>
      <c r="I183" s="142"/>
      <c r="J183" s="142"/>
      <c r="K183" s="14">
        <f>((H19*K25)*3.1*180)+1200</f>
        <v>548932.80000000005</v>
      </c>
      <c r="L183" s="14">
        <f t="shared" ref="L183:L191" si="455">SUM(H183:K183)</f>
        <v>548932.80000000005</v>
      </c>
      <c r="N183" s="14">
        <f>(($C$19*N25)*3.56*180)</f>
        <v>0</v>
      </c>
      <c r="O183" s="142"/>
      <c r="P183" s="142"/>
      <c r="Q183" s="14">
        <f>((N19*Q25)*3.1*180)+1200</f>
        <v>171278.40000000002</v>
      </c>
      <c r="R183" s="14">
        <f t="shared" ref="R183:R191" si="456">SUM(N183:Q183)</f>
        <v>171278.40000000002</v>
      </c>
      <c r="T183" s="14">
        <f>(($C$19*T25)*3.56*180)</f>
        <v>0</v>
      </c>
      <c r="U183" s="142"/>
      <c r="V183" s="142"/>
      <c r="W183" s="14">
        <f>((T19*W25)*3.1*180)+1200</f>
        <v>102895.5</v>
      </c>
      <c r="X183" s="14">
        <f t="shared" ref="X183:X191" si="457">SUM(T183:W183)</f>
        <v>102895.5</v>
      </c>
      <c r="Z183" s="14">
        <f>(($C$19*Z25)*3.56*180)</f>
        <v>0</v>
      </c>
      <c r="AA183" s="142"/>
      <c r="AB183" s="142"/>
      <c r="AC183" s="14">
        <f>((Z19*AC25)*3.1*180)+1200</f>
        <v>326357.76000000007</v>
      </c>
      <c r="AD183" s="14">
        <f t="shared" ref="AD183:AD191" si="458">SUM(Z183:AC183)</f>
        <v>326357.76000000007</v>
      </c>
      <c r="AF183" s="14">
        <f>(($C$19*AF25)*3.56*180)</f>
        <v>0</v>
      </c>
      <c r="AG183" s="142"/>
      <c r="AH183" s="142"/>
      <c r="AI183" s="360">
        <f>((AF19*AI25)*3.4*180)+1200</f>
        <v>471215.99999999994</v>
      </c>
      <c r="AJ183" s="14">
        <f t="shared" ref="AJ183:AJ191" si="459">SUM(AF183:AI183)</f>
        <v>471215.99999999994</v>
      </c>
      <c r="AL183" s="14">
        <v>0</v>
      </c>
      <c r="AM183" s="142"/>
      <c r="AN183" s="142"/>
      <c r="AO183" s="14">
        <v>0</v>
      </c>
      <c r="AP183" s="14">
        <f t="shared" ref="AP183:AP191" si="460">SUM(AL183:AO183)</f>
        <v>0</v>
      </c>
      <c r="AR183" s="14">
        <f>(($C$19*AR25)*3.56*180)</f>
        <v>0</v>
      </c>
      <c r="AS183" s="142"/>
      <c r="AT183" s="142"/>
      <c r="AU183" s="14">
        <f>(AR19*AU25)*3.2*180+3700</f>
        <v>98164.000000000015</v>
      </c>
      <c r="AV183" s="14">
        <f t="shared" ref="AV183:AV191" si="461">SUM(AR183:AU183)</f>
        <v>98164.000000000015</v>
      </c>
      <c r="AX183" s="7">
        <f>B183+H183+N183+T183+Z183+AF183+AL183+AR183</f>
        <v>0</v>
      </c>
      <c r="AY183" s="7">
        <f t="shared" ref="AY183:BA191" si="462">C183+I183+O183+U183+AA183+AG183+AM183+AS183</f>
        <v>0</v>
      </c>
      <c r="AZ183" s="7">
        <f t="shared" si="462"/>
        <v>0</v>
      </c>
      <c r="BA183" s="7">
        <f t="shared" si="462"/>
        <v>1921715.0200000003</v>
      </c>
      <c r="BB183" s="14">
        <f t="shared" ref="BB183:BB191" si="463">SUM(AX183:BA183)</f>
        <v>1921715.0200000003</v>
      </c>
    </row>
    <row r="184" spans="1:54" x14ac:dyDescent="0.25">
      <c r="A184" s="62" t="s">
        <v>155</v>
      </c>
      <c r="B184" s="7">
        <v>5000</v>
      </c>
      <c r="C184" s="7"/>
      <c r="D184" s="7"/>
      <c r="E184" s="7"/>
      <c r="F184" s="14">
        <f t="shared" si="454"/>
        <v>5000</v>
      </c>
      <c r="H184" s="7">
        <v>5000</v>
      </c>
      <c r="I184" s="7"/>
      <c r="J184" s="7"/>
      <c r="K184" s="7"/>
      <c r="L184" s="14">
        <f t="shared" si="455"/>
        <v>5000</v>
      </c>
      <c r="N184" s="7">
        <v>5000</v>
      </c>
      <c r="O184" s="7"/>
      <c r="P184" s="7"/>
      <c r="Q184" s="7"/>
      <c r="R184" s="14">
        <f t="shared" si="456"/>
        <v>5000</v>
      </c>
      <c r="T184" s="7">
        <v>5000</v>
      </c>
      <c r="U184" s="7"/>
      <c r="V184" s="7"/>
      <c r="W184" s="7"/>
      <c r="X184" s="14">
        <f t="shared" si="457"/>
        <v>5000</v>
      </c>
      <c r="Z184" s="7">
        <v>5000</v>
      </c>
      <c r="AA184" s="7"/>
      <c r="AB184" s="7"/>
      <c r="AC184" s="7"/>
      <c r="AD184" s="14">
        <f t="shared" si="458"/>
        <v>5000</v>
      </c>
      <c r="AF184" s="7">
        <v>5000</v>
      </c>
      <c r="AG184" s="7"/>
      <c r="AH184" s="7"/>
      <c r="AI184" s="7"/>
      <c r="AJ184" s="14">
        <f t="shared" si="459"/>
        <v>5000</v>
      </c>
      <c r="AL184" s="14">
        <v>0</v>
      </c>
      <c r="AM184" s="7"/>
      <c r="AN184" s="7"/>
      <c r="AO184" s="7"/>
      <c r="AP184" s="14">
        <f t="shared" si="460"/>
        <v>0</v>
      </c>
      <c r="AR184" s="7">
        <v>1000</v>
      </c>
      <c r="AS184" s="7"/>
      <c r="AT184" s="7"/>
      <c r="AU184" s="7"/>
      <c r="AV184" s="14">
        <f t="shared" si="461"/>
        <v>1000</v>
      </c>
      <c r="AX184" s="7">
        <f t="shared" ref="AX184:AX191" si="464">B184+H184+N184+T184+Z184+AF184+AL184+AR184</f>
        <v>31000</v>
      </c>
      <c r="AY184" s="7">
        <f t="shared" si="462"/>
        <v>0</v>
      </c>
      <c r="AZ184" s="7">
        <f t="shared" si="462"/>
        <v>0</v>
      </c>
      <c r="BA184" s="7">
        <f t="shared" si="462"/>
        <v>0</v>
      </c>
      <c r="BB184" s="14">
        <f t="shared" si="463"/>
        <v>31000</v>
      </c>
    </row>
    <row r="185" spans="1:54" x14ac:dyDescent="0.25">
      <c r="A185" s="62" t="s">
        <v>156</v>
      </c>
      <c r="B185" s="7">
        <v>2000</v>
      </c>
      <c r="C185" s="7"/>
      <c r="D185" s="7"/>
      <c r="E185" s="7"/>
      <c r="F185" s="14">
        <f t="shared" si="454"/>
        <v>2000</v>
      </c>
      <c r="H185" s="7">
        <v>3000</v>
      </c>
      <c r="I185" s="7"/>
      <c r="J185" s="7"/>
      <c r="K185" s="7"/>
      <c r="L185" s="14">
        <f t="shared" si="455"/>
        <v>3000</v>
      </c>
      <c r="N185" s="7">
        <v>2100</v>
      </c>
      <c r="O185" s="7"/>
      <c r="P185" s="7"/>
      <c r="Q185" s="7"/>
      <c r="R185" s="14">
        <f t="shared" si="456"/>
        <v>2100</v>
      </c>
      <c r="T185" s="7">
        <v>2100</v>
      </c>
      <c r="U185" s="7"/>
      <c r="V185" s="7"/>
      <c r="W185" s="7"/>
      <c r="X185" s="14">
        <f t="shared" si="457"/>
        <v>2100</v>
      </c>
      <c r="Z185" s="7">
        <v>3000</v>
      </c>
      <c r="AA185" s="7"/>
      <c r="AB185" s="7"/>
      <c r="AC185" s="7"/>
      <c r="AD185" s="14">
        <f t="shared" si="458"/>
        <v>3000</v>
      </c>
      <c r="AF185" s="7">
        <v>3000</v>
      </c>
      <c r="AG185" s="7"/>
      <c r="AH185" s="7"/>
      <c r="AI185" s="7"/>
      <c r="AJ185" s="14">
        <f t="shared" si="459"/>
        <v>3000</v>
      </c>
      <c r="AL185" s="14">
        <v>0</v>
      </c>
      <c r="AM185" s="7"/>
      <c r="AN185" s="7"/>
      <c r="AO185" s="7"/>
      <c r="AP185" s="14">
        <f t="shared" si="460"/>
        <v>0</v>
      </c>
      <c r="AR185" s="7">
        <v>0</v>
      </c>
      <c r="AS185" s="7"/>
      <c r="AT185" s="7"/>
      <c r="AU185" s="7"/>
      <c r="AV185" s="14">
        <f t="shared" si="461"/>
        <v>0</v>
      </c>
      <c r="AX185" s="7">
        <f t="shared" si="464"/>
        <v>15200</v>
      </c>
      <c r="AY185" s="7">
        <f t="shared" si="462"/>
        <v>0</v>
      </c>
      <c r="AZ185" s="7">
        <f t="shared" si="462"/>
        <v>0</v>
      </c>
      <c r="BA185" s="7">
        <f t="shared" si="462"/>
        <v>0</v>
      </c>
      <c r="BB185" s="14">
        <f t="shared" si="463"/>
        <v>15200</v>
      </c>
    </row>
    <row r="186" spans="1:54" x14ac:dyDescent="0.25">
      <c r="A186" s="62" t="s">
        <v>157</v>
      </c>
      <c r="B186" s="7">
        <v>540</v>
      </c>
      <c r="C186" s="7"/>
      <c r="D186" s="7"/>
      <c r="E186" s="7"/>
      <c r="F186" s="14">
        <f t="shared" si="454"/>
        <v>540</v>
      </c>
      <c r="H186" s="7">
        <v>1350</v>
      </c>
      <c r="I186" s="7"/>
      <c r="J186" s="7"/>
      <c r="K186" s="7"/>
      <c r="L186" s="14">
        <f t="shared" si="455"/>
        <v>1350</v>
      </c>
      <c r="N186" s="7">
        <v>900</v>
      </c>
      <c r="O186" s="7"/>
      <c r="P186" s="7"/>
      <c r="Q186" s="7"/>
      <c r="R186" s="14">
        <f t="shared" si="456"/>
        <v>900</v>
      </c>
      <c r="T186" s="7">
        <v>900</v>
      </c>
      <c r="U186" s="7"/>
      <c r="V186" s="7"/>
      <c r="W186" s="7"/>
      <c r="X186" s="14">
        <f t="shared" si="457"/>
        <v>900</v>
      </c>
      <c r="Z186" s="7">
        <v>1350</v>
      </c>
      <c r="AA186" s="7"/>
      <c r="AB186" s="7"/>
      <c r="AC186" s="7"/>
      <c r="AD186" s="14">
        <f t="shared" si="458"/>
        <v>1350</v>
      </c>
      <c r="AF186" s="7">
        <v>1350</v>
      </c>
      <c r="AG186" s="7"/>
      <c r="AH186" s="7"/>
      <c r="AI186" s="7"/>
      <c r="AJ186" s="14">
        <f t="shared" si="459"/>
        <v>1350</v>
      </c>
      <c r="AL186" s="14">
        <v>0</v>
      </c>
      <c r="AM186" s="7"/>
      <c r="AN186" s="7"/>
      <c r="AO186" s="7"/>
      <c r="AP186" s="14">
        <f t="shared" si="460"/>
        <v>0</v>
      </c>
      <c r="AR186" s="7">
        <f>60*10</f>
        <v>600</v>
      </c>
      <c r="AS186" s="7"/>
      <c r="AT186" s="7"/>
      <c r="AU186" s="7"/>
      <c r="AV186" s="14">
        <f t="shared" si="461"/>
        <v>600</v>
      </c>
      <c r="AX186" s="7">
        <f t="shared" si="464"/>
        <v>6990</v>
      </c>
      <c r="AY186" s="7">
        <f t="shared" si="462"/>
        <v>0</v>
      </c>
      <c r="AZ186" s="7">
        <f t="shared" si="462"/>
        <v>0</v>
      </c>
      <c r="BA186" s="7">
        <f t="shared" si="462"/>
        <v>0</v>
      </c>
      <c r="BB186" s="14">
        <f t="shared" si="463"/>
        <v>6990</v>
      </c>
    </row>
    <row r="187" spans="1:54" x14ac:dyDescent="0.25">
      <c r="A187" s="62" t="s">
        <v>158</v>
      </c>
      <c r="B187" s="15">
        <v>12700</v>
      </c>
      <c r="C187" s="15"/>
      <c r="D187" s="15"/>
      <c r="E187" s="15"/>
      <c r="F187" s="14">
        <f t="shared" si="454"/>
        <v>12700</v>
      </c>
      <c r="H187" s="15">
        <v>12000</v>
      </c>
      <c r="I187" s="15"/>
      <c r="J187" s="15"/>
      <c r="K187" s="15"/>
      <c r="L187" s="14">
        <f t="shared" si="455"/>
        <v>12000</v>
      </c>
      <c r="N187" s="15">
        <v>12000</v>
      </c>
      <c r="O187" s="15"/>
      <c r="P187" s="15"/>
      <c r="Q187" s="15"/>
      <c r="R187" s="14">
        <f t="shared" si="456"/>
        <v>12000</v>
      </c>
      <c r="T187" s="15">
        <v>12000</v>
      </c>
      <c r="U187" s="15"/>
      <c r="V187" s="15"/>
      <c r="W187" s="15"/>
      <c r="X187" s="14">
        <f t="shared" si="457"/>
        <v>12000</v>
      </c>
      <c r="Z187" s="15">
        <v>12000</v>
      </c>
      <c r="AA187" s="15"/>
      <c r="AB187" s="15"/>
      <c r="AC187" s="15"/>
      <c r="AD187" s="14">
        <f t="shared" si="458"/>
        <v>12000</v>
      </c>
      <c r="AF187" s="15">
        <v>12000</v>
      </c>
      <c r="AG187" s="15"/>
      <c r="AH187" s="15"/>
      <c r="AI187" s="15"/>
      <c r="AJ187" s="14">
        <f t="shared" si="459"/>
        <v>12000</v>
      </c>
      <c r="AL187" s="14">
        <v>0</v>
      </c>
      <c r="AM187" s="15"/>
      <c r="AN187" s="15"/>
      <c r="AO187" s="15"/>
      <c r="AP187" s="14">
        <f t="shared" si="460"/>
        <v>0</v>
      </c>
      <c r="AR187" s="15">
        <v>12500</v>
      </c>
      <c r="AS187" s="15"/>
      <c r="AT187" s="15"/>
      <c r="AU187" s="15"/>
      <c r="AV187" s="14">
        <f t="shared" si="461"/>
        <v>12500</v>
      </c>
      <c r="AX187" s="7">
        <f t="shared" si="464"/>
        <v>85200</v>
      </c>
      <c r="AY187" s="7">
        <f t="shared" si="462"/>
        <v>0</v>
      </c>
      <c r="AZ187" s="7">
        <f t="shared" si="462"/>
        <v>0</v>
      </c>
      <c r="BA187" s="7">
        <f t="shared" si="462"/>
        <v>0</v>
      </c>
      <c r="BB187" s="14">
        <f t="shared" si="463"/>
        <v>85200</v>
      </c>
    </row>
    <row r="188" spans="1:54" x14ac:dyDescent="0.25">
      <c r="A188" s="62" t="s">
        <v>159</v>
      </c>
      <c r="B188" s="15">
        <v>0</v>
      </c>
      <c r="C188" s="148"/>
      <c r="D188" s="148"/>
      <c r="E188" s="148"/>
      <c r="F188" s="14">
        <f t="shared" si="454"/>
        <v>0</v>
      </c>
      <c r="H188" s="15">
        <v>0</v>
      </c>
      <c r="I188" s="148"/>
      <c r="J188" s="148"/>
      <c r="K188" s="148"/>
      <c r="L188" s="14">
        <f t="shared" si="455"/>
        <v>0</v>
      </c>
      <c r="N188" s="15">
        <v>0</v>
      </c>
      <c r="O188" s="148"/>
      <c r="P188" s="148"/>
      <c r="Q188" s="148"/>
      <c r="R188" s="14">
        <f t="shared" si="456"/>
        <v>0</v>
      </c>
      <c r="T188" s="15">
        <v>0</v>
      </c>
      <c r="U188" s="148"/>
      <c r="V188" s="148"/>
      <c r="W188" s="148"/>
      <c r="X188" s="14">
        <f t="shared" si="457"/>
        <v>0</v>
      </c>
      <c r="Z188" s="15">
        <v>0</v>
      </c>
      <c r="AA188" s="148"/>
      <c r="AB188" s="148"/>
      <c r="AC188" s="148"/>
      <c r="AD188" s="14">
        <f t="shared" si="458"/>
        <v>0</v>
      </c>
      <c r="AF188" s="15">
        <v>0</v>
      </c>
      <c r="AG188" s="148"/>
      <c r="AH188" s="148"/>
      <c r="AI188" s="148"/>
      <c r="AJ188" s="14">
        <f t="shared" si="459"/>
        <v>0</v>
      </c>
      <c r="AL188" s="14">
        <v>0</v>
      </c>
      <c r="AM188" s="148"/>
      <c r="AN188" s="148"/>
      <c r="AO188" s="148"/>
      <c r="AP188" s="14">
        <f t="shared" si="460"/>
        <v>0</v>
      </c>
      <c r="AR188" s="15">
        <v>0</v>
      </c>
      <c r="AS188" s="148"/>
      <c r="AT188" s="148"/>
      <c r="AU188" s="148"/>
      <c r="AV188" s="14">
        <f t="shared" si="461"/>
        <v>0</v>
      </c>
      <c r="AX188" s="7">
        <f t="shared" si="464"/>
        <v>0</v>
      </c>
      <c r="AY188" s="7">
        <f t="shared" si="462"/>
        <v>0</v>
      </c>
      <c r="AZ188" s="7">
        <f t="shared" si="462"/>
        <v>0</v>
      </c>
      <c r="BA188" s="7">
        <f t="shared" si="462"/>
        <v>0</v>
      </c>
      <c r="BB188" s="14">
        <f t="shared" si="463"/>
        <v>0</v>
      </c>
    </row>
    <row r="189" spans="1:54" x14ac:dyDescent="0.25">
      <c r="A189" s="62" t="s">
        <v>160</v>
      </c>
      <c r="B189" s="15">
        <v>0</v>
      </c>
      <c r="C189" s="15"/>
      <c r="D189" s="15"/>
      <c r="E189" s="15"/>
      <c r="F189" s="14">
        <f t="shared" si="454"/>
        <v>0</v>
      </c>
      <c r="H189" s="15">
        <v>0</v>
      </c>
      <c r="I189" s="15"/>
      <c r="J189" s="15"/>
      <c r="K189" s="15"/>
      <c r="L189" s="14">
        <f t="shared" si="455"/>
        <v>0</v>
      </c>
      <c r="N189" s="15">
        <v>0</v>
      </c>
      <c r="O189" s="15"/>
      <c r="P189" s="15"/>
      <c r="Q189" s="15"/>
      <c r="R189" s="14">
        <f t="shared" si="456"/>
        <v>0</v>
      </c>
      <c r="T189" s="15">
        <v>0</v>
      </c>
      <c r="U189" s="15"/>
      <c r="V189" s="15"/>
      <c r="W189" s="15"/>
      <c r="X189" s="14">
        <f t="shared" si="457"/>
        <v>0</v>
      </c>
      <c r="Z189" s="15">
        <v>0</v>
      </c>
      <c r="AA189" s="15"/>
      <c r="AB189" s="15"/>
      <c r="AC189" s="15"/>
      <c r="AD189" s="14">
        <f t="shared" si="458"/>
        <v>0</v>
      </c>
      <c r="AF189" s="15">
        <v>0</v>
      </c>
      <c r="AG189" s="15"/>
      <c r="AH189" s="15"/>
      <c r="AI189" s="15"/>
      <c r="AJ189" s="14">
        <f t="shared" si="459"/>
        <v>0</v>
      </c>
      <c r="AL189" s="14">
        <v>0</v>
      </c>
      <c r="AM189" s="15"/>
      <c r="AN189" s="15"/>
      <c r="AO189" s="15"/>
      <c r="AP189" s="14">
        <f t="shared" si="460"/>
        <v>0</v>
      </c>
      <c r="AR189" s="15">
        <v>0</v>
      </c>
      <c r="AS189" s="15"/>
      <c r="AT189" s="15"/>
      <c r="AU189" s="15"/>
      <c r="AV189" s="14">
        <f t="shared" si="461"/>
        <v>0</v>
      </c>
      <c r="AX189" s="7">
        <f t="shared" si="464"/>
        <v>0</v>
      </c>
      <c r="AY189" s="7">
        <f t="shared" si="462"/>
        <v>0</v>
      </c>
      <c r="AZ189" s="7">
        <f t="shared" si="462"/>
        <v>0</v>
      </c>
      <c r="BA189" s="7">
        <f t="shared" si="462"/>
        <v>0</v>
      </c>
      <c r="BB189" s="14">
        <f t="shared" si="463"/>
        <v>0</v>
      </c>
    </row>
    <row r="190" spans="1:54" x14ac:dyDescent="0.25">
      <c r="A190" s="62" t="s">
        <v>161</v>
      </c>
      <c r="B190" s="15">
        <v>0</v>
      </c>
      <c r="C190" s="15"/>
      <c r="D190" s="15"/>
      <c r="E190" s="15"/>
      <c r="F190" s="14">
        <f t="shared" si="454"/>
        <v>0</v>
      </c>
      <c r="H190" s="15">
        <v>20000</v>
      </c>
      <c r="I190" s="15"/>
      <c r="J190" s="15"/>
      <c r="K190" s="15"/>
      <c r="L190" s="14">
        <f t="shared" si="455"/>
        <v>20000</v>
      </c>
      <c r="N190" s="15">
        <v>0</v>
      </c>
      <c r="O190" s="15"/>
      <c r="P190" s="15"/>
      <c r="Q190" s="15"/>
      <c r="R190" s="14">
        <f t="shared" si="456"/>
        <v>0</v>
      </c>
      <c r="T190" s="15">
        <v>0</v>
      </c>
      <c r="U190" s="15"/>
      <c r="V190" s="15"/>
      <c r="W190" s="15"/>
      <c r="X190" s="14">
        <f t="shared" si="457"/>
        <v>0</v>
      </c>
      <c r="Z190" s="15">
        <v>20000</v>
      </c>
      <c r="AA190" s="15"/>
      <c r="AB190" s="15"/>
      <c r="AC190" s="15"/>
      <c r="AD190" s="14">
        <f t="shared" si="458"/>
        <v>20000</v>
      </c>
      <c r="AF190" s="7">
        <v>0</v>
      </c>
      <c r="AG190" s="15"/>
      <c r="AH190" s="15"/>
      <c r="AI190" s="15"/>
      <c r="AJ190" s="14">
        <f t="shared" si="459"/>
        <v>0</v>
      </c>
      <c r="AL190" s="14">
        <v>0</v>
      </c>
      <c r="AM190" s="15"/>
      <c r="AN190" s="15"/>
      <c r="AO190" s="15"/>
      <c r="AP190" s="14">
        <f t="shared" si="460"/>
        <v>0</v>
      </c>
      <c r="AR190" s="15">
        <v>0</v>
      </c>
      <c r="AS190" s="15"/>
      <c r="AT190" s="15"/>
      <c r="AU190" s="15"/>
      <c r="AV190" s="14">
        <f t="shared" si="461"/>
        <v>0</v>
      </c>
      <c r="AX190" s="7">
        <f t="shared" si="464"/>
        <v>40000</v>
      </c>
      <c r="AY190" s="7">
        <f t="shared" si="462"/>
        <v>0</v>
      </c>
      <c r="AZ190" s="7">
        <f t="shared" si="462"/>
        <v>0</v>
      </c>
      <c r="BA190" s="7">
        <f t="shared" si="462"/>
        <v>0</v>
      </c>
      <c r="BB190" s="14">
        <f t="shared" si="463"/>
        <v>40000</v>
      </c>
    </row>
    <row r="191" spans="1:54" ht="15.75" thickBot="1" x14ac:dyDescent="0.3">
      <c r="A191" s="62" t="s">
        <v>162</v>
      </c>
      <c r="B191" s="7">
        <v>1000</v>
      </c>
      <c r="C191" s="7"/>
      <c r="D191" s="7"/>
      <c r="E191" s="7"/>
      <c r="F191" s="14">
        <f t="shared" si="454"/>
        <v>1000</v>
      </c>
      <c r="H191" s="7">
        <v>3000</v>
      </c>
      <c r="I191" s="7"/>
      <c r="J191" s="7"/>
      <c r="K191" s="7"/>
      <c r="L191" s="14">
        <f t="shared" si="455"/>
        <v>3000</v>
      </c>
      <c r="N191" s="7">
        <v>2000</v>
      </c>
      <c r="O191" s="7"/>
      <c r="P191" s="7"/>
      <c r="Q191" s="7"/>
      <c r="R191" s="14">
        <f t="shared" si="456"/>
        <v>2000</v>
      </c>
      <c r="T191" s="7">
        <v>2000</v>
      </c>
      <c r="U191" s="7"/>
      <c r="V191" s="7"/>
      <c r="W191" s="7"/>
      <c r="X191" s="14">
        <f t="shared" si="457"/>
        <v>2000</v>
      </c>
      <c r="Z191" s="7">
        <v>2000</v>
      </c>
      <c r="AA191" s="7"/>
      <c r="AB191" s="7"/>
      <c r="AC191" s="7"/>
      <c r="AD191" s="14">
        <f t="shared" si="458"/>
        <v>2000</v>
      </c>
      <c r="AF191" s="7">
        <v>2000</v>
      </c>
      <c r="AG191" s="7"/>
      <c r="AH191" s="7"/>
      <c r="AI191" s="7"/>
      <c r="AJ191" s="14">
        <f t="shared" si="459"/>
        <v>2000</v>
      </c>
      <c r="AL191" s="14">
        <v>0</v>
      </c>
      <c r="AM191" s="7"/>
      <c r="AN191" s="7"/>
      <c r="AO191" s="7"/>
      <c r="AP191" s="14">
        <f t="shared" si="460"/>
        <v>0</v>
      </c>
      <c r="AR191" s="7">
        <v>2500</v>
      </c>
      <c r="AS191" s="7"/>
      <c r="AT191" s="7"/>
      <c r="AU191" s="7"/>
      <c r="AV191" s="14">
        <f t="shared" si="461"/>
        <v>2500</v>
      </c>
      <c r="AX191" s="7">
        <f t="shared" si="464"/>
        <v>14500</v>
      </c>
      <c r="AY191" s="7">
        <f t="shared" si="462"/>
        <v>0</v>
      </c>
      <c r="AZ191" s="7">
        <f t="shared" si="462"/>
        <v>0</v>
      </c>
      <c r="BA191" s="7">
        <f t="shared" si="462"/>
        <v>0</v>
      </c>
      <c r="BB191" s="14">
        <f t="shared" si="463"/>
        <v>14500</v>
      </c>
    </row>
    <row r="192" spans="1:54" ht="15.75" thickBot="1" x14ac:dyDescent="0.3">
      <c r="A192" s="95" t="s">
        <v>163</v>
      </c>
      <c r="B192" s="92">
        <f>SUM(B183:B191)</f>
        <v>21240</v>
      </c>
      <c r="C192" s="92">
        <f>SUM(C183:C191)</f>
        <v>0</v>
      </c>
      <c r="D192" s="92">
        <f t="shared" ref="D192:F192" si="465">SUM(D183:D191)</f>
        <v>0</v>
      </c>
      <c r="E192" s="92">
        <f t="shared" si="465"/>
        <v>202870.56</v>
      </c>
      <c r="F192" s="92">
        <f t="shared" si="465"/>
        <v>224110.56</v>
      </c>
      <c r="H192" s="92">
        <f>SUM(H183:H191)</f>
        <v>44350</v>
      </c>
      <c r="I192" s="92">
        <f>SUM(I183:I191)</f>
        <v>0</v>
      </c>
      <c r="J192" s="92">
        <f t="shared" ref="J192:L192" si="466">SUM(J183:J191)</f>
        <v>0</v>
      </c>
      <c r="K192" s="92">
        <f t="shared" si="466"/>
        <v>548932.80000000005</v>
      </c>
      <c r="L192" s="92">
        <f t="shared" si="466"/>
        <v>593282.80000000005</v>
      </c>
      <c r="N192" s="92">
        <f>SUM(N183:N191)</f>
        <v>22000</v>
      </c>
      <c r="O192" s="92">
        <f>SUM(O183:O191)</f>
        <v>0</v>
      </c>
      <c r="P192" s="92">
        <f t="shared" ref="P192:R192" si="467">SUM(P183:P191)</f>
        <v>0</v>
      </c>
      <c r="Q192" s="92">
        <f t="shared" si="467"/>
        <v>171278.40000000002</v>
      </c>
      <c r="R192" s="92">
        <f t="shared" si="467"/>
        <v>193278.40000000002</v>
      </c>
      <c r="T192" s="92">
        <f>SUM(T183:T191)</f>
        <v>22000</v>
      </c>
      <c r="U192" s="92">
        <f>SUM(U183:U191)</f>
        <v>0</v>
      </c>
      <c r="V192" s="92">
        <f t="shared" ref="V192:X192" si="468">SUM(V183:V191)</f>
        <v>0</v>
      </c>
      <c r="W192" s="92">
        <f t="shared" si="468"/>
        <v>102895.5</v>
      </c>
      <c r="X192" s="92">
        <f t="shared" si="468"/>
        <v>124895.5</v>
      </c>
      <c r="Z192" s="92">
        <f>SUM(Z183:Z191)</f>
        <v>43350</v>
      </c>
      <c r="AA192" s="92">
        <f>SUM(AA183:AA191)</f>
        <v>0</v>
      </c>
      <c r="AB192" s="92">
        <f t="shared" ref="AB192:AD192" si="469">SUM(AB183:AB191)</f>
        <v>0</v>
      </c>
      <c r="AC192" s="92">
        <f t="shared" si="469"/>
        <v>326357.76000000007</v>
      </c>
      <c r="AD192" s="92">
        <f t="shared" si="469"/>
        <v>369707.76000000007</v>
      </c>
      <c r="AF192" s="92">
        <f>SUM(AF183:AF191)</f>
        <v>23350</v>
      </c>
      <c r="AG192" s="92">
        <f>SUM(AG183:AG191)</f>
        <v>0</v>
      </c>
      <c r="AH192" s="92">
        <f t="shared" ref="AH192:AJ192" si="470">SUM(AH183:AH191)</f>
        <v>0</v>
      </c>
      <c r="AI192" s="92">
        <f t="shared" si="470"/>
        <v>471215.99999999994</v>
      </c>
      <c r="AJ192" s="92">
        <f t="shared" si="470"/>
        <v>494565.99999999994</v>
      </c>
      <c r="AL192" s="92">
        <f>SUM(AL183:AL191)</f>
        <v>0</v>
      </c>
      <c r="AM192" s="92">
        <f>SUM(AM183:AM191)</f>
        <v>0</v>
      </c>
      <c r="AN192" s="92">
        <f t="shared" ref="AN192:AP192" si="471">SUM(AN183:AN191)</f>
        <v>0</v>
      </c>
      <c r="AO192" s="92">
        <f t="shared" si="471"/>
        <v>0</v>
      </c>
      <c r="AP192" s="92">
        <f t="shared" si="471"/>
        <v>0</v>
      </c>
      <c r="AR192" s="92">
        <f>SUM(AR183:AR191)</f>
        <v>16600</v>
      </c>
      <c r="AS192" s="92">
        <f>SUM(AS183:AS191)</f>
        <v>0</v>
      </c>
      <c r="AT192" s="92">
        <f t="shared" ref="AT192:AV192" si="472">SUM(AT183:AT191)</f>
        <v>0</v>
      </c>
      <c r="AU192" s="92">
        <f t="shared" si="472"/>
        <v>98164.000000000015</v>
      </c>
      <c r="AV192" s="92">
        <f t="shared" si="472"/>
        <v>114764.00000000001</v>
      </c>
      <c r="AX192" s="92">
        <f>SUM(AX183:AX191)</f>
        <v>192890</v>
      </c>
      <c r="AY192" s="92">
        <f>SUM(AY183:AY191)</f>
        <v>0</v>
      </c>
      <c r="AZ192" s="92">
        <f t="shared" ref="AZ192:BB192" si="473">SUM(AZ183:AZ191)</f>
        <v>0</v>
      </c>
      <c r="BA192" s="92">
        <f t="shared" si="473"/>
        <v>1921715.0200000003</v>
      </c>
      <c r="BB192" s="92">
        <f t="shared" si="473"/>
        <v>2114605.0200000005</v>
      </c>
    </row>
    <row r="193" spans="1:54" x14ac:dyDescent="0.25">
      <c r="A193" s="101" t="s">
        <v>164</v>
      </c>
      <c r="B193" s="77" t="str">
        <f>B182</f>
        <v>Operating</v>
      </c>
      <c r="C193" s="77" t="str">
        <f>C182</f>
        <v>Weights</v>
      </c>
      <c r="D193" s="77" t="str">
        <f>D182</f>
        <v>SPED</v>
      </c>
      <c r="E193" s="77" t="str">
        <f t="shared" ref="E193:F193" si="474">E182</f>
        <v>NSLP</v>
      </c>
      <c r="F193" s="77" t="str">
        <f t="shared" si="474"/>
        <v>Horizon</v>
      </c>
      <c r="H193" s="77" t="str">
        <f>H182</f>
        <v>Operating</v>
      </c>
      <c r="I193" s="77" t="str">
        <f>I182</f>
        <v>Weights</v>
      </c>
      <c r="J193" s="77" t="str">
        <f>J182</f>
        <v>SPED</v>
      </c>
      <c r="K193" s="77" t="str">
        <f t="shared" ref="K193:L193" si="475">K182</f>
        <v>NSLP</v>
      </c>
      <c r="L193" s="77" t="str">
        <f t="shared" si="475"/>
        <v>Cadence</v>
      </c>
      <c r="N193" s="77" t="str">
        <f>N182</f>
        <v>Operating</v>
      </c>
      <c r="O193" s="77" t="str">
        <f>O182</f>
        <v>Weights</v>
      </c>
      <c r="P193" s="77" t="str">
        <f>P182</f>
        <v>SPED</v>
      </c>
      <c r="Q193" s="77" t="str">
        <f t="shared" ref="Q193:R193" si="476">Q182</f>
        <v>NSLP</v>
      </c>
      <c r="R193" s="77" t="str">
        <f t="shared" si="476"/>
        <v>St. Rose</v>
      </c>
      <c r="T193" s="77" t="str">
        <f>T182</f>
        <v>Operating</v>
      </c>
      <c r="U193" s="77" t="str">
        <f>U182</f>
        <v>Weights</v>
      </c>
      <c r="V193" s="77" t="str">
        <f>V182</f>
        <v>SPED</v>
      </c>
      <c r="W193" s="77" t="str">
        <f t="shared" ref="W193:X193" si="477">W182</f>
        <v>NSLP</v>
      </c>
      <c r="X193" s="77" t="str">
        <f t="shared" si="477"/>
        <v>Inspirada</v>
      </c>
      <c r="Z193" s="77" t="str">
        <f>Z182</f>
        <v>Operating</v>
      </c>
      <c r="AA193" s="77" t="str">
        <f>AA182</f>
        <v>Weights</v>
      </c>
      <c r="AB193" s="77" t="str">
        <f>AB182</f>
        <v>SPED</v>
      </c>
      <c r="AC193" s="77" t="str">
        <f t="shared" ref="AC193:AD193" si="478">AC182</f>
        <v>NSLP</v>
      </c>
      <c r="AD193" s="77" t="str">
        <f t="shared" si="478"/>
        <v>Sloan Canyon</v>
      </c>
      <c r="AF193" s="77" t="str">
        <f>AF182</f>
        <v>Operating</v>
      </c>
      <c r="AG193" s="77" t="str">
        <f>AG182</f>
        <v>Weights</v>
      </c>
      <c r="AH193" s="77" t="str">
        <f>AH182</f>
        <v>SPED</v>
      </c>
      <c r="AI193" s="77" t="str">
        <f t="shared" ref="AI193:AJ193" si="479">AI182</f>
        <v>NSLP</v>
      </c>
      <c r="AJ193" s="77" t="str">
        <f t="shared" si="479"/>
        <v>Springs</v>
      </c>
      <c r="AL193" s="77" t="str">
        <f>AL182</f>
        <v>Operating</v>
      </c>
      <c r="AM193" s="77" t="str">
        <f>AM182</f>
        <v>Weights</v>
      </c>
      <c r="AN193" s="77" t="str">
        <f>AN182</f>
        <v>SPED</v>
      </c>
      <c r="AO193" s="77" t="str">
        <f t="shared" ref="AO193:AP193" si="480">AO182</f>
        <v>NSLP</v>
      </c>
      <c r="AP193" s="77" t="str">
        <f t="shared" si="480"/>
        <v>System Wide</v>
      </c>
      <c r="AR193" s="77" t="str">
        <f>AR182</f>
        <v>Operating</v>
      </c>
      <c r="AS193" s="77" t="str">
        <f>AS182</f>
        <v>Weights</v>
      </c>
      <c r="AT193" s="77" t="str">
        <f>AT182</f>
        <v>SPED</v>
      </c>
      <c r="AU193" s="77" t="str">
        <f t="shared" ref="AU193:AV193" si="481">AU182</f>
        <v>NSLP</v>
      </c>
      <c r="AV193" s="77" t="str">
        <f t="shared" si="481"/>
        <v>Virtual</v>
      </c>
      <c r="AX193" s="77" t="str">
        <f>AX182</f>
        <v>Operating</v>
      </c>
      <c r="AY193" s="77" t="str">
        <f>AY182</f>
        <v>Weights</v>
      </c>
      <c r="AZ193" s="77" t="str">
        <f>AZ182</f>
        <v>SPED</v>
      </c>
      <c r="BA193" s="77" t="str">
        <f t="shared" ref="BA193:BB193" si="482">BA182</f>
        <v>NSLP</v>
      </c>
      <c r="BB193" s="77" t="str">
        <f t="shared" si="482"/>
        <v>Pinecrest System</v>
      </c>
    </row>
    <row r="194" spans="1:54" x14ac:dyDescent="0.25">
      <c r="A194" s="62" t="s">
        <v>165</v>
      </c>
      <c r="B194" s="15">
        <f>'FY27'!B194*1.03</f>
        <v>95292.328907460018</v>
      </c>
      <c r="C194" s="61"/>
      <c r="D194" s="61"/>
      <c r="E194" s="61"/>
      <c r="F194" s="61">
        <f t="shared" ref="F194:F204" si="483">SUM(B194:E194)</f>
        <v>95292.328907460018</v>
      </c>
      <c r="H194" s="15">
        <f>'FY27'!H194*1.03</f>
        <v>248084.65190020003</v>
      </c>
      <c r="I194" s="61"/>
      <c r="J194" s="61"/>
      <c r="K194" s="61"/>
      <c r="L194" s="61">
        <f t="shared" ref="L194:L204" si="484">SUM(H194:K194)</f>
        <v>248084.65190020003</v>
      </c>
      <c r="N194" s="15">
        <f>'FY27'!N194*1.03</f>
        <v>70947.573347159996</v>
      </c>
      <c r="O194" s="61"/>
      <c r="P194" s="61"/>
      <c r="Q194" s="61"/>
      <c r="R194" s="61">
        <f t="shared" ref="R194:R204" si="485">SUM(N194:Q194)</f>
        <v>70947.573347159996</v>
      </c>
      <c r="T194" s="15">
        <f>'FY27'!T194*1.03</f>
        <v>85206.644461050033</v>
      </c>
      <c r="U194" s="61"/>
      <c r="V194" s="61"/>
      <c r="W194" s="61"/>
      <c r="X194" s="61">
        <f t="shared" ref="X194:X204" si="486">SUM(T194:W194)</f>
        <v>85206.644461050033</v>
      </c>
      <c r="Z194" s="15">
        <f>'FY27'!Z194*1.03</f>
        <v>242054.64694800004</v>
      </c>
      <c r="AA194" s="61"/>
      <c r="AB194" s="61"/>
      <c r="AC194" s="61"/>
      <c r="AD194" s="61">
        <f t="shared" ref="AD194:AD204" si="487">SUM(Z194:AC194)</f>
        <v>242054.64694800004</v>
      </c>
      <c r="AF194" s="15">
        <f>'FY27'!AF194*1.03</f>
        <v>85257.450720000008</v>
      </c>
      <c r="AG194" s="61"/>
      <c r="AH194" s="61"/>
      <c r="AI194" s="61"/>
      <c r="AJ194" s="61">
        <f t="shared" ref="AJ194:AJ204" si="488">SUM(AF194:AI194)</f>
        <v>85257.450720000008</v>
      </c>
      <c r="AL194" s="61">
        <v>0</v>
      </c>
      <c r="AM194" s="61"/>
      <c r="AN194" s="61"/>
      <c r="AO194" s="61"/>
      <c r="AP194" s="61">
        <f t="shared" ref="AP194:AP204" si="489">SUM(AL194:AO194)</f>
        <v>0</v>
      </c>
      <c r="AR194" s="61">
        <v>0</v>
      </c>
      <c r="AS194" s="61"/>
      <c r="AT194" s="61"/>
      <c r="AU194" s="61"/>
      <c r="AV194" s="61">
        <f t="shared" ref="AV194:AV204" si="490">SUM(AR194:AU194)</f>
        <v>0</v>
      </c>
      <c r="AX194" s="7">
        <f>B194+H194+N194+T194+Z194+AF194+AL194+AR194</f>
        <v>826843.29628387012</v>
      </c>
      <c r="AY194" s="7">
        <f t="shared" ref="AY194:BA204" si="491">C194+I194+O194+U194+AA194+AG194+AM194+AS194</f>
        <v>0</v>
      </c>
      <c r="AZ194" s="7">
        <f t="shared" si="491"/>
        <v>0</v>
      </c>
      <c r="BA194" s="7">
        <f t="shared" si="491"/>
        <v>0</v>
      </c>
      <c r="BB194" s="61">
        <f t="shared" ref="BB194:BB204" si="492">SUM(AX194:BA194)</f>
        <v>826843.29628387012</v>
      </c>
    </row>
    <row r="195" spans="1:54" x14ac:dyDescent="0.25">
      <c r="A195" s="62" t="s">
        <v>166</v>
      </c>
      <c r="B195" s="15">
        <f>'FY27'!B195*1.03</f>
        <v>6190.5235567620011</v>
      </c>
      <c r="C195" s="15"/>
      <c r="D195" s="15"/>
      <c r="E195" s="15"/>
      <c r="F195" s="61">
        <f t="shared" si="483"/>
        <v>6190.5235567620011</v>
      </c>
      <c r="H195" s="15">
        <f>'FY27'!H195*1.03</f>
        <v>0</v>
      </c>
      <c r="I195" s="15"/>
      <c r="J195" s="15"/>
      <c r="K195" s="15"/>
      <c r="L195" s="61">
        <f t="shared" si="484"/>
        <v>0</v>
      </c>
      <c r="N195" s="15">
        <f>'FY27'!N195*1.03</f>
        <v>0</v>
      </c>
      <c r="O195" s="15"/>
      <c r="P195" s="15"/>
      <c r="Q195" s="15"/>
      <c r="R195" s="61">
        <f t="shared" si="485"/>
        <v>0</v>
      </c>
      <c r="T195" s="15">
        <f>'FY27'!T195*1.03</f>
        <v>0</v>
      </c>
      <c r="U195" s="15"/>
      <c r="V195" s="15"/>
      <c r="W195" s="15"/>
      <c r="X195" s="61">
        <f t="shared" si="486"/>
        <v>0</v>
      </c>
      <c r="Z195" s="15">
        <f>'FY27'!Z195*1.03</f>
        <v>0</v>
      </c>
      <c r="AA195" s="15"/>
      <c r="AB195" s="15"/>
      <c r="AC195" s="15"/>
      <c r="AD195" s="61">
        <f t="shared" si="487"/>
        <v>0</v>
      </c>
      <c r="AF195" s="15">
        <f>'FY27'!AF195*1.03</f>
        <v>0</v>
      </c>
      <c r="AG195" s="15"/>
      <c r="AH195" s="15"/>
      <c r="AI195" s="15"/>
      <c r="AJ195" s="61">
        <f t="shared" si="488"/>
        <v>0</v>
      </c>
      <c r="AL195" s="61">
        <v>0</v>
      </c>
      <c r="AM195" s="15"/>
      <c r="AN195" s="15"/>
      <c r="AO195" s="15"/>
      <c r="AP195" s="61">
        <f t="shared" si="489"/>
        <v>0</v>
      </c>
      <c r="AR195" s="61">
        <v>0</v>
      </c>
      <c r="AS195" s="15"/>
      <c r="AT195" s="15"/>
      <c r="AU195" s="15"/>
      <c r="AV195" s="61">
        <f t="shared" si="490"/>
        <v>0</v>
      </c>
      <c r="AX195" s="7">
        <f t="shared" ref="AX195:AX204" si="493">B195+H195+N195+T195+Z195+AF195+AL195+AR195</f>
        <v>6190.5235567620011</v>
      </c>
      <c r="AY195" s="7">
        <f t="shared" si="491"/>
        <v>0</v>
      </c>
      <c r="AZ195" s="7">
        <f t="shared" si="491"/>
        <v>0</v>
      </c>
      <c r="BA195" s="7">
        <f t="shared" si="491"/>
        <v>0</v>
      </c>
      <c r="BB195" s="61">
        <f t="shared" si="492"/>
        <v>6190.5235567620011</v>
      </c>
    </row>
    <row r="196" spans="1:54" x14ac:dyDescent="0.25">
      <c r="A196" s="62" t="s">
        <v>167</v>
      </c>
      <c r="B196" s="15">
        <f>'FY27'!B196*1.03</f>
        <v>26083.666671750005</v>
      </c>
      <c r="C196" s="7"/>
      <c r="D196" s="7"/>
      <c r="E196" s="7"/>
      <c r="F196" s="61">
        <f t="shared" si="483"/>
        <v>26083.666671750005</v>
      </c>
      <c r="H196" s="15">
        <f>'FY27'!H196*1.03</f>
        <v>43542.334230708009</v>
      </c>
      <c r="I196" s="7"/>
      <c r="J196" s="7"/>
      <c r="K196" s="7"/>
      <c r="L196" s="61">
        <f t="shared" si="484"/>
        <v>43542.334230708009</v>
      </c>
      <c r="N196" s="15">
        <f>'FY27'!N196*1.03</f>
        <v>20866.933337400005</v>
      </c>
      <c r="O196" s="7"/>
      <c r="P196" s="7"/>
      <c r="Q196" s="7"/>
      <c r="R196" s="61">
        <f t="shared" si="485"/>
        <v>20866.933337400005</v>
      </c>
      <c r="T196" s="15">
        <f>'FY27'!T196*1.03</f>
        <v>18780.240003660005</v>
      </c>
      <c r="U196" s="7"/>
      <c r="V196" s="7"/>
      <c r="W196" s="7"/>
      <c r="X196" s="61">
        <f t="shared" si="486"/>
        <v>18780.240003660005</v>
      </c>
      <c r="Z196" s="15">
        <f>'FY27'!Z196*1.03</f>
        <v>42286.383904032002</v>
      </c>
      <c r="AA196" s="7"/>
      <c r="AB196" s="7"/>
      <c r="AC196" s="7"/>
      <c r="AD196" s="61">
        <f t="shared" si="487"/>
        <v>42286.383904032002</v>
      </c>
      <c r="AF196" s="15">
        <f>'FY27'!AF196*1.03</f>
        <v>22298.102496</v>
      </c>
      <c r="AG196" s="7"/>
      <c r="AH196" s="7"/>
      <c r="AI196" s="7"/>
      <c r="AJ196" s="61">
        <f t="shared" si="488"/>
        <v>22298.102496</v>
      </c>
      <c r="AL196" s="61">
        <v>0</v>
      </c>
      <c r="AM196" s="7"/>
      <c r="AN196" s="7"/>
      <c r="AO196" s="7"/>
      <c r="AP196" s="61">
        <f t="shared" si="489"/>
        <v>0</v>
      </c>
      <c r="AR196" s="61">
        <v>0</v>
      </c>
      <c r="AS196" s="7"/>
      <c r="AT196" s="7"/>
      <c r="AU196" s="7"/>
      <c r="AV196" s="61">
        <f t="shared" si="490"/>
        <v>0</v>
      </c>
      <c r="AX196" s="7">
        <f t="shared" si="493"/>
        <v>173857.66064355001</v>
      </c>
      <c r="AY196" s="7">
        <f t="shared" si="491"/>
        <v>0</v>
      </c>
      <c r="AZ196" s="7">
        <f t="shared" si="491"/>
        <v>0</v>
      </c>
      <c r="BA196" s="7">
        <f t="shared" si="491"/>
        <v>0</v>
      </c>
      <c r="BB196" s="61">
        <f t="shared" si="492"/>
        <v>173857.66064355001</v>
      </c>
    </row>
    <row r="197" spans="1:54" x14ac:dyDescent="0.25">
      <c r="A197" s="62" t="s">
        <v>168</v>
      </c>
      <c r="B197" s="15">
        <f>'FY27'!B197*1.03</f>
        <v>17876.006225706005</v>
      </c>
      <c r="C197" s="7"/>
      <c r="D197" s="7"/>
      <c r="E197" s="7"/>
      <c r="F197" s="61">
        <f t="shared" si="483"/>
        <v>17876.006225706005</v>
      </c>
      <c r="H197" s="15">
        <f>'FY27'!H197*1.03</f>
        <v>55645.155566400012</v>
      </c>
      <c r="I197" s="7"/>
      <c r="J197" s="7"/>
      <c r="K197" s="7"/>
      <c r="L197" s="61">
        <f t="shared" si="484"/>
        <v>55645.155566400012</v>
      </c>
      <c r="N197" s="15">
        <f>'FY27'!N197*1.03</f>
        <v>16693.546669920004</v>
      </c>
      <c r="O197" s="7"/>
      <c r="P197" s="7"/>
      <c r="Q197" s="7"/>
      <c r="R197" s="61">
        <f t="shared" si="485"/>
        <v>16693.546669920004</v>
      </c>
      <c r="T197" s="15">
        <f>'FY27'!T197*1.03</f>
        <v>34082.65778442</v>
      </c>
      <c r="U197" s="7"/>
      <c r="V197" s="7"/>
      <c r="W197" s="7"/>
      <c r="X197" s="61">
        <f t="shared" si="486"/>
        <v>34082.65778442</v>
      </c>
      <c r="Z197" s="15">
        <f>'FY27'!Z197*1.03</f>
        <v>54040.107225600012</v>
      </c>
      <c r="AA197" s="7"/>
      <c r="AB197" s="7"/>
      <c r="AC197" s="7"/>
      <c r="AD197" s="61">
        <f t="shared" si="487"/>
        <v>54040.107225600012</v>
      </c>
      <c r="AF197" s="15">
        <f>'FY27'!AF197*1.03</f>
        <v>13116.530880000002</v>
      </c>
      <c r="AG197" s="7"/>
      <c r="AH197" s="7"/>
      <c r="AI197" s="7"/>
      <c r="AJ197" s="61">
        <f t="shared" si="488"/>
        <v>13116.530880000002</v>
      </c>
      <c r="AL197" s="61">
        <v>0</v>
      </c>
      <c r="AM197" s="7"/>
      <c r="AN197" s="7"/>
      <c r="AO197" s="7"/>
      <c r="AP197" s="61">
        <f t="shared" si="489"/>
        <v>0</v>
      </c>
      <c r="AR197" s="61">
        <v>0</v>
      </c>
      <c r="AS197" s="7"/>
      <c r="AT197" s="7"/>
      <c r="AU197" s="7"/>
      <c r="AV197" s="61">
        <f t="shared" si="490"/>
        <v>0</v>
      </c>
      <c r="AX197" s="7">
        <f t="shared" si="493"/>
        <v>191454.00435204606</v>
      </c>
      <c r="AY197" s="7">
        <f t="shared" si="491"/>
        <v>0</v>
      </c>
      <c r="AZ197" s="7">
        <f t="shared" si="491"/>
        <v>0</v>
      </c>
      <c r="BA197" s="7">
        <f t="shared" si="491"/>
        <v>0</v>
      </c>
      <c r="BB197" s="61">
        <f t="shared" si="492"/>
        <v>191454.00435204606</v>
      </c>
    </row>
    <row r="198" spans="1:54" x14ac:dyDescent="0.25">
      <c r="A198" s="62" t="s">
        <v>169</v>
      </c>
      <c r="B198" s="15">
        <f>'FY27'!B198*1.03</f>
        <v>7535.2814829500003</v>
      </c>
      <c r="C198" s="7"/>
      <c r="D198" s="7"/>
      <c r="E198" s="7"/>
      <c r="F198" s="61">
        <f t="shared" si="483"/>
        <v>7535.2814829500003</v>
      </c>
      <c r="H198" s="15">
        <f>'FY27'!H198*1.03</f>
        <v>23765.118523150002</v>
      </c>
      <c r="I198" s="7"/>
      <c r="J198" s="7"/>
      <c r="K198" s="7"/>
      <c r="L198" s="61">
        <f t="shared" si="484"/>
        <v>23765.118523150002</v>
      </c>
      <c r="N198" s="15">
        <f>'FY27'!N198*1.03</f>
        <v>8114.9185201</v>
      </c>
      <c r="O198" s="7"/>
      <c r="P198" s="7"/>
      <c r="Q198" s="7"/>
      <c r="R198" s="61">
        <f t="shared" si="485"/>
        <v>8114.9185201</v>
      </c>
      <c r="T198" s="15">
        <f>'FY27'!T198*1.03</f>
        <v>9853.8296315500011</v>
      </c>
      <c r="U198" s="7"/>
      <c r="V198" s="7"/>
      <c r="W198" s="7"/>
      <c r="X198" s="61">
        <f t="shared" si="486"/>
        <v>9853.8296315500011</v>
      </c>
      <c r="Z198" s="15">
        <f>'FY27'!Z198*1.03</f>
        <v>22516.711344000003</v>
      </c>
      <c r="AA198" s="7"/>
      <c r="AB198" s="7"/>
      <c r="AC198" s="7"/>
      <c r="AD198" s="61">
        <f t="shared" si="487"/>
        <v>22516.711344000003</v>
      </c>
      <c r="AF198" s="15">
        <f>'FY27'!AF198*1.03</f>
        <v>6558.265440000001</v>
      </c>
      <c r="AG198" s="7"/>
      <c r="AH198" s="7"/>
      <c r="AI198" s="7"/>
      <c r="AJ198" s="61">
        <f t="shared" si="488"/>
        <v>6558.265440000001</v>
      </c>
      <c r="AL198" s="61">
        <v>0</v>
      </c>
      <c r="AM198" s="7"/>
      <c r="AN198" s="7"/>
      <c r="AO198" s="7"/>
      <c r="AP198" s="61">
        <f t="shared" si="489"/>
        <v>0</v>
      </c>
      <c r="AR198" s="61">
        <v>0</v>
      </c>
      <c r="AS198" s="7"/>
      <c r="AT198" s="7"/>
      <c r="AU198" s="7"/>
      <c r="AV198" s="61">
        <f t="shared" si="490"/>
        <v>0</v>
      </c>
      <c r="AX198" s="7">
        <f t="shared" si="493"/>
        <v>78344.124941750008</v>
      </c>
      <c r="AY198" s="7">
        <f t="shared" si="491"/>
        <v>0</v>
      </c>
      <c r="AZ198" s="7">
        <f t="shared" si="491"/>
        <v>0</v>
      </c>
      <c r="BA198" s="7">
        <f t="shared" si="491"/>
        <v>0</v>
      </c>
      <c r="BB198" s="61">
        <f t="shared" si="492"/>
        <v>78344.124941750008</v>
      </c>
    </row>
    <row r="199" spans="1:54" x14ac:dyDescent="0.25">
      <c r="A199" s="62" t="s">
        <v>170</v>
      </c>
      <c r="B199" s="15">
        <f>'FY27'!B199*1.03</f>
        <v>97166.005630047381</v>
      </c>
      <c r="C199" s="11"/>
      <c r="D199" s="11"/>
      <c r="E199" s="11"/>
      <c r="F199" s="61">
        <f t="shared" si="483"/>
        <v>97166.005630047381</v>
      </c>
      <c r="H199" s="15">
        <f>'FY26'!H199*1.03</f>
        <v>345124.38951062551</v>
      </c>
      <c r="I199" s="11"/>
      <c r="J199" s="11"/>
      <c r="K199" s="11"/>
      <c r="L199" s="61">
        <f t="shared" si="484"/>
        <v>345124.38951062551</v>
      </c>
      <c r="N199" s="15">
        <f>'FY26'!N199*1.03</f>
        <v>109849.33345844511</v>
      </c>
      <c r="O199" s="11"/>
      <c r="P199" s="11"/>
      <c r="Q199" s="11"/>
      <c r="R199" s="61">
        <f t="shared" si="485"/>
        <v>109849.33345844511</v>
      </c>
      <c r="T199" s="15">
        <f>'FY26'!T199*1.03</f>
        <v>126366.67046907154</v>
      </c>
      <c r="U199" s="11"/>
      <c r="V199" s="11"/>
      <c r="W199" s="11"/>
      <c r="X199" s="61">
        <f t="shared" si="486"/>
        <v>126366.67046907154</v>
      </c>
      <c r="Z199" s="15">
        <f>'FY26'!Z199*1.02</f>
        <v>287085.81796486571</v>
      </c>
      <c r="AA199" s="11"/>
      <c r="AB199" s="11"/>
      <c r="AC199" s="11"/>
      <c r="AD199" s="61">
        <f t="shared" si="487"/>
        <v>287085.81796486571</v>
      </c>
      <c r="AF199" s="15">
        <f>'FY26'!AF199*1.02</f>
        <v>86912.935199999993</v>
      </c>
      <c r="AG199" s="11"/>
      <c r="AH199" s="11"/>
      <c r="AI199" s="11"/>
      <c r="AJ199" s="61">
        <f t="shared" si="488"/>
        <v>86912.935199999993</v>
      </c>
      <c r="AL199" s="61">
        <v>0</v>
      </c>
      <c r="AM199" s="11"/>
      <c r="AN199" s="11"/>
      <c r="AO199" s="11"/>
      <c r="AP199" s="61">
        <f t="shared" si="489"/>
        <v>0</v>
      </c>
      <c r="AR199" s="61">
        <v>0</v>
      </c>
      <c r="AS199" s="11"/>
      <c r="AT199" s="11"/>
      <c r="AU199" s="11"/>
      <c r="AV199" s="61">
        <f t="shared" si="490"/>
        <v>0</v>
      </c>
      <c r="AX199" s="7">
        <f t="shared" si="493"/>
        <v>1052505.1522330553</v>
      </c>
      <c r="AY199" s="7">
        <f t="shared" si="491"/>
        <v>0</v>
      </c>
      <c r="AZ199" s="7">
        <f t="shared" si="491"/>
        <v>0</v>
      </c>
      <c r="BA199" s="7">
        <f t="shared" si="491"/>
        <v>0</v>
      </c>
      <c r="BB199" s="61">
        <f t="shared" si="492"/>
        <v>1052505.1522330553</v>
      </c>
    </row>
    <row r="200" spans="1:54" x14ac:dyDescent="0.25">
      <c r="A200" s="62" t="s">
        <v>171</v>
      </c>
      <c r="B200" s="15">
        <f>32*B19</f>
        <v>29952</v>
      </c>
      <c r="C200" s="7"/>
      <c r="D200" s="7"/>
      <c r="E200" s="7"/>
      <c r="F200" s="61">
        <f t="shared" si="483"/>
        <v>29952</v>
      </c>
      <c r="H200" s="15">
        <f>32*H19</f>
        <v>78528</v>
      </c>
      <c r="I200" s="7"/>
      <c r="J200" s="7"/>
      <c r="K200" s="7"/>
      <c r="L200" s="61">
        <f t="shared" si="484"/>
        <v>78528</v>
      </c>
      <c r="N200" s="15">
        <f>32*N19</f>
        <v>32512</v>
      </c>
      <c r="O200" s="7"/>
      <c r="P200" s="7"/>
      <c r="Q200" s="7"/>
      <c r="R200" s="61">
        <f t="shared" si="485"/>
        <v>32512</v>
      </c>
      <c r="T200" s="15">
        <f>32*T19</f>
        <v>38880</v>
      </c>
      <c r="U200" s="7"/>
      <c r="V200" s="7"/>
      <c r="W200" s="7"/>
      <c r="X200" s="61">
        <f t="shared" si="486"/>
        <v>38880</v>
      </c>
      <c r="Z200" s="15">
        <f>32*Z19</f>
        <v>77696</v>
      </c>
      <c r="AA200" s="7"/>
      <c r="AB200" s="7"/>
      <c r="AC200" s="7"/>
      <c r="AD200" s="61">
        <f t="shared" si="487"/>
        <v>77696</v>
      </c>
      <c r="AF200" s="15">
        <f>32*AF19</f>
        <v>38400</v>
      </c>
      <c r="AG200" s="7"/>
      <c r="AH200" s="7"/>
      <c r="AI200" s="7"/>
      <c r="AJ200" s="61">
        <f t="shared" si="488"/>
        <v>38400</v>
      </c>
      <c r="AL200" s="61">
        <v>0</v>
      </c>
      <c r="AM200" s="7"/>
      <c r="AN200" s="7"/>
      <c r="AO200" s="7"/>
      <c r="AP200" s="61">
        <f t="shared" si="489"/>
        <v>0</v>
      </c>
      <c r="AR200" s="61">
        <v>0</v>
      </c>
      <c r="AS200" s="7"/>
      <c r="AT200" s="7"/>
      <c r="AU200" s="7"/>
      <c r="AV200" s="61">
        <f t="shared" si="490"/>
        <v>0</v>
      </c>
      <c r="AX200" s="7">
        <f t="shared" si="493"/>
        <v>295968</v>
      </c>
      <c r="AY200" s="7">
        <f t="shared" si="491"/>
        <v>0</v>
      </c>
      <c r="AZ200" s="7">
        <f t="shared" si="491"/>
        <v>0</v>
      </c>
      <c r="BA200" s="7">
        <f t="shared" si="491"/>
        <v>0</v>
      </c>
      <c r="BB200" s="61">
        <f t="shared" si="492"/>
        <v>295968</v>
      </c>
    </row>
    <row r="201" spans="1:54" x14ac:dyDescent="0.25">
      <c r="A201" s="62" t="s">
        <v>173</v>
      </c>
      <c r="B201" s="15">
        <f>'FY27'!B201+2500</f>
        <v>67500</v>
      </c>
      <c r="C201" s="7"/>
      <c r="D201" s="7"/>
      <c r="E201" s="7">
        <v>0</v>
      </c>
      <c r="F201" s="61">
        <f t="shared" si="483"/>
        <v>67500</v>
      </c>
      <c r="H201" s="15">
        <f>'FY27'!H201+2500</f>
        <v>117500</v>
      </c>
      <c r="I201" s="7"/>
      <c r="J201" s="7"/>
      <c r="K201" s="7">
        <v>0</v>
      </c>
      <c r="L201" s="61">
        <f t="shared" si="484"/>
        <v>117500</v>
      </c>
      <c r="N201" s="15">
        <f>'FY27'!N201+2500</f>
        <v>70000</v>
      </c>
      <c r="O201" s="7"/>
      <c r="P201" s="7"/>
      <c r="Q201" s="7">
        <v>0</v>
      </c>
      <c r="R201" s="61">
        <f t="shared" si="485"/>
        <v>70000</v>
      </c>
      <c r="T201" s="15">
        <f>'FY27'!T201+2500</f>
        <v>72500</v>
      </c>
      <c r="U201" s="7"/>
      <c r="V201" s="7"/>
      <c r="W201" s="7">
        <v>0</v>
      </c>
      <c r="X201" s="61">
        <f t="shared" si="486"/>
        <v>72500</v>
      </c>
      <c r="Z201" s="15">
        <f>'FY27'!Z201+2500</f>
        <v>74000</v>
      </c>
      <c r="AA201" s="7"/>
      <c r="AB201" s="7"/>
      <c r="AC201" s="7">
        <v>0</v>
      </c>
      <c r="AD201" s="61">
        <f t="shared" si="487"/>
        <v>74000</v>
      </c>
      <c r="AF201" s="15">
        <f>'FY27'!AF201+2500</f>
        <v>40000</v>
      </c>
      <c r="AG201" s="7"/>
      <c r="AH201" s="7"/>
      <c r="AI201" s="7">
        <v>0</v>
      </c>
      <c r="AJ201" s="61">
        <f t="shared" si="488"/>
        <v>40000</v>
      </c>
      <c r="AL201" s="61">
        <v>0</v>
      </c>
      <c r="AM201" s="7"/>
      <c r="AN201" s="7"/>
      <c r="AO201" s="7">
        <v>0</v>
      </c>
      <c r="AP201" s="61">
        <f t="shared" si="489"/>
        <v>0</v>
      </c>
      <c r="AR201" s="61">
        <v>0</v>
      </c>
      <c r="AS201" s="7"/>
      <c r="AT201" s="7"/>
      <c r="AU201" s="7">
        <v>0</v>
      </c>
      <c r="AV201" s="61">
        <f t="shared" si="490"/>
        <v>0</v>
      </c>
      <c r="AX201" s="7">
        <f t="shared" si="493"/>
        <v>441500</v>
      </c>
      <c r="AY201" s="7">
        <f t="shared" si="491"/>
        <v>0</v>
      </c>
      <c r="AZ201" s="7">
        <f t="shared" si="491"/>
        <v>0</v>
      </c>
      <c r="BA201" s="7">
        <f t="shared" si="491"/>
        <v>0</v>
      </c>
      <c r="BB201" s="61">
        <f t="shared" si="492"/>
        <v>441500</v>
      </c>
    </row>
    <row r="202" spans="1:54" x14ac:dyDescent="0.25">
      <c r="A202" s="62" t="s">
        <v>174</v>
      </c>
      <c r="B202" s="15">
        <f>'FY27'!B202*1.03</f>
        <v>13633.063113768003</v>
      </c>
      <c r="C202" s="11"/>
      <c r="D202" s="11"/>
      <c r="E202" s="11"/>
      <c r="F202" s="61">
        <f t="shared" si="483"/>
        <v>13633.063113768003</v>
      </c>
      <c r="H202" s="15">
        <f>'FY27'!H202*1.03</f>
        <v>37004.028451656006</v>
      </c>
      <c r="I202" s="11"/>
      <c r="J202" s="11"/>
      <c r="K202" s="11"/>
      <c r="L202" s="61">
        <f t="shared" si="484"/>
        <v>37004.028451656006</v>
      </c>
      <c r="N202" s="15">
        <f>'FY27'!N202*1.03</f>
        <v>19232.356892637006</v>
      </c>
      <c r="O202" s="11"/>
      <c r="P202" s="11"/>
      <c r="Q202" s="11"/>
      <c r="R202" s="61">
        <f t="shared" si="485"/>
        <v>19232.356892637006</v>
      </c>
      <c r="T202" s="15">
        <f>'FY27'!T202*1.03</f>
        <v>15458.919780790502</v>
      </c>
      <c r="U202" s="11"/>
      <c r="V202" s="11"/>
      <c r="W202" s="11"/>
      <c r="X202" s="61">
        <f t="shared" si="486"/>
        <v>15458.919780790502</v>
      </c>
      <c r="Z202" s="15">
        <f>'FY27'!Z202*1.03</f>
        <v>30664.383343826405</v>
      </c>
      <c r="AA202" s="11"/>
      <c r="AB202" s="11"/>
      <c r="AC202" s="11"/>
      <c r="AD202" s="61">
        <f t="shared" si="487"/>
        <v>30664.383343826405</v>
      </c>
      <c r="AF202" s="15">
        <f>'FY27'!AF202*1.03</f>
        <v>13116.530880000002</v>
      </c>
      <c r="AG202" s="11"/>
      <c r="AH202" s="11"/>
      <c r="AI202" s="11"/>
      <c r="AJ202" s="61">
        <f t="shared" si="488"/>
        <v>13116.530880000002</v>
      </c>
      <c r="AL202" s="61">
        <v>0</v>
      </c>
      <c r="AM202" s="11"/>
      <c r="AN202" s="11"/>
      <c r="AO202" s="11"/>
      <c r="AP202" s="61">
        <f t="shared" si="489"/>
        <v>0</v>
      </c>
      <c r="AR202" s="61">
        <v>0</v>
      </c>
      <c r="AS202" s="11"/>
      <c r="AT202" s="11"/>
      <c r="AU202" s="11"/>
      <c r="AV202" s="61">
        <f t="shared" si="490"/>
        <v>0</v>
      </c>
      <c r="AX202" s="7">
        <f t="shared" si="493"/>
        <v>129109.28246267792</v>
      </c>
      <c r="AY202" s="7">
        <f t="shared" si="491"/>
        <v>0</v>
      </c>
      <c r="AZ202" s="7">
        <f t="shared" si="491"/>
        <v>0</v>
      </c>
      <c r="BA202" s="7">
        <f t="shared" si="491"/>
        <v>0</v>
      </c>
      <c r="BB202" s="61">
        <f t="shared" si="492"/>
        <v>129109.28246267792</v>
      </c>
    </row>
    <row r="203" spans="1:54" x14ac:dyDescent="0.25">
      <c r="A203" s="62" t="s">
        <v>175</v>
      </c>
      <c r="B203" s="15">
        <f>'FY27'!B203*1.03</f>
        <v>0</v>
      </c>
      <c r="C203" s="7"/>
      <c r="D203" s="7"/>
      <c r="E203" s="7"/>
      <c r="F203" s="61">
        <f t="shared" si="483"/>
        <v>0</v>
      </c>
      <c r="H203" s="15">
        <f>'FY27'!H203*1.03</f>
        <v>0</v>
      </c>
      <c r="I203" s="7"/>
      <c r="J203" s="7"/>
      <c r="K203" s="7"/>
      <c r="L203" s="61">
        <f t="shared" si="484"/>
        <v>0</v>
      </c>
      <c r="N203" s="15">
        <f>'FY27'!N203*1.03</f>
        <v>0</v>
      </c>
      <c r="O203" s="7"/>
      <c r="P203" s="7"/>
      <c r="Q203" s="7"/>
      <c r="R203" s="61">
        <f t="shared" si="485"/>
        <v>0</v>
      </c>
      <c r="T203" s="15">
        <f>'FY27'!T203*1.03</f>
        <v>0</v>
      </c>
      <c r="U203" s="7"/>
      <c r="V203" s="7"/>
      <c r="W203" s="7"/>
      <c r="X203" s="61">
        <f t="shared" si="486"/>
        <v>0</v>
      </c>
      <c r="Z203" s="15">
        <f>'FY27'!Z203*1.03</f>
        <v>0</v>
      </c>
      <c r="AA203" s="7"/>
      <c r="AB203" s="7"/>
      <c r="AC203" s="7"/>
      <c r="AD203" s="61">
        <f t="shared" si="487"/>
        <v>0</v>
      </c>
      <c r="AF203" s="15">
        <f>'FY27'!AF203*1.03</f>
        <v>0</v>
      </c>
      <c r="AG203" s="7"/>
      <c r="AH203" s="7"/>
      <c r="AI203" s="7"/>
      <c r="AJ203" s="61">
        <f t="shared" si="488"/>
        <v>0</v>
      </c>
      <c r="AL203" s="61">
        <v>0</v>
      </c>
      <c r="AM203" s="7"/>
      <c r="AN203" s="7"/>
      <c r="AO203" s="7"/>
      <c r="AP203" s="61">
        <f t="shared" si="489"/>
        <v>0</v>
      </c>
      <c r="AR203" s="61">
        <v>0</v>
      </c>
      <c r="AS203" s="7"/>
      <c r="AT203" s="7"/>
      <c r="AU203" s="7"/>
      <c r="AV203" s="61">
        <f t="shared" si="490"/>
        <v>0</v>
      </c>
      <c r="AX203" s="7">
        <f t="shared" si="493"/>
        <v>0</v>
      </c>
      <c r="AY203" s="7">
        <f t="shared" si="491"/>
        <v>0</v>
      </c>
      <c r="AZ203" s="7">
        <f t="shared" si="491"/>
        <v>0</v>
      </c>
      <c r="BA203" s="7">
        <f t="shared" si="491"/>
        <v>0</v>
      </c>
      <c r="BB203" s="61">
        <f t="shared" si="492"/>
        <v>0</v>
      </c>
    </row>
    <row r="204" spans="1:54" ht="15.75" thickBot="1" x14ac:dyDescent="0.3">
      <c r="A204" s="62" t="s">
        <v>176</v>
      </c>
      <c r="B204" s="15">
        <f>'FY27'!B204*1.03</f>
        <v>15147.306909618663</v>
      </c>
      <c r="C204" s="86"/>
      <c r="D204" s="86"/>
      <c r="E204" s="86"/>
      <c r="F204" s="61">
        <f t="shared" si="483"/>
        <v>15147.306909618663</v>
      </c>
      <c r="H204" s="15">
        <f>'FY27'!H204*1.03</f>
        <v>56601.55667769751</v>
      </c>
      <c r="I204" s="86"/>
      <c r="J204" s="86"/>
      <c r="K204" s="86"/>
      <c r="L204" s="61">
        <f t="shared" si="484"/>
        <v>56601.55667769751</v>
      </c>
      <c r="N204" s="15">
        <f>'FY27'!N204*1.03</f>
        <v>17528.224003416002</v>
      </c>
      <c r="O204" s="86"/>
      <c r="P204" s="86"/>
      <c r="Q204" s="86"/>
      <c r="R204" s="61">
        <f t="shared" si="485"/>
        <v>17528.224003416002</v>
      </c>
      <c r="T204" s="15">
        <f>'FY27'!T204*1.03</f>
        <v>20936.489781857999</v>
      </c>
      <c r="U204" s="86"/>
      <c r="V204" s="86"/>
      <c r="W204" s="86"/>
      <c r="X204" s="61">
        <f t="shared" si="486"/>
        <v>20936.489781857999</v>
      </c>
      <c r="Z204" s="15">
        <f>'FY27'!Z204*1.03</f>
        <v>54023.219692092011</v>
      </c>
      <c r="AA204" s="86"/>
      <c r="AB204" s="86"/>
      <c r="AC204" s="86"/>
      <c r="AD204" s="61">
        <f t="shared" si="487"/>
        <v>54023.219692092011</v>
      </c>
      <c r="AF204" s="15">
        <f>'FY27'!AF204*1.03</f>
        <v>13663.053</v>
      </c>
      <c r="AG204" s="86"/>
      <c r="AH204" s="86"/>
      <c r="AI204" s="86"/>
      <c r="AJ204" s="61">
        <f t="shared" si="488"/>
        <v>13663.053</v>
      </c>
      <c r="AL204" s="61">
        <v>0</v>
      </c>
      <c r="AM204" s="86"/>
      <c r="AN204" s="86"/>
      <c r="AO204" s="86"/>
      <c r="AP204" s="61">
        <f t="shared" si="489"/>
        <v>0</v>
      </c>
      <c r="AR204" s="61">
        <v>0</v>
      </c>
      <c r="AS204" s="86"/>
      <c r="AT204" s="86"/>
      <c r="AU204" s="86"/>
      <c r="AV204" s="61">
        <f t="shared" si="490"/>
        <v>0</v>
      </c>
      <c r="AX204" s="7">
        <f t="shared" si="493"/>
        <v>177899.85006468219</v>
      </c>
      <c r="AY204" s="7">
        <f t="shared" si="491"/>
        <v>0</v>
      </c>
      <c r="AZ204" s="7">
        <f t="shared" si="491"/>
        <v>0</v>
      </c>
      <c r="BA204" s="7">
        <f t="shared" si="491"/>
        <v>0</v>
      </c>
      <c r="BB204" s="61">
        <f t="shared" si="492"/>
        <v>177899.85006468219</v>
      </c>
    </row>
    <row r="205" spans="1:54" ht="15.75" thickBot="1" x14ac:dyDescent="0.3">
      <c r="A205" s="95" t="s">
        <v>177</v>
      </c>
      <c r="B205" s="90">
        <f>SUM(B194:B204)</f>
        <v>376376.18249806209</v>
      </c>
      <c r="C205" s="90">
        <f>SUM(C194:C204)</f>
        <v>0</v>
      </c>
      <c r="D205" s="90">
        <f>SUM(D194:D204)</f>
        <v>0</v>
      </c>
      <c r="E205" s="90">
        <f t="shared" ref="E205:F205" si="494">SUM(E194:E204)</f>
        <v>0</v>
      </c>
      <c r="F205" s="90">
        <f t="shared" si="494"/>
        <v>376376.18249806209</v>
      </c>
      <c r="H205" s="90">
        <f>SUM(H194:H204)</f>
        <v>1005795.234860437</v>
      </c>
      <c r="I205" s="90">
        <f>SUM(I194:I204)</f>
        <v>0</v>
      </c>
      <c r="J205" s="90">
        <f>SUM(J194:J204)</f>
        <v>0</v>
      </c>
      <c r="K205" s="90">
        <f t="shared" ref="K205:L205" si="495">SUM(K194:K204)</f>
        <v>0</v>
      </c>
      <c r="L205" s="90">
        <f t="shared" si="495"/>
        <v>1005795.234860437</v>
      </c>
      <c r="N205" s="90">
        <f>SUM(N194:N204)</f>
        <v>365744.88622907817</v>
      </c>
      <c r="O205" s="90">
        <f>SUM(O194:O204)</f>
        <v>0</v>
      </c>
      <c r="P205" s="90">
        <f>SUM(P194:P204)</f>
        <v>0</v>
      </c>
      <c r="Q205" s="90">
        <f t="shared" ref="Q205:R205" si="496">SUM(Q194:Q204)</f>
        <v>0</v>
      </c>
      <c r="R205" s="90">
        <f t="shared" si="496"/>
        <v>365744.88622907817</v>
      </c>
      <c r="T205" s="90">
        <f>SUM(T194:T204)</f>
        <v>422065.45191240008</v>
      </c>
      <c r="U205" s="90">
        <f>SUM(U194:U204)</f>
        <v>0</v>
      </c>
      <c r="V205" s="90">
        <f>SUM(V194:V204)</f>
        <v>0</v>
      </c>
      <c r="W205" s="90">
        <f t="shared" ref="W205:X205" si="497">SUM(W194:W204)</f>
        <v>0</v>
      </c>
      <c r="X205" s="90">
        <f t="shared" si="497"/>
        <v>422065.45191240008</v>
      </c>
      <c r="Z205" s="90">
        <f>SUM(Z194:Z204)</f>
        <v>884367.27042241616</v>
      </c>
      <c r="AA205" s="90">
        <f>SUM(AA194:AA204)</f>
        <v>0</v>
      </c>
      <c r="AB205" s="90">
        <f>SUM(AB194:AB204)</f>
        <v>0</v>
      </c>
      <c r="AC205" s="90">
        <f t="shared" ref="AC205:AD205" si="498">SUM(AC194:AC204)</f>
        <v>0</v>
      </c>
      <c r="AD205" s="90">
        <f t="shared" si="498"/>
        <v>884367.27042241616</v>
      </c>
      <c r="AF205" s="90">
        <f>SUM(AF194:AF204)</f>
        <v>319322.86861599999</v>
      </c>
      <c r="AG205" s="90">
        <f>SUM(AG194:AG204)</f>
        <v>0</v>
      </c>
      <c r="AH205" s="90">
        <f>SUM(AH194:AH204)</f>
        <v>0</v>
      </c>
      <c r="AI205" s="90">
        <f t="shared" ref="AI205:AJ205" si="499">SUM(AI194:AI204)</f>
        <v>0</v>
      </c>
      <c r="AJ205" s="90">
        <f t="shared" si="499"/>
        <v>319322.86861599999</v>
      </c>
      <c r="AL205" s="90">
        <f>SUM(AL194:AL204)</f>
        <v>0</v>
      </c>
      <c r="AM205" s="90">
        <f>SUM(AM194:AM204)</f>
        <v>0</v>
      </c>
      <c r="AN205" s="90">
        <f>SUM(AN194:AN204)</f>
        <v>0</v>
      </c>
      <c r="AO205" s="90">
        <f t="shared" ref="AO205:AP205" si="500">SUM(AO194:AO204)</f>
        <v>0</v>
      </c>
      <c r="AP205" s="90">
        <f t="shared" si="500"/>
        <v>0</v>
      </c>
      <c r="AR205" s="90">
        <f>SUM(AR194:AR204)</f>
        <v>0</v>
      </c>
      <c r="AS205" s="90">
        <f>SUM(AS194:AS204)</f>
        <v>0</v>
      </c>
      <c r="AT205" s="90">
        <f>SUM(AT194:AT204)</f>
        <v>0</v>
      </c>
      <c r="AU205" s="90">
        <f t="shared" ref="AU205:AV205" si="501">SUM(AU194:AU204)</f>
        <v>0</v>
      </c>
      <c r="AV205" s="90">
        <f t="shared" si="501"/>
        <v>0</v>
      </c>
      <c r="AX205" s="90">
        <f>SUM(AX194:AX204)</f>
        <v>3373671.8945383937</v>
      </c>
      <c r="AY205" s="90">
        <f>SUM(AY194:AY204)</f>
        <v>0</v>
      </c>
      <c r="AZ205" s="90">
        <f>SUM(AZ194:AZ204)</f>
        <v>0</v>
      </c>
      <c r="BA205" s="90">
        <f t="shared" ref="BA205:BB205" si="502">SUM(BA194:BA204)</f>
        <v>0</v>
      </c>
      <c r="BB205" s="90">
        <f t="shared" si="502"/>
        <v>3373671.8945383937</v>
      </c>
    </row>
    <row r="206" spans="1:54" ht="15.75" thickBot="1" x14ac:dyDescent="0.3">
      <c r="A206" s="102"/>
      <c r="B206" s="103"/>
      <c r="C206" s="103"/>
      <c r="D206" s="103"/>
      <c r="E206" s="103"/>
      <c r="F206" s="103"/>
      <c r="H206" s="103"/>
      <c r="I206" s="103"/>
      <c r="J206" s="103"/>
      <c r="K206" s="103"/>
      <c r="L206" s="103"/>
      <c r="N206" s="103"/>
      <c r="O206" s="103"/>
      <c r="P206" s="103"/>
      <c r="Q206" s="103"/>
      <c r="R206" s="103"/>
      <c r="T206" s="103"/>
      <c r="U206" s="103"/>
      <c r="V206" s="103"/>
      <c r="W206" s="103"/>
      <c r="X206" s="103"/>
      <c r="Z206" s="103"/>
      <c r="AA206" s="103"/>
      <c r="AB206" s="103"/>
      <c r="AC206" s="103"/>
      <c r="AD206" s="103"/>
      <c r="AF206" s="103"/>
      <c r="AG206" s="103"/>
      <c r="AH206" s="103"/>
      <c r="AI206" s="103"/>
      <c r="AJ206" s="103"/>
      <c r="AL206" s="103"/>
      <c r="AM206" s="103"/>
      <c r="AN206" s="103"/>
      <c r="AO206" s="103"/>
      <c r="AP206" s="103"/>
      <c r="AR206" s="103"/>
      <c r="AS206" s="103"/>
      <c r="AT206" s="103"/>
      <c r="AU206" s="103"/>
      <c r="AV206" s="103"/>
      <c r="AX206" s="103"/>
      <c r="AY206" s="103"/>
      <c r="AZ206" s="103"/>
      <c r="BA206" s="103"/>
      <c r="BB206" s="103"/>
    </row>
    <row r="207" spans="1:54" ht="15.75" thickBot="1" x14ac:dyDescent="0.3">
      <c r="A207" s="95" t="s">
        <v>178</v>
      </c>
      <c r="B207" s="104">
        <f>B139+B151+B167+B176+B181+B192+B205</f>
        <v>5704294.7843259014</v>
      </c>
      <c r="C207" s="104">
        <f>C139+C151+C167+C176+C181+C192+C205</f>
        <v>220091.63632138178</v>
      </c>
      <c r="D207" s="104">
        <f>D139+D151+D167+D176+D181+D192+D205</f>
        <v>885026.10264897766</v>
      </c>
      <c r="E207" s="104">
        <f>E139+E151+E167+E176+E181+E192+E205</f>
        <v>236415.06</v>
      </c>
      <c r="F207" s="104">
        <f>F139+F151+F167+F176+F181+F192+F205</f>
        <v>7045827.5832962608</v>
      </c>
      <c r="H207" s="104">
        <f>H139+H151+H167+H176+H181+H192+H205</f>
        <v>14479343.733806212</v>
      </c>
      <c r="I207" s="104">
        <f>I139+I151+I167+I176+I181+I192+I205</f>
        <v>434080.45774309686</v>
      </c>
      <c r="J207" s="104">
        <f>J139+J151+J167+J176+J181+J192+J205</f>
        <v>2407576.318496027</v>
      </c>
      <c r="K207" s="104">
        <f>K139+K151+K167+K176+K181+K192+K205</f>
        <v>651940.80000000005</v>
      </c>
      <c r="L207" s="104">
        <f>L139+L151+L167+L176+L181+L192+L205</f>
        <v>17972941.310045332</v>
      </c>
      <c r="N207" s="104">
        <f>N139+N151+N167+N176+N181+N192+N205</f>
        <v>5882343.0172626916</v>
      </c>
      <c r="O207" s="104">
        <f>O139+O151+O167+O176+O181+O192+O205</f>
        <v>304051.10143507447</v>
      </c>
      <c r="P207" s="104">
        <f>P139+P151+P167+P176+P181+P192+P205</f>
        <v>807217.18869695999</v>
      </c>
      <c r="Q207" s="104">
        <f>Q139+Q151+Q167+Q176+Q181+Q192+Q205</f>
        <v>205364.40000000002</v>
      </c>
      <c r="R207" s="104">
        <f>R139+R151+R167+R176+R181+R192+R205</f>
        <v>7198975.7073947256</v>
      </c>
      <c r="T207" s="104">
        <f>T139+T151+T167+T176+T181+T192+T205</f>
        <v>7192053.3716518385</v>
      </c>
      <c r="U207" s="104">
        <f>U139+U151+U167+U176+U181+U192+U205</f>
        <v>194111.21886630001</v>
      </c>
      <c r="V207" s="104">
        <f>V139+V151+V167+V176+V181+V192+V205</f>
        <v>965015.2329965746</v>
      </c>
      <c r="W207" s="104">
        <f>W139+W151+W167+W176+W181+W192+W205</f>
        <v>136446</v>
      </c>
      <c r="X207" s="104">
        <f>X139+X151+X167+X176+X181+X192+X205</f>
        <v>8487625.823514713</v>
      </c>
      <c r="Z207" s="104">
        <f>Z139+Z151+Z167+Z176+Z181+Z192+Z205</f>
        <v>13118475.09197809</v>
      </c>
      <c r="AA207" s="104">
        <f>AA139+AA151+AA167+AA176+AA181+AA192+AA205</f>
        <v>273337.91211581999</v>
      </c>
      <c r="AB207" s="104">
        <f>AB139+AB151+AB167+AB176+AB181+AB192+AB205</f>
        <v>1943960.6996996077</v>
      </c>
      <c r="AC207" s="104">
        <f>AC139+AC151+AC167+AC176+AC181+AC192+AC205</f>
        <v>393446.76000000007</v>
      </c>
      <c r="AD207" s="104">
        <f>AD139+AD151+AD167+AD176+AD181+AD192+AD205</f>
        <v>15729220.46379352</v>
      </c>
      <c r="AF207" s="104">
        <f>AF139+AF151+AF167+AF176+AF181+AF192+AF205</f>
        <v>6896917.5120636579</v>
      </c>
      <c r="AG207" s="104">
        <f>AG139+AG151+AG167+AG176+AG181+AG192+AG205</f>
        <v>473633.03096999996</v>
      </c>
      <c r="AH207" s="104">
        <f>AH139+AH151+AH167+AH176+AH181+AH192+AH205</f>
        <v>878955.9</v>
      </c>
      <c r="AI207" s="104">
        <f>AI139+AI151+AI167+AI176+AI181+AI192+AI205</f>
        <v>507437.99999999994</v>
      </c>
      <c r="AJ207" s="104">
        <f>AJ139+AJ151+AJ167+AJ176+AJ181+AJ192+AJ205</f>
        <v>8756944.443033658</v>
      </c>
      <c r="AL207" s="104">
        <f>AL139+AL151+AL167+AL176+AL181+AL192+AL205</f>
        <v>246558.79028796256</v>
      </c>
      <c r="AM207" s="104">
        <f>AM139+AM151+AM167+AM176+AM181+AM192+AM205</f>
        <v>43139.852440875693</v>
      </c>
      <c r="AN207" s="104">
        <f>AN139+AN151+AN167+AN176+AN181+AN192+AN205</f>
        <v>0</v>
      </c>
      <c r="AO207" s="104">
        <f>AO139+AO151+AO167+AO176+AO181+AO192+AO205</f>
        <v>0</v>
      </c>
      <c r="AP207" s="104">
        <f>AP139+AP151+AP167+AP176+AP181+AP192+AP205</f>
        <v>289698.64272883825</v>
      </c>
      <c r="AR207" s="104">
        <f>AR139+AR151+AR167+AR176+AR181+AR192+AR205</f>
        <v>2462620.6524999999</v>
      </c>
      <c r="AS207" s="104">
        <f>AS139+AS151+AS167+AS176+AS181+AS192+AS205</f>
        <v>8687.17965</v>
      </c>
      <c r="AT207" s="104">
        <f>AT139+AT151+AT167+AT176+AT181+AT192+AT205</f>
        <v>236259.5</v>
      </c>
      <c r="AU207" s="104">
        <f>AU139+AU151+AU167+AU176+AU181+AU192+AU205</f>
        <v>98164.000000000015</v>
      </c>
      <c r="AV207" s="104">
        <f>AV139+AV151+AV167+AV176+AV181+AV192+AV205</f>
        <v>2805731.3321500001</v>
      </c>
      <c r="AX207" s="104">
        <f>AX139+AX151+AX167+AX176+AX181+AX192+AX205</f>
        <v>55982606.953876354</v>
      </c>
      <c r="AY207" s="104">
        <f>AY139+AY151+AY167+AY176+AY181+AY192+AY205</f>
        <v>1951132.3895425487</v>
      </c>
      <c r="AZ207" s="104">
        <f>AZ139+AZ151+AZ167+AZ176+AZ181+AZ192+AZ205</f>
        <v>8124010.9425381469</v>
      </c>
      <c r="BA207" s="104">
        <f>BA139+BA151+BA167+BA176+BA181+BA192+BA205</f>
        <v>2229215.0200000005</v>
      </c>
      <c r="BB207" s="104">
        <f>BB139+BB151+BB167+BB176+BB181+BB192+BB205</f>
        <v>68286965.305957049</v>
      </c>
    </row>
    <row r="208" spans="1:54" x14ac:dyDescent="0.25">
      <c r="A208" s="105"/>
      <c r="B208" s="61"/>
      <c r="C208" s="61"/>
      <c r="D208" s="61"/>
      <c r="E208" s="61"/>
      <c r="F208" s="61"/>
      <c r="H208" s="61"/>
      <c r="I208" s="61"/>
      <c r="J208" s="61"/>
      <c r="K208" s="61"/>
      <c r="L208" s="61"/>
      <c r="N208" s="61"/>
      <c r="O208" s="61"/>
      <c r="P208" s="61"/>
      <c r="Q208" s="61"/>
      <c r="R208" s="61"/>
      <c r="T208" s="61"/>
      <c r="U208" s="61"/>
      <c r="V208" s="61"/>
      <c r="W208" s="61"/>
      <c r="X208" s="61"/>
      <c r="Z208" s="61"/>
      <c r="AA208" s="61"/>
      <c r="AB208" s="61"/>
      <c r="AC208" s="61"/>
      <c r="AD208" s="61"/>
      <c r="AF208" s="61"/>
      <c r="AG208" s="61"/>
      <c r="AH208" s="61"/>
      <c r="AI208" s="61"/>
      <c r="AJ208" s="61"/>
      <c r="AL208" s="61"/>
      <c r="AM208" s="61"/>
      <c r="AN208" s="61"/>
      <c r="AO208" s="61"/>
      <c r="AP208" s="61"/>
      <c r="AR208" s="61"/>
      <c r="AS208" s="61"/>
      <c r="AT208" s="61"/>
      <c r="AU208" s="61"/>
      <c r="AV208" s="61"/>
      <c r="AX208" s="61"/>
      <c r="AY208" s="61"/>
      <c r="AZ208" s="61"/>
      <c r="BA208" s="61"/>
      <c r="BB208" s="61"/>
    </row>
    <row r="209" spans="1:54" x14ac:dyDescent="0.25">
      <c r="A209" s="106" t="s">
        <v>179</v>
      </c>
      <c r="B209" s="7">
        <v>0</v>
      </c>
      <c r="C209" s="7"/>
      <c r="D209" s="7"/>
      <c r="E209" s="7"/>
      <c r="F209" s="7">
        <f t="shared" ref="F209:F218" si="503">SUM(B209:E209)</f>
        <v>0</v>
      </c>
      <c r="H209" s="7">
        <v>0</v>
      </c>
      <c r="I209" s="7"/>
      <c r="J209" s="7"/>
      <c r="K209" s="7"/>
      <c r="L209" s="7">
        <f t="shared" ref="L209:L218" si="504">SUM(H209:K209)</f>
        <v>0</v>
      </c>
      <c r="N209" s="7">
        <v>0</v>
      </c>
      <c r="O209" s="7"/>
      <c r="P209" s="7"/>
      <c r="Q209" s="7"/>
      <c r="R209" s="7">
        <f t="shared" ref="R209:R218" si="505">SUM(N209:Q209)</f>
        <v>0</v>
      </c>
      <c r="T209" s="7">
        <v>0</v>
      </c>
      <c r="U209" s="7"/>
      <c r="V209" s="7"/>
      <c r="W209" s="7"/>
      <c r="X209" s="7">
        <f t="shared" ref="X209:X218" si="506">SUM(T209:W209)</f>
        <v>0</v>
      </c>
      <c r="Z209" s="7">
        <v>0</v>
      </c>
      <c r="AA209" s="7"/>
      <c r="AB209" s="7"/>
      <c r="AC209" s="7"/>
      <c r="AD209" s="7">
        <f t="shared" ref="AD209:AD218" si="507">SUM(Z209:AC209)</f>
        <v>0</v>
      </c>
      <c r="AF209" s="7">
        <v>2150000</v>
      </c>
      <c r="AG209" s="7"/>
      <c r="AH209" s="7"/>
      <c r="AI209" s="7"/>
      <c r="AJ209" s="7">
        <f t="shared" ref="AJ209:AJ218" si="508">SUM(AF209:AI209)</f>
        <v>2150000</v>
      </c>
      <c r="AL209" s="7">
        <v>0</v>
      </c>
      <c r="AM209" s="7"/>
      <c r="AN209" s="7"/>
      <c r="AO209" s="7"/>
      <c r="AP209" s="7">
        <f t="shared" ref="AP209:AP218" si="509">SUM(AL209:AO209)</f>
        <v>0</v>
      </c>
      <c r="AR209" s="7">
        <v>0</v>
      </c>
      <c r="AS209" s="7"/>
      <c r="AT209" s="7"/>
      <c r="AU209" s="7"/>
      <c r="AV209" s="7">
        <f t="shared" ref="AV209:AV218" si="510">SUM(AR209:AU209)</f>
        <v>0</v>
      </c>
      <c r="AX209" s="7">
        <f>B209+H209+N209+T209+Z209+AF209+AL209+AR209</f>
        <v>2150000</v>
      </c>
      <c r="AY209" s="7">
        <f t="shared" ref="AY209:BA217" si="511">C209+I209+O209+U209+AA209+AG209+AM209+AS209</f>
        <v>0</v>
      </c>
      <c r="AZ209" s="7">
        <f t="shared" si="511"/>
        <v>0</v>
      </c>
      <c r="BA209" s="7">
        <f t="shared" si="511"/>
        <v>0</v>
      </c>
      <c r="BB209" s="7">
        <f t="shared" ref="BB209:BB218" si="512">SUM(AX209:BA209)</f>
        <v>2150000</v>
      </c>
    </row>
    <row r="210" spans="1:54" s="212" customFormat="1" x14ac:dyDescent="0.25">
      <c r="A210" s="210" t="s">
        <v>180</v>
      </c>
      <c r="B210" s="15">
        <v>921750</v>
      </c>
      <c r="C210" s="15">
        <v>0</v>
      </c>
      <c r="D210" s="15"/>
      <c r="E210" s="15"/>
      <c r="F210" s="15">
        <f t="shared" si="503"/>
        <v>921750</v>
      </c>
      <c r="G210" s="211"/>
      <c r="H210" s="15">
        <v>0</v>
      </c>
      <c r="I210" s="15">
        <v>0</v>
      </c>
      <c r="J210" s="15"/>
      <c r="K210" s="15"/>
      <c r="L210" s="15">
        <f t="shared" si="504"/>
        <v>0</v>
      </c>
      <c r="M210" s="211"/>
      <c r="N210" s="15">
        <v>970250</v>
      </c>
      <c r="O210" s="15">
        <v>0</v>
      </c>
      <c r="P210" s="15"/>
      <c r="Q210" s="15"/>
      <c r="R210" s="15">
        <f t="shared" si="505"/>
        <v>970250</v>
      </c>
      <c r="S210" s="211"/>
      <c r="T210" s="15">
        <v>1164500</v>
      </c>
      <c r="U210" s="15">
        <v>0</v>
      </c>
      <c r="V210" s="15"/>
      <c r="W210" s="15"/>
      <c r="X210" s="15">
        <f t="shared" si="506"/>
        <v>1164500</v>
      </c>
      <c r="Y210" s="211"/>
      <c r="Z210" s="15">
        <v>0</v>
      </c>
      <c r="AA210" s="15">
        <v>0</v>
      </c>
      <c r="AB210" s="15"/>
      <c r="AC210" s="15"/>
      <c r="AD210" s="15">
        <f t="shared" si="507"/>
        <v>0</v>
      </c>
      <c r="AE210" s="211"/>
      <c r="AF210" s="15">
        <v>0</v>
      </c>
      <c r="AG210" s="15">
        <v>0</v>
      </c>
      <c r="AH210" s="15"/>
      <c r="AI210" s="15"/>
      <c r="AJ210" s="15">
        <f t="shared" si="508"/>
        <v>0</v>
      </c>
      <c r="AK210" s="211"/>
      <c r="AL210" s="15">
        <v>0</v>
      </c>
      <c r="AM210" s="15">
        <v>0</v>
      </c>
      <c r="AN210" s="15"/>
      <c r="AO210" s="15"/>
      <c r="AP210" s="15">
        <f t="shared" si="509"/>
        <v>0</v>
      </c>
      <c r="AQ210" s="211"/>
      <c r="AR210" s="7">
        <v>0</v>
      </c>
      <c r="AS210" s="7">
        <v>0</v>
      </c>
      <c r="AT210" s="7"/>
      <c r="AU210" s="7"/>
      <c r="AV210" s="7">
        <f t="shared" si="510"/>
        <v>0</v>
      </c>
      <c r="AW210"/>
      <c r="AX210" s="7">
        <f t="shared" ref="AX210:AX217" si="513">B210+H210+N210+T210+Z210+AF210+AL210+AR210</f>
        <v>3056500</v>
      </c>
      <c r="AY210" s="7">
        <f t="shared" si="511"/>
        <v>0</v>
      </c>
      <c r="AZ210" s="7">
        <f t="shared" si="511"/>
        <v>0</v>
      </c>
      <c r="BA210" s="7">
        <f t="shared" si="511"/>
        <v>0</v>
      </c>
      <c r="BB210" s="15">
        <f t="shared" si="512"/>
        <v>3056500</v>
      </c>
    </row>
    <row r="211" spans="1:54" x14ac:dyDescent="0.25">
      <c r="A211" s="210" t="s">
        <v>180</v>
      </c>
      <c r="B211" s="7"/>
      <c r="C211" s="7"/>
      <c r="D211" s="7"/>
      <c r="E211" s="7"/>
      <c r="F211" s="7">
        <f t="shared" si="503"/>
        <v>0</v>
      </c>
      <c r="H211" s="7">
        <v>2493000</v>
      </c>
      <c r="I211" s="7"/>
      <c r="J211" s="7"/>
      <c r="K211" s="7"/>
      <c r="L211" s="7">
        <f t="shared" si="504"/>
        <v>2493000</v>
      </c>
      <c r="N211" s="7"/>
      <c r="O211" s="7"/>
      <c r="P211" s="7"/>
      <c r="Q211" s="7"/>
      <c r="R211" s="7">
        <f t="shared" si="505"/>
        <v>0</v>
      </c>
      <c r="T211" s="7"/>
      <c r="U211" s="7"/>
      <c r="V211" s="7"/>
      <c r="W211" s="7"/>
      <c r="X211" s="7">
        <f t="shared" si="506"/>
        <v>0</v>
      </c>
      <c r="Z211" s="7"/>
      <c r="AA211" s="7"/>
      <c r="AB211" s="7"/>
      <c r="AC211" s="7"/>
      <c r="AD211" s="7">
        <f t="shared" si="507"/>
        <v>0</v>
      </c>
      <c r="AF211" s="7"/>
      <c r="AG211" s="7"/>
      <c r="AH211" s="7"/>
      <c r="AI211" s="7"/>
      <c r="AJ211" s="7">
        <f t="shared" si="508"/>
        <v>0</v>
      </c>
      <c r="AL211" s="7"/>
      <c r="AM211" s="7"/>
      <c r="AN211" s="7"/>
      <c r="AO211" s="7"/>
      <c r="AP211" s="7">
        <f t="shared" si="509"/>
        <v>0</v>
      </c>
      <c r="AR211" s="7"/>
      <c r="AS211" s="7"/>
      <c r="AT211" s="7"/>
      <c r="AU211" s="7"/>
      <c r="AV211" s="7">
        <f t="shared" si="510"/>
        <v>0</v>
      </c>
      <c r="AX211" s="7">
        <f t="shared" si="513"/>
        <v>2493000</v>
      </c>
      <c r="AY211" s="7">
        <f t="shared" si="511"/>
        <v>0</v>
      </c>
      <c r="AZ211" s="7">
        <f t="shared" si="511"/>
        <v>0</v>
      </c>
      <c r="BA211" s="7">
        <f t="shared" si="511"/>
        <v>0</v>
      </c>
      <c r="BB211" s="7">
        <f t="shared" si="512"/>
        <v>2493000</v>
      </c>
    </row>
    <row r="212" spans="1:54" hidden="1" x14ac:dyDescent="0.25">
      <c r="A212" s="210"/>
      <c r="B212" s="7"/>
      <c r="C212" s="7"/>
      <c r="D212" s="7"/>
      <c r="E212" s="7"/>
      <c r="F212" s="7">
        <f t="shared" si="503"/>
        <v>0</v>
      </c>
      <c r="H212" s="7"/>
      <c r="I212" s="7"/>
      <c r="J212" s="7"/>
      <c r="K212" s="7"/>
      <c r="L212" s="7">
        <f t="shared" si="504"/>
        <v>0</v>
      </c>
      <c r="N212" s="7"/>
      <c r="O212" s="7"/>
      <c r="P212" s="7"/>
      <c r="Q212" s="7"/>
      <c r="R212" s="7">
        <f t="shared" si="505"/>
        <v>0</v>
      </c>
      <c r="T212" s="7"/>
      <c r="U212" s="7"/>
      <c r="V212" s="7"/>
      <c r="W212" s="7"/>
      <c r="X212" s="7">
        <f t="shared" si="506"/>
        <v>0</v>
      </c>
      <c r="Z212" s="7"/>
      <c r="AA212" s="7"/>
      <c r="AB212" s="7"/>
      <c r="AC212" s="7"/>
      <c r="AD212" s="7">
        <f t="shared" si="507"/>
        <v>0</v>
      </c>
      <c r="AF212" s="7"/>
      <c r="AG212" s="7"/>
      <c r="AH212" s="7"/>
      <c r="AI212" s="7"/>
      <c r="AJ212" s="7">
        <f t="shared" si="508"/>
        <v>0</v>
      </c>
      <c r="AL212" s="7"/>
      <c r="AM212" s="7"/>
      <c r="AN212" s="7"/>
      <c r="AO212" s="7"/>
      <c r="AP212" s="7">
        <f t="shared" si="509"/>
        <v>0</v>
      </c>
      <c r="AR212" s="7"/>
      <c r="AS212" s="7"/>
      <c r="AT212" s="7"/>
      <c r="AU212" s="7"/>
      <c r="AV212" s="7">
        <f t="shared" si="510"/>
        <v>0</v>
      </c>
      <c r="AX212" s="7">
        <f t="shared" si="513"/>
        <v>0</v>
      </c>
      <c r="AY212" s="7">
        <f t="shared" si="511"/>
        <v>0</v>
      </c>
      <c r="AZ212" s="7">
        <f t="shared" si="511"/>
        <v>0</v>
      </c>
      <c r="BA212" s="7">
        <f t="shared" si="511"/>
        <v>0</v>
      </c>
      <c r="BB212" s="7">
        <f t="shared" si="512"/>
        <v>0</v>
      </c>
    </row>
    <row r="213" spans="1:54" hidden="1" x14ac:dyDescent="0.25">
      <c r="A213" s="106"/>
      <c r="B213" s="7"/>
      <c r="C213" s="7"/>
      <c r="D213" s="7"/>
      <c r="E213" s="7"/>
      <c r="F213" s="7">
        <f t="shared" si="503"/>
        <v>0</v>
      </c>
      <c r="H213" s="7"/>
      <c r="I213" s="7"/>
      <c r="J213" s="7"/>
      <c r="K213" s="7"/>
      <c r="L213" s="7">
        <f t="shared" si="504"/>
        <v>0</v>
      </c>
      <c r="N213" s="7"/>
      <c r="O213" s="7"/>
      <c r="P213" s="7"/>
      <c r="Q213" s="7"/>
      <c r="R213" s="7">
        <f t="shared" si="505"/>
        <v>0</v>
      </c>
      <c r="T213" s="7"/>
      <c r="U213" s="7"/>
      <c r="V213" s="7"/>
      <c r="W213" s="7"/>
      <c r="X213" s="7">
        <f t="shared" si="506"/>
        <v>0</v>
      </c>
      <c r="Z213" s="7"/>
      <c r="AA213" s="7"/>
      <c r="AB213" s="7"/>
      <c r="AC213" s="7"/>
      <c r="AD213" s="7">
        <f t="shared" si="507"/>
        <v>0</v>
      </c>
      <c r="AF213" s="7"/>
      <c r="AG213" s="7"/>
      <c r="AH213" s="7"/>
      <c r="AI213" s="7"/>
      <c r="AJ213" s="7">
        <f t="shared" si="508"/>
        <v>0</v>
      </c>
      <c r="AL213" s="7"/>
      <c r="AM213" s="7"/>
      <c r="AN213" s="7"/>
      <c r="AO213" s="7"/>
      <c r="AP213" s="7">
        <f t="shared" si="509"/>
        <v>0</v>
      </c>
      <c r="AR213" s="7"/>
      <c r="AS213" s="7"/>
      <c r="AT213" s="7"/>
      <c r="AU213" s="7"/>
      <c r="AV213" s="7">
        <f t="shared" si="510"/>
        <v>0</v>
      </c>
      <c r="AX213" s="7">
        <f t="shared" si="513"/>
        <v>0</v>
      </c>
      <c r="AY213" s="7">
        <f t="shared" si="511"/>
        <v>0</v>
      </c>
      <c r="AZ213" s="7">
        <f t="shared" si="511"/>
        <v>0</v>
      </c>
      <c r="BA213" s="7">
        <f t="shared" si="511"/>
        <v>0</v>
      </c>
      <c r="BB213" s="7">
        <f t="shared" si="512"/>
        <v>0</v>
      </c>
    </row>
    <row r="214" spans="1:54" hidden="1" x14ac:dyDescent="0.25">
      <c r="A214" s="106"/>
      <c r="B214" s="7"/>
      <c r="C214" s="7"/>
      <c r="D214" s="7"/>
      <c r="E214" s="7"/>
      <c r="F214" s="7">
        <f t="shared" si="503"/>
        <v>0</v>
      </c>
      <c r="H214" s="7"/>
      <c r="I214" s="7"/>
      <c r="J214" s="7"/>
      <c r="K214" s="7"/>
      <c r="L214" s="7">
        <f t="shared" si="504"/>
        <v>0</v>
      </c>
      <c r="N214" s="7"/>
      <c r="O214" s="7"/>
      <c r="P214" s="7"/>
      <c r="Q214" s="7"/>
      <c r="R214" s="7">
        <f t="shared" si="505"/>
        <v>0</v>
      </c>
      <c r="T214" s="7"/>
      <c r="U214" s="7"/>
      <c r="V214" s="7"/>
      <c r="W214" s="7"/>
      <c r="X214" s="7">
        <f t="shared" si="506"/>
        <v>0</v>
      </c>
      <c r="Z214" s="7"/>
      <c r="AA214" s="7"/>
      <c r="AB214" s="7"/>
      <c r="AC214" s="7"/>
      <c r="AD214" s="7">
        <f t="shared" si="507"/>
        <v>0</v>
      </c>
      <c r="AF214" s="7"/>
      <c r="AG214" s="7"/>
      <c r="AH214" s="7"/>
      <c r="AI214" s="7"/>
      <c r="AJ214" s="7">
        <f t="shared" si="508"/>
        <v>0</v>
      </c>
      <c r="AL214" s="7"/>
      <c r="AM214" s="7"/>
      <c r="AN214" s="7"/>
      <c r="AO214" s="7"/>
      <c r="AP214" s="7">
        <f t="shared" si="509"/>
        <v>0</v>
      </c>
      <c r="AR214" s="7"/>
      <c r="AS214" s="7"/>
      <c r="AT214" s="7"/>
      <c r="AU214" s="7"/>
      <c r="AV214" s="7">
        <f t="shared" si="510"/>
        <v>0</v>
      </c>
      <c r="AX214" s="7">
        <f t="shared" si="513"/>
        <v>0</v>
      </c>
      <c r="AY214" s="7">
        <f t="shared" si="511"/>
        <v>0</v>
      </c>
      <c r="AZ214" s="7">
        <f t="shared" si="511"/>
        <v>0</v>
      </c>
      <c r="BA214" s="7">
        <f t="shared" si="511"/>
        <v>0</v>
      </c>
      <c r="BB214" s="7">
        <f t="shared" si="512"/>
        <v>0</v>
      </c>
    </row>
    <row r="215" spans="1:54" hidden="1" x14ac:dyDescent="0.25">
      <c r="A215" s="106"/>
      <c r="B215" s="7"/>
      <c r="C215" s="7"/>
      <c r="D215" s="7"/>
      <c r="E215" s="7"/>
      <c r="F215" s="7">
        <f t="shared" si="503"/>
        <v>0</v>
      </c>
      <c r="H215" s="7"/>
      <c r="I215" s="7"/>
      <c r="J215" s="7"/>
      <c r="K215" s="7"/>
      <c r="L215" s="7">
        <f t="shared" si="504"/>
        <v>0</v>
      </c>
      <c r="N215" s="7"/>
      <c r="O215" s="7"/>
      <c r="P215" s="7"/>
      <c r="Q215" s="7"/>
      <c r="R215" s="7">
        <f t="shared" si="505"/>
        <v>0</v>
      </c>
      <c r="T215" s="7"/>
      <c r="U215" s="7"/>
      <c r="V215" s="7"/>
      <c r="W215" s="7"/>
      <c r="X215" s="7">
        <f t="shared" si="506"/>
        <v>0</v>
      </c>
      <c r="Z215" s="7"/>
      <c r="AA215" s="7"/>
      <c r="AB215" s="7"/>
      <c r="AC215" s="7"/>
      <c r="AD215" s="7">
        <f t="shared" si="507"/>
        <v>0</v>
      </c>
      <c r="AF215" s="7"/>
      <c r="AG215" s="7"/>
      <c r="AH215" s="7"/>
      <c r="AI215" s="7"/>
      <c r="AJ215" s="7">
        <f t="shared" si="508"/>
        <v>0</v>
      </c>
      <c r="AL215" s="7"/>
      <c r="AM215" s="7"/>
      <c r="AN215" s="7"/>
      <c r="AO215" s="7"/>
      <c r="AP215" s="7">
        <f t="shared" si="509"/>
        <v>0</v>
      </c>
      <c r="AR215" s="7"/>
      <c r="AS215" s="7"/>
      <c r="AT215" s="7"/>
      <c r="AU215" s="7"/>
      <c r="AV215" s="7">
        <f t="shared" si="510"/>
        <v>0</v>
      </c>
      <c r="AX215" s="7">
        <f t="shared" si="513"/>
        <v>0</v>
      </c>
      <c r="AY215" s="7">
        <f t="shared" si="511"/>
        <v>0</v>
      </c>
      <c r="AZ215" s="7">
        <f t="shared" si="511"/>
        <v>0</v>
      </c>
      <c r="BA215" s="7">
        <f t="shared" si="511"/>
        <v>0</v>
      </c>
      <c r="BB215" s="7">
        <f t="shared" si="512"/>
        <v>0</v>
      </c>
    </row>
    <row r="216" spans="1:54" x14ac:dyDescent="0.25">
      <c r="A216" s="106" t="s">
        <v>180</v>
      </c>
      <c r="B216" s="7"/>
      <c r="C216" s="7"/>
      <c r="D216" s="7"/>
      <c r="E216" s="7"/>
      <c r="F216" s="7">
        <f t="shared" si="503"/>
        <v>0</v>
      </c>
      <c r="H216" s="7"/>
      <c r="I216" s="7"/>
      <c r="J216" s="7"/>
      <c r="K216" s="7"/>
      <c r="L216" s="7">
        <f t="shared" si="504"/>
        <v>0</v>
      </c>
      <c r="N216" s="7"/>
      <c r="O216" s="7"/>
      <c r="P216" s="7"/>
      <c r="Q216" s="7"/>
      <c r="R216" s="7">
        <f t="shared" si="505"/>
        <v>0</v>
      </c>
      <c r="T216" s="7"/>
      <c r="U216" s="7"/>
      <c r="V216" s="7"/>
      <c r="W216" s="7"/>
      <c r="X216" s="7">
        <f t="shared" si="506"/>
        <v>0</v>
      </c>
      <c r="Z216" s="7">
        <v>3907500</v>
      </c>
      <c r="AA216" s="7"/>
      <c r="AB216" s="7"/>
      <c r="AC216" s="7"/>
      <c r="AD216" s="7">
        <f t="shared" si="507"/>
        <v>3907500</v>
      </c>
      <c r="AF216" s="7">
        <v>0</v>
      </c>
      <c r="AG216" s="7"/>
      <c r="AH216" s="7"/>
      <c r="AI216" s="7"/>
      <c r="AJ216" s="7">
        <f t="shared" si="508"/>
        <v>0</v>
      </c>
      <c r="AL216" s="7">
        <v>0</v>
      </c>
      <c r="AM216" s="7"/>
      <c r="AN216" s="7"/>
      <c r="AO216" s="7"/>
      <c r="AP216" s="7">
        <f t="shared" si="509"/>
        <v>0</v>
      </c>
      <c r="AR216" s="7"/>
      <c r="AS216" s="7"/>
      <c r="AT216" s="7"/>
      <c r="AU216" s="7"/>
      <c r="AV216" s="7">
        <f t="shared" si="510"/>
        <v>0</v>
      </c>
      <c r="AX216" s="7">
        <f t="shared" si="513"/>
        <v>3907500</v>
      </c>
      <c r="AY216" s="7">
        <f t="shared" si="511"/>
        <v>0</v>
      </c>
      <c r="AZ216" s="7">
        <f t="shared" si="511"/>
        <v>0</v>
      </c>
      <c r="BA216" s="7">
        <f t="shared" si="511"/>
        <v>0</v>
      </c>
      <c r="BB216" s="7">
        <f t="shared" si="512"/>
        <v>3907500</v>
      </c>
    </row>
    <row r="217" spans="1:54" x14ac:dyDescent="0.25">
      <c r="A217" s="107" t="s">
        <v>181</v>
      </c>
      <c r="B217" s="7">
        <v>30000</v>
      </c>
      <c r="C217" s="7">
        <v>0</v>
      </c>
      <c r="D217" s="7"/>
      <c r="E217" s="7"/>
      <c r="F217" s="7">
        <f t="shared" si="503"/>
        <v>30000</v>
      </c>
      <c r="H217" s="7"/>
      <c r="I217" s="7">
        <v>0</v>
      </c>
      <c r="J217" s="7"/>
      <c r="K217" s="7"/>
      <c r="L217" s="7">
        <f t="shared" si="504"/>
        <v>0</v>
      </c>
      <c r="N217" s="7"/>
      <c r="O217" s="7">
        <v>0</v>
      </c>
      <c r="P217" s="7"/>
      <c r="Q217" s="7"/>
      <c r="R217" s="7">
        <f t="shared" si="505"/>
        <v>0</v>
      </c>
      <c r="T217" s="7"/>
      <c r="U217" s="7">
        <v>0</v>
      </c>
      <c r="V217" s="7"/>
      <c r="W217" s="7"/>
      <c r="X217" s="7">
        <f t="shared" si="506"/>
        <v>0</v>
      </c>
      <c r="Z217" s="7"/>
      <c r="AA217" s="7">
        <v>0</v>
      </c>
      <c r="AB217" s="7"/>
      <c r="AC217" s="7"/>
      <c r="AD217" s="7">
        <f t="shared" si="507"/>
        <v>0</v>
      </c>
      <c r="AF217" s="7"/>
      <c r="AG217" s="7">
        <v>0</v>
      </c>
      <c r="AH217" s="7"/>
      <c r="AI217" s="7"/>
      <c r="AJ217" s="7">
        <f t="shared" si="508"/>
        <v>0</v>
      </c>
      <c r="AL217" s="7"/>
      <c r="AM217" s="7">
        <v>0</v>
      </c>
      <c r="AN217" s="7"/>
      <c r="AO217" s="7"/>
      <c r="AP217" s="7">
        <f t="shared" si="509"/>
        <v>0</v>
      </c>
      <c r="AR217" s="7">
        <v>0</v>
      </c>
      <c r="AS217" s="7">
        <v>0</v>
      </c>
      <c r="AT217" s="7"/>
      <c r="AU217" s="7"/>
      <c r="AV217" s="7">
        <f t="shared" si="510"/>
        <v>0</v>
      </c>
      <c r="AX217" s="7">
        <f t="shared" si="513"/>
        <v>30000</v>
      </c>
      <c r="AY217" s="7">
        <f t="shared" si="511"/>
        <v>0</v>
      </c>
      <c r="AZ217" s="7">
        <f t="shared" si="511"/>
        <v>0</v>
      </c>
      <c r="BA217" s="7">
        <f t="shared" si="511"/>
        <v>0</v>
      </c>
      <c r="BB217" s="7">
        <f t="shared" si="512"/>
        <v>30000</v>
      </c>
    </row>
    <row r="218" spans="1:54" x14ac:dyDescent="0.25">
      <c r="A218" s="146"/>
      <c r="B218" s="7"/>
      <c r="C218" s="7"/>
      <c r="D218" s="7"/>
      <c r="E218" s="7"/>
      <c r="F218" s="7">
        <f t="shared" si="503"/>
        <v>0</v>
      </c>
      <c r="H218" s="7"/>
      <c r="I218" s="7"/>
      <c r="J218" s="7"/>
      <c r="K218" s="7"/>
      <c r="L218" s="7">
        <f t="shared" si="504"/>
        <v>0</v>
      </c>
      <c r="N218" s="7"/>
      <c r="O218" s="7"/>
      <c r="P218" s="7"/>
      <c r="Q218" s="7"/>
      <c r="R218" s="7">
        <f t="shared" si="505"/>
        <v>0</v>
      </c>
      <c r="T218" s="7"/>
      <c r="U218" s="7"/>
      <c r="V218" s="7"/>
      <c r="W218" s="7"/>
      <c r="X218" s="7">
        <f t="shared" si="506"/>
        <v>0</v>
      </c>
      <c r="Z218" s="7"/>
      <c r="AA218" s="7"/>
      <c r="AB218" s="7"/>
      <c r="AC218" s="7"/>
      <c r="AD218" s="7">
        <f t="shared" si="507"/>
        <v>0</v>
      </c>
      <c r="AF218" s="7"/>
      <c r="AG218" s="7"/>
      <c r="AH218" s="7"/>
      <c r="AI218" s="7"/>
      <c r="AJ218" s="7">
        <f t="shared" si="508"/>
        <v>0</v>
      </c>
      <c r="AL218" s="7"/>
      <c r="AM218" s="7"/>
      <c r="AN218" s="7"/>
      <c r="AO218" s="7"/>
      <c r="AP218" s="7">
        <f t="shared" si="509"/>
        <v>0</v>
      </c>
      <c r="AR218" s="7"/>
      <c r="AS218" s="7"/>
      <c r="AT218" s="7"/>
      <c r="AU218" s="7"/>
      <c r="AV218" s="7">
        <f t="shared" si="510"/>
        <v>0</v>
      </c>
      <c r="AX218" s="7">
        <f t="shared" ref="AX218:AX219" si="514">B218+H218+N218+T218+Z218+AL218+AR218</f>
        <v>0</v>
      </c>
      <c r="AY218" s="7">
        <f t="shared" ref="AY218:BA219" si="515">C218+I218+O218+U218+AA218+AM218+AS218</f>
        <v>0</v>
      </c>
      <c r="AZ218" s="7">
        <f t="shared" si="515"/>
        <v>0</v>
      </c>
      <c r="BA218" s="7">
        <f t="shared" si="515"/>
        <v>0</v>
      </c>
      <c r="BB218" s="7">
        <f t="shared" si="512"/>
        <v>0</v>
      </c>
    </row>
    <row r="219" spans="1:54" x14ac:dyDescent="0.25">
      <c r="A219" s="147"/>
      <c r="B219" s="7"/>
      <c r="C219" s="7"/>
      <c r="D219" s="7"/>
      <c r="E219" s="7"/>
      <c r="F219" s="7"/>
      <c r="H219" s="7"/>
      <c r="I219" s="7"/>
      <c r="J219" s="7"/>
      <c r="K219" s="7"/>
      <c r="L219" s="7"/>
      <c r="N219" s="7"/>
      <c r="O219" s="7"/>
      <c r="P219" s="7"/>
      <c r="Q219" s="7"/>
      <c r="R219" s="7"/>
      <c r="T219" s="7"/>
      <c r="U219" s="7"/>
      <c r="V219" s="7"/>
      <c r="W219" s="7"/>
      <c r="X219" s="7"/>
      <c r="Z219" s="7"/>
      <c r="AA219" s="7"/>
      <c r="AB219" s="7"/>
      <c r="AC219" s="7"/>
      <c r="AD219" s="7"/>
      <c r="AF219" s="7"/>
      <c r="AG219" s="7"/>
      <c r="AH219" s="7"/>
      <c r="AI219" s="7"/>
      <c r="AJ219" s="7"/>
      <c r="AL219" s="7"/>
      <c r="AM219" s="7"/>
      <c r="AN219" s="7"/>
      <c r="AO219" s="7"/>
      <c r="AP219" s="7"/>
      <c r="AR219" s="7"/>
      <c r="AS219" s="7"/>
      <c r="AT219" s="7"/>
      <c r="AU219" s="7"/>
      <c r="AV219" s="7"/>
      <c r="AX219" s="7">
        <f t="shared" si="514"/>
        <v>0</v>
      </c>
      <c r="AY219" s="7">
        <f t="shared" si="515"/>
        <v>0</v>
      </c>
      <c r="AZ219" s="7">
        <f t="shared" si="515"/>
        <v>0</v>
      </c>
      <c r="BA219" s="7">
        <f t="shared" si="515"/>
        <v>0</v>
      </c>
      <c r="BB219" s="7"/>
    </row>
    <row r="220" spans="1:54" ht="15.75" thickBot="1" x14ac:dyDescent="0.3">
      <c r="A220" s="144" t="s">
        <v>183</v>
      </c>
      <c r="B220" s="145">
        <f>B86-B207-B209-B210-B216-B217</f>
        <v>639716.64481953904</v>
      </c>
      <c r="C220" s="145">
        <f>C86-C207-C209-C210-C216-C217</f>
        <v>-83022.77758945743</v>
      </c>
      <c r="D220" s="145">
        <f>D86-D207-D209-D210-D216-D217</f>
        <v>-524343.74447322683</v>
      </c>
      <c r="E220" s="145">
        <f>E86-E207-E209-E210-E216-E217</f>
        <v>-12096.659999999974</v>
      </c>
      <c r="F220" s="145">
        <f>F86-F207-F209-F210-F216-F217-F211</f>
        <v>20253.462756856345</v>
      </c>
      <c r="H220" s="145">
        <f>H86-H207-H209-H210-H216-H217</f>
        <v>5135386.4233763851</v>
      </c>
      <c r="I220" s="145">
        <f>I86-I207-I209-I210-I216-I217</f>
        <v>-161150.00587143912</v>
      </c>
      <c r="J220" s="145">
        <f>J86-J207-J209-J210-J216-J217</f>
        <v>-1309767.3880147436</v>
      </c>
      <c r="K220" s="145">
        <f>K86-K207-K209-K210-K216-K217</f>
        <v>-33532.800000000047</v>
      </c>
      <c r="L220" s="145">
        <f>L86-L207-L209-L210-L216-L217-L211</f>
        <v>1137936.2294902094</v>
      </c>
      <c r="N220" s="145">
        <f>N86-N207-N209-N210-N216-N217</f>
        <v>1066370.9271943253</v>
      </c>
      <c r="O220" s="145">
        <f>O86-O207-O209-O210-O216-O217</f>
        <v>-163112.10143507447</v>
      </c>
      <c r="P220" s="145">
        <f>P86-P207-P209-P210-P216-P217</f>
        <v>-546217.98869696003</v>
      </c>
      <c r="Q220" s="145">
        <f>Q86-Q207-Q209-Q210-Q216-Q217</f>
        <v>-13340.400000000023</v>
      </c>
      <c r="R220" s="145">
        <f>R86-R207-R209-R210-R216-R217-R211</f>
        <v>343700.4370622905</v>
      </c>
      <c r="T220" s="145">
        <f>T86-T207-T209-T210-T216-T217</f>
        <v>1113537.3296427233</v>
      </c>
      <c r="U220" s="145">
        <f>U86-U207-U209-U210-U216-U217</f>
        <v>-71279.746806249954</v>
      </c>
      <c r="V220" s="145">
        <f>V86-V207-V209-V210-V216-V217</f>
        <v>-578769.42949365557</v>
      </c>
      <c r="W220" s="145">
        <f>W86-W207-W209-W210-W216-W217</f>
        <v>-21628.5</v>
      </c>
      <c r="X220" s="145">
        <f>X86-X207-X209-X210-X216-X217-X211</f>
        <v>441859.65334281698</v>
      </c>
      <c r="Z220" s="145">
        <f>Z86-Z207-Z209-Z210-Z216-Z217</f>
        <v>1892807.2477282453</v>
      </c>
      <c r="AA220" s="145">
        <f>AA86-AA207-AA209-AA210-AA216-AA217</f>
        <v>-78845.535082327144</v>
      </c>
      <c r="AB220" s="145">
        <f>AB86-AB207-AB209-AB210-AB216-AB217</f>
        <v>-1243190.5906086985</v>
      </c>
      <c r="AC220" s="145">
        <f>AC86-AC207-AC209-AC210-AC216-AC217</f>
        <v>-26333.160000000091</v>
      </c>
      <c r="AD220" s="145">
        <f>AD86-AD207-AD209-AD210-AD216-AD217-AD211</f>
        <v>544437.96203721315</v>
      </c>
      <c r="AF220" s="145">
        <f>AF86-AF207-AF209-AF210-AF216-AF217</f>
        <v>305040.2176099848</v>
      </c>
      <c r="AG220" s="145">
        <f>AG86-AG207-AG209-AG210-AG216-AG217</f>
        <v>190420.08903000003</v>
      </c>
      <c r="AH220" s="145">
        <f>AH86-AH207-AH209-AH210-AH216-AH217</f>
        <v>-429315.9</v>
      </c>
      <c r="AI220" s="145">
        <f>AI86-AI207-AI209-AI210-AI216-AI217</f>
        <v>52673.999999999942</v>
      </c>
      <c r="AJ220" s="145">
        <f>AJ86-AJ207-AJ209-AJ210-AJ216-AJ217-AJ211</f>
        <v>118818.40663998574</v>
      </c>
      <c r="AL220" s="145">
        <f>AL86-AL207-AL209-AL210-AL216-AL217</f>
        <v>-243838.79028796256</v>
      </c>
      <c r="AM220" s="145">
        <f>AM86-AM207-AM209-AM210-AM216-AM217</f>
        <v>-43019.852440875693</v>
      </c>
      <c r="AN220" s="145">
        <f>AN86-AN207-AN209-AN210-AN216-AN217</f>
        <v>0</v>
      </c>
      <c r="AO220" s="145">
        <f>AO86-AO207-AO209-AO210-AO216-AO217</f>
        <v>0</v>
      </c>
      <c r="AP220" s="145">
        <f>AP86-AP207-AP209-AP210-AP216-AP217-AP211</f>
        <v>-286858.64272883825</v>
      </c>
      <c r="AR220" s="145">
        <f>AR86-AR207-AR209-AR210-AR216-AR217</f>
        <v>654594.34749999968</v>
      </c>
      <c r="AS220" s="145">
        <f>AS86-AS207-AS209-AS210-AS216-AS217</f>
        <v>1832.82035</v>
      </c>
      <c r="AT220" s="145">
        <f>AT86-AT207-AT209-AT210-AT216-AT217</f>
        <v>-130179.5</v>
      </c>
      <c r="AU220" s="145">
        <f>AU86-AU207-AU209-AU210-AU216-AU217</f>
        <v>14251.999999999971</v>
      </c>
      <c r="AV220" s="145">
        <f>AV86-AV207-AV209-AV210-AV216-AV217</f>
        <v>540499.66784999939</v>
      </c>
      <c r="AX220" s="145">
        <f>AX86-AX207-AX209-AX210-AX216-AX217</f>
        <v>10563614.347583242</v>
      </c>
      <c r="AY220" s="145">
        <f>AY86-AY207-AY209-AY210-AY216-AY217</f>
        <v>-408177.10984542361</v>
      </c>
      <c r="AZ220" s="145">
        <f>AZ86-AZ207-AZ209-AZ210-AZ216-AZ217</f>
        <v>-4761784.5412872843</v>
      </c>
      <c r="BA220" s="145">
        <f>BA86-BA207-BA209-BA210-BA216-BA217</f>
        <v>-40005.520000000484</v>
      </c>
      <c r="BB220" s="145">
        <f>BB86-BB207-BB209-BB210-BB216-BB217-BB211</f>
        <v>2860647.1764505357</v>
      </c>
    </row>
    <row r="221" spans="1:54" ht="15.75" thickBot="1" x14ac:dyDescent="0.3">
      <c r="A221" s="108"/>
      <c r="B221" s="110">
        <f>B220/(B86-B76)</f>
        <v>8.7683328331429514E-2</v>
      </c>
      <c r="C221" s="110">
        <f>C220/(C86-C76)</f>
        <v>-0.60570123919854901</v>
      </c>
      <c r="D221" s="110">
        <f>D220/(D86-D76)</f>
        <v>-1.4537548970380421</v>
      </c>
      <c r="E221" s="110">
        <f>E220/(E86)</f>
        <v>-5.3926294053452471E-2</v>
      </c>
      <c r="F221" s="110">
        <f>F220/(F86-F76)</f>
        <v>2.5986791827571059E-3</v>
      </c>
      <c r="H221" s="110">
        <f>H220/(H86-H76)</f>
        <v>0.26181274900159102</v>
      </c>
      <c r="I221" s="110">
        <f>I220/(I86-I76)</f>
        <v>-0.59044348025781301</v>
      </c>
      <c r="J221" s="110">
        <f>J220/(J86-J76)</f>
        <v>-1.1930740875286348</v>
      </c>
      <c r="K221" s="110">
        <f>K220/(K86)</f>
        <v>-5.4224395544689018E-2</v>
      </c>
      <c r="L221" s="110">
        <f>L220/(L86-L76)</f>
        <v>5.4224959195999699E-2</v>
      </c>
      <c r="N221" s="110">
        <f>N220/(N86-N76)</f>
        <v>0.13466040945176239</v>
      </c>
      <c r="O221" s="110">
        <f>O220/(O86-O76)</f>
        <v>-1.1573241007462411</v>
      </c>
      <c r="P221" s="110">
        <f>P220/(P86-P76)</f>
        <v>-2.0927956434232748</v>
      </c>
      <c r="Q221" s="110">
        <f>Q220/(Q86)</f>
        <v>-6.9472565929258961E-2</v>
      </c>
      <c r="R221" s="110">
        <f>R220/(R86-R76)</f>
        <v>4.1305669877544124E-2</v>
      </c>
      <c r="T221" s="110">
        <f>T220/(T86-T76)</f>
        <v>0.11758465306889856</v>
      </c>
      <c r="U221" s="110">
        <f>U220/(U86-U76)</f>
        <v>-0.58030523945363599</v>
      </c>
      <c r="V221" s="110">
        <f>V220/(V86-V76)</f>
        <v>-1.4984484601378498</v>
      </c>
      <c r="W221" s="110">
        <f>W220/(W86)</f>
        <v>-0.18837285257038344</v>
      </c>
      <c r="X221" s="110">
        <f>X220/(X86-X76)</f>
        <v>4.4278205795064682E-2</v>
      </c>
      <c r="Z221" s="110">
        <f>Z220/(Z86-Z76)</f>
        <v>0.10004910536740316</v>
      </c>
      <c r="AA221" s="110">
        <f>AA220/(AA86-AA76)</f>
        <v>-0.40539139006332076</v>
      </c>
      <c r="AB221" s="110">
        <f>AB220/(AB86-AB76)</f>
        <v>-1.7740348432119306</v>
      </c>
      <c r="AC221" s="110">
        <f>AC220/(AC86)</f>
        <v>-7.1730276404905979E-2</v>
      </c>
      <c r="AD221" s="110">
        <f>AD220/(AD86-AD76)</f>
        <v>2.7477376114918871E-2</v>
      </c>
      <c r="AF221" s="110">
        <f>AF220/(AF86-AF76)</f>
        <v>3.2617792597810412E-2</v>
      </c>
      <c r="AG221" s="110">
        <f>AG220/(AG86-AG76)</f>
        <v>0.2867543021708866</v>
      </c>
      <c r="AH221" s="110">
        <f>AH220/(AH86-AH76)</f>
        <v>-0.95479917267147052</v>
      </c>
      <c r="AI221" s="110">
        <f>AI220/(AI86)</f>
        <v>9.4041905904533291E-2</v>
      </c>
      <c r="AJ221" s="110">
        <f>AJ220/(AJ86-AJ76)</f>
        <v>1.1352918575841142E-2</v>
      </c>
      <c r="AL221" s="110">
        <f>AL220/(AL86-AL76)</f>
        <v>-89.646614076456828</v>
      </c>
      <c r="AM221" s="110">
        <f>AM220/(AM86-AM76)</f>
        <v>-358.49877034063076</v>
      </c>
      <c r="AN221" s="110" t="e">
        <f>AN220/(AN86-AN76)</f>
        <v>#DIV/0!</v>
      </c>
      <c r="AO221" s="110" t="e">
        <f>AO220/(AO86)</f>
        <v>#DIV/0!</v>
      </c>
      <c r="AP221" s="110">
        <f>AP220/(AP86-AP76)</f>
        <v>-101.00656434114023</v>
      </c>
      <c r="AR221" s="110">
        <f>AR220/(AR86-AR76)</f>
        <v>0.20999332657516398</v>
      </c>
      <c r="AS221" s="110">
        <f>AS220/(AS86-AS76)</f>
        <v>0.17422246673003802</v>
      </c>
      <c r="AT221" s="110">
        <f>AT220/(AT86-AT76)</f>
        <v>-1.2271823152337857</v>
      </c>
      <c r="AU221" s="110">
        <f>AU220/(AU86)</f>
        <v>0.1267791061770564</v>
      </c>
      <c r="AV221" s="110">
        <f>AV220/(AV86-AV76)</f>
        <v>0.16636825053134741</v>
      </c>
      <c r="AX221" s="110">
        <f>AX220/(AX86-AX76)</f>
        <v>0.13956379260024088</v>
      </c>
      <c r="AY221" s="110">
        <f>AY220/(AY86-AY76)</f>
        <v>-0.26454241105778964</v>
      </c>
      <c r="AZ221" s="110">
        <f>AZ220/(AZ86-AZ76)</f>
        <v>-1.416259339203255</v>
      </c>
      <c r="BA221" s="110">
        <f>BA220/(BA86)</f>
        <v>-1.8273956878042272E-2</v>
      </c>
      <c r="BB221" s="110">
        <f>BB220/(BB86-BB76)</f>
        <v>3.5487108819721523E-2</v>
      </c>
    </row>
    <row r="222" spans="1:54" x14ac:dyDescent="0.25">
      <c r="B222" s="111"/>
      <c r="C222" s="111"/>
      <c r="D222" s="111"/>
      <c r="E222" s="111"/>
      <c r="F222" s="111"/>
      <c r="H222" s="111"/>
      <c r="I222" s="111"/>
      <c r="J222" s="111"/>
      <c r="K222" s="111"/>
      <c r="L222" s="111"/>
      <c r="N222" s="111"/>
      <c r="O222" s="111"/>
      <c r="P222" s="111"/>
      <c r="Q222" s="111"/>
      <c r="R222" s="111"/>
      <c r="T222" s="111"/>
      <c r="U222" s="111"/>
      <c r="V222" s="111"/>
      <c r="W222" s="111"/>
      <c r="X222" s="111"/>
      <c r="Z222" s="111"/>
      <c r="AA222" s="111"/>
      <c r="AB222" s="111"/>
      <c r="AC222" s="111"/>
      <c r="AD222" s="111"/>
      <c r="AF222" s="111"/>
      <c r="AG222" s="111"/>
      <c r="AH222" s="111"/>
      <c r="AI222" s="111"/>
      <c r="AJ222" s="111"/>
      <c r="AL222" s="111"/>
      <c r="AM222" s="111"/>
      <c r="AN222" s="111"/>
      <c r="AO222" s="111"/>
      <c r="AP222" s="111"/>
      <c r="AR222" s="111"/>
      <c r="AS222" s="111"/>
      <c r="AT222" s="111"/>
      <c r="AU222" s="111"/>
      <c r="AV222" s="111"/>
      <c r="AX222" s="111"/>
      <c r="AY222" s="111"/>
      <c r="AZ222" s="111"/>
      <c r="BA222" s="111"/>
      <c r="BB222" s="111"/>
    </row>
    <row r="223" spans="1:54" x14ac:dyDescent="0.25">
      <c r="A223" s="112" t="str">
        <f>A1</f>
        <v xml:space="preserve"> FY 28</v>
      </c>
      <c r="B223" s="112" t="str">
        <f>B1</f>
        <v>Operating</v>
      </c>
      <c r="C223" s="112" t="str">
        <f>C1</f>
        <v>Weights</v>
      </c>
      <c r="D223" s="112" t="str">
        <f>D1</f>
        <v>SPED</v>
      </c>
      <c r="E223" s="112" t="str">
        <f t="shared" ref="E223:F223" si="516">E1</f>
        <v>NSLP</v>
      </c>
      <c r="F223" s="112" t="str">
        <f t="shared" si="516"/>
        <v>Horizon</v>
      </c>
      <c r="H223" s="112" t="str">
        <f>H1</f>
        <v>Operating</v>
      </c>
      <c r="I223" s="112" t="str">
        <f>I1</f>
        <v>Weights</v>
      </c>
      <c r="J223" s="112" t="str">
        <f>J1</f>
        <v>SPED</v>
      </c>
      <c r="K223" s="112" t="str">
        <f t="shared" ref="K223:L223" si="517">K1</f>
        <v>NSLP</v>
      </c>
      <c r="L223" s="112" t="str">
        <f t="shared" si="517"/>
        <v>Cadence</v>
      </c>
      <c r="N223" s="112" t="str">
        <f>N1</f>
        <v>Operating</v>
      </c>
      <c r="O223" s="112" t="str">
        <f>O1</f>
        <v>Weights</v>
      </c>
      <c r="P223" s="112" t="str">
        <f>P1</f>
        <v>SPED</v>
      </c>
      <c r="Q223" s="112" t="str">
        <f t="shared" ref="Q223:R223" si="518">Q1</f>
        <v>NSLP</v>
      </c>
      <c r="R223" s="112" t="str">
        <f t="shared" si="518"/>
        <v>St. Rose</v>
      </c>
      <c r="T223" s="112" t="str">
        <f>T1</f>
        <v>Operating</v>
      </c>
      <c r="U223" s="112" t="str">
        <f>U1</f>
        <v>Weights</v>
      </c>
      <c r="V223" s="112" t="str">
        <f>V1</f>
        <v>SPED</v>
      </c>
      <c r="W223" s="112" t="str">
        <f t="shared" ref="W223:X223" si="519">W1</f>
        <v>NSLP</v>
      </c>
      <c r="X223" s="112" t="str">
        <f t="shared" si="519"/>
        <v>Inspirada</v>
      </c>
      <c r="Z223" s="112" t="str">
        <f>Z1</f>
        <v>Operating</v>
      </c>
      <c r="AA223" s="112" t="str">
        <f>AA1</f>
        <v>Weights</v>
      </c>
      <c r="AB223" s="112" t="str">
        <f>AB1</f>
        <v>SPED</v>
      </c>
      <c r="AC223" s="112" t="str">
        <f t="shared" ref="AC223:AD223" si="520">AC1</f>
        <v>NSLP</v>
      </c>
      <c r="AD223" s="112" t="str">
        <f t="shared" si="520"/>
        <v>Sloan Canyon</v>
      </c>
      <c r="AF223" s="112" t="str">
        <f>AF1</f>
        <v>Operating</v>
      </c>
      <c r="AG223" s="112" t="str">
        <f>AG1</f>
        <v>Weights</v>
      </c>
      <c r="AH223" s="112" t="str">
        <f>AH1</f>
        <v>SPED</v>
      </c>
      <c r="AI223" s="112" t="str">
        <f t="shared" ref="AI223:AJ223" si="521">AI1</f>
        <v>NSLP</v>
      </c>
      <c r="AJ223" s="112" t="str">
        <f t="shared" si="521"/>
        <v>Springs</v>
      </c>
      <c r="AL223" s="112" t="str">
        <f>AL1</f>
        <v>Operating</v>
      </c>
      <c r="AM223" s="112" t="str">
        <f>AM1</f>
        <v>Weights</v>
      </c>
      <c r="AN223" s="112" t="str">
        <f>AN1</f>
        <v>SPED</v>
      </c>
      <c r="AO223" s="112" t="str">
        <f t="shared" ref="AO223:AP223" si="522">AO1</f>
        <v>NSLP</v>
      </c>
      <c r="AP223" s="112" t="str">
        <f t="shared" si="522"/>
        <v>System Wide</v>
      </c>
      <c r="AR223" s="112" t="str">
        <f>AR1</f>
        <v>Operating</v>
      </c>
      <c r="AS223" s="112" t="str">
        <f>AS1</f>
        <v>Weights</v>
      </c>
      <c r="AT223" s="112" t="str">
        <f>AT1</f>
        <v>SPED</v>
      </c>
      <c r="AU223" s="112" t="str">
        <f t="shared" ref="AU223:AV223" si="523">AU1</f>
        <v>NSLP</v>
      </c>
      <c r="AV223" s="112" t="str">
        <f t="shared" si="523"/>
        <v>Virtual</v>
      </c>
      <c r="AX223" s="112" t="str">
        <f>AX1</f>
        <v>Operating</v>
      </c>
      <c r="AY223" s="112" t="str">
        <f>AY1</f>
        <v>Weights</v>
      </c>
      <c r="AZ223" s="112" t="str">
        <f>AZ1</f>
        <v>SPED</v>
      </c>
      <c r="BA223" s="112" t="str">
        <f t="shared" ref="BA223:BB223" si="524">BA1</f>
        <v>NSLP</v>
      </c>
      <c r="BB223" s="112" t="str">
        <f t="shared" si="524"/>
        <v>Pinecrest System</v>
      </c>
    </row>
    <row r="224" spans="1:54" x14ac:dyDescent="0.25">
      <c r="B224" s="109"/>
      <c r="C224" s="109"/>
      <c r="D224" s="109"/>
      <c r="E224" s="109"/>
      <c r="F224" s="109"/>
      <c r="H224" s="109"/>
      <c r="I224" s="109"/>
      <c r="J224" s="109"/>
      <c r="K224" s="109"/>
      <c r="L224" s="109"/>
      <c r="N224" s="109"/>
      <c r="O224" s="109"/>
      <c r="P224" s="109"/>
      <c r="Q224" s="109"/>
      <c r="R224" s="109"/>
      <c r="T224" s="109"/>
      <c r="U224" s="109"/>
      <c r="V224" s="109"/>
      <c r="W224" s="109"/>
      <c r="X224" s="109"/>
      <c r="Z224" s="109"/>
      <c r="AA224" s="109"/>
      <c r="AB224" s="109"/>
      <c r="AC224" s="109"/>
      <c r="AD224" s="109"/>
      <c r="AF224" s="109"/>
      <c r="AG224" s="109"/>
      <c r="AH224" s="109"/>
      <c r="AI224" s="109"/>
      <c r="AJ224" s="109"/>
      <c r="AL224" s="109"/>
      <c r="AM224" s="109"/>
      <c r="AN224" s="109"/>
      <c r="AO224" s="109"/>
      <c r="AP224" s="109"/>
      <c r="AR224" s="109"/>
      <c r="AS224" s="109"/>
      <c r="AT224" s="109"/>
      <c r="AU224" s="109"/>
      <c r="AV224" s="109"/>
      <c r="AX224" s="109"/>
      <c r="AY224" s="109"/>
      <c r="AZ224" s="109"/>
      <c r="BA224" s="109"/>
      <c r="BB224" s="109"/>
    </row>
    <row r="225" spans="1:54" x14ac:dyDescent="0.25">
      <c r="A225" s="112"/>
      <c r="B225" s="71"/>
      <c r="C225" s="71"/>
      <c r="D225" s="71"/>
      <c r="E225" s="71"/>
      <c r="F225" s="71"/>
      <c r="H225" s="71"/>
      <c r="I225" s="71"/>
      <c r="J225" s="71"/>
      <c r="K225" s="71"/>
      <c r="L225" s="71"/>
      <c r="N225" s="71"/>
      <c r="O225" s="71"/>
      <c r="P225" s="71"/>
      <c r="Q225" s="71"/>
      <c r="R225" s="71"/>
      <c r="T225" s="71"/>
      <c r="U225" s="71"/>
      <c r="V225" s="71"/>
      <c r="W225" s="71"/>
      <c r="X225" s="71"/>
      <c r="Z225" s="71"/>
      <c r="AA225" s="71"/>
      <c r="AB225" s="71"/>
      <c r="AC225" s="71"/>
      <c r="AD225" s="71"/>
      <c r="AF225" s="71"/>
      <c r="AG225" s="71"/>
      <c r="AH225" s="71"/>
      <c r="AI225" s="71"/>
      <c r="AJ225" s="71"/>
      <c r="AL225" s="71"/>
      <c r="AM225" s="71"/>
      <c r="AN225" s="71"/>
      <c r="AO225" s="71"/>
      <c r="AP225" s="71"/>
      <c r="AR225" s="71"/>
      <c r="AS225" s="71"/>
      <c r="AT225" s="71"/>
      <c r="AU225" s="71"/>
      <c r="AV225" s="71"/>
      <c r="AX225" s="71"/>
      <c r="AY225" s="71"/>
      <c r="AZ225" s="71"/>
      <c r="BA225" s="71"/>
      <c r="BB225" s="71"/>
    </row>
    <row r="226" spans="1:54" x14ac:dyDescent="0.25">
      <c r="B226" s="109"/>
      <c r="C226" s="109"/>
      <c r="D226" s="109"/>
      <c r="E226" s="109"/>
      <c r="F226" s="109"/>
      <c r="H226" s="109"/>
      <c r="I226" s="109"/>
      <c r="J226" s="109"/>
      <c r="K226" s="109"/>
      <c r="L226" s="109"/>
      <c r="N226" s="109"/>
      <c r="O226" s="109"/>
      <c r="P226" s="109"/>
      <c r="Q226" s="109"/>
      <c r="R226" s="109"/>
      <c r="T226" s="109"/>
      <c r="U226" s="109"/>
      <c r="V226" s="109"/>
      <c r="W226" s="109"/>
      <c r="X226" s="109"/>
      <c r="Z226" s="109"/>
      <c r="AA226" s="109"/>
      <c r="AB226" s="109"/>
      <c r="AC226" s="109"/>
      <c r="AD226" s="109"/>
      <c r="AF226" s="109"/>
      <c r="AG226" s="109"/>
      <c r="AH226" s="109"/>
      <c r="AI226" s="109"/>
      <c r="AJ226" s="109"/>
      <c r="AL226" s="109"/>
      <c r="AM226" s="109"/>
      <c r="AN226" s="109"/>
      <c r="AO226" s="109"/>
      <c r="AP226" s="109"/>
      <c r="AR226" s="109"/>
      <c r="AS226" s="109"/>
      <c r="AT226" s="109"/>
      <c r="AU226" s="109"/>
      <c r="AV226" s="109" t="e">
        <f>AV220=#REF!</f>
        <v>#REF!</v>
      </c>
      <c r="AX226" s="109"/>
      <c r="AY226" s="109"/>
      <c r="AZ226" s="109"/>
      <c r="BA226" s="109"/>
      <c r="BB226" s="10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6"/>
  <sheetViews>
    <sheetView topLeftCell="A202" zoomScale="75" zoomScaleNormal="75" workbookViewId="0">
      <pane xSplit="1" topLeftCell="B1" activePane="topRight" state="frozen"/>
      <selection pane="topRight" activeCell="B240" sqref="A240:B240"/>
    </sheetView>
  </sheetViews>
  <sheetFormatPr defaultRowHeight="15" x14ac:dyDescent="0.25"/>
  <cols>
    <col min="1" max="1" width="50.140625" bestFit="1" customWidth="1"/>
    <col min="2" max="2" width="16.42578125" customWidth="1"/>
    <col min="3" max="3" width="14.85546875" customWidth="1"/>
    <col min="4" max="4" width="16.42578125" customWidth="1"/>
    <col min="5" max="7" width="14.85546875" customWidth="1"/>
    <col min="10" max="10" width="9.5703125" customWidth="1"/>
  </cols>
  <sheetData>
    <row r="1" spans="1:14" x14ac:dyDescent="0.25">
      <c r="A1" s="1" t="s">
        <v>263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25">
      <c r="A2" s="6" t="s">
        <v>7</v>
      </c>
      <c r="B2" s="7">
        <f>'FY23'!AV2</f>
        <v>7290.4309978768579</v>
      </c>
      <c r="C2" s="7">
        <f>'FY24'!AJ2</f>
        <v>7387.8089999999993</v>
      </c>
      <c r="D2" s="7">
        <f>'FY25'!AJ2</f>
        <v>7483.8505169999989</v>
      </c>
      <c r="E2" s="7">
        <f>'FY26'!AJ2</f>
        <v>7581.140573720998</v>
      </c>
      <c r="F2" s="7">
        <f>'FY27'!AJ2</f>
        <v>7679.6954011793705</v>
      </c>
      <c r="G2" s="7">
        <f>'FY28'!AJ2</f>
        <v>7779.5314413947017</v>
      </c>
      <c r="J2" s="157">
        <f>(C2-B2)/B2</f>
        <v>1.3356960946684791E-2</v>
      </c>
      <c r="K2" s="157">
        <f t="shared" ref="K2:N2" si="0">(D2-C2)/C2</f>
        <v>1.2999999999999954E-2</v>
      </c>
      <c r="L2" s="157">
        <f t="shared" si="0"/>
        <v>1.2999999999999871E-2</v>
      </c>
      <c r="M2" s="157">
        <f t="shared" si="0"/>
        <v>1.2999999999999942E-2</v>
      </c>
      <c r="N2" s="157">
        <f t="shared" si="0"/>
        <v>1.299999999999992E-2</v>
      </c>
    </row>
    <row r="3" spans="1:14" hidden="1" x14ac:dyDescent="0.25">
      <c r="A3" s="8"/>
      <c r="B3" s="7">
        <f>'FY23'!AV3</f>
        <v>0</v>
      </c>
      <c r="C3" s="7">
        <f>'FY24'!BB3</f>
        <v>0</v>
      </c>
      <c r="D3" s="7">
        <f>'FY25'!BB3</f>
        <v>0</v>
      </c>
      <c r="E3" s="7">
        <f>'FY26'!BB3</f>
        <v>0</v>
      </c>
      <c r="F3" s="7">
        <f>'FY27'!BB3</f>
        <v>0</v>
      </c>
      <c r="G3" s="7">
        <f>'FY27'!BC3</f>
        <v>0</v>
      </c>
    </row>
    <row r="4" spans="1:14" hidden="1" x14ac:dyDescent="0.25">
      <c r="A4" s="8"/>
      <c r="B4" s="7">
        <f>'FY23'!AV4</f>
        <v>0</v>
      </c>
      <c r="C4" s="7">
        <f>'FY24'!BB4</f>
        <v>0</v>
      </c>
      <c r="D4" s="7">
        <f>'FY25'!BB4</f>
        <v>0</v>
      </c>
      <c r="E4" s="7">
        <f>'FY26'!BB4</f>
        <v>0</v>
      </c>
      <c r="F4" s="7">
        <f>'FY27'!BB4</f>
        <v>0</v>
      </c>
      <c r="G4" s="7">
        <f>'FY27'!BC4</f>
        <v>0</v>
      </c>
    </row>
    <row r="5" spans="1:14" x14ac:dyDescent="0.25">
      <c r="A5" s="8" t="s">
        <v>8</v>
      </c>
      <c r="B5" s="9">
        <f>B6+B7+B8+B9+B10+B11+B12+B13+B14+B15+B16+B17+B18</f>
        <v>0</v>
      </c>
      <c r="C5" s="9">
        <f t="shared" ref="C5:G5" si="1">C6+C7+C8+C9+C10+C11+C12+C13+C14+C15+C16+C17+C18</f>
        <v>645</v>
      </c>
      <c r="D5" s="9">
        <f t="shared" si="1"/>
        <v>815</v>
      </c>
      <c r="E5" s="9">
        <f t="shared" si="1"/>
        <v>960</v>
      </c>
      <c r="F5" s="9">
        <f t="shared" si="1"/>
        <v>1080</v>
      </c>
      <c r="G5" s="9">
        <f t="shared" si="1"/>
        <v>1200</v>
      </c>
    </row>
    <row r="6" spans="1:14" x14ac:dyDescent="0.25">
      <c r="A6" s="10" t="s">
        <v>9</v>
      </c>
      <c r="B6" s="11"/>
      <c r="C6" s="11">
        <f>'FY24'!AJ6</f>
        <v>100</v>
      </c>
      <c r="D6" s="11">
        <f>'FY25'!AJ6</f>
        <v>100</v>
      </c>
      <c r="E6" s="11">
        <f>'FY26'!AJ6</f>
        <v>100</v>
      </c>
      <c r="F6" s="94">
        <f>'FY27'!AJ6</f>
        <v>100</v>
      </c>
      <c r="G6" s="94">
        <f>'FY28'!AJ6</f>
        <v>100</v>
      </c>
      <c r="I6" s="155"/>
      <c r="J6" s="327">
        <f>'FY24'!AK6</f>
        <v>4</v>
      </c>
      <c r="K6" s="327">
        <f>'FY25'!AK6</f>
        <v>4</v>
      </c>
      <c r="L6" s="327">
        <f>'FY26'!AK6</f>
        <v>4</v>
      </c>
      <c r="M6" s="327">
        <f>'FY27'!AK6</f>
        <v>4</v>
      </c>
      <c r="N6" s="327">
        <f>'FY28'!AK6</f>
        <v>4</v>
      </c>
    </row>
    <row r="7" spans="1:14" x14ac:dyDescent="0.25">
      <c r="A7" s="12" t="s">
        <v>10</v>
      </c>
      <c r="B7" s="11"/>
      <c r="C7" s="11">
        <f>'FY24'!AJ7</f>
        <v>100</v>
      </c>
      <c r="D7" s="11">
        <f>'FY25'!AJ7</f>
        <v>100</v>
      </c>
      <c r="E7" s="11">
        <f>'FY26'!AJ7</f>
        <v>100</v>
      </c>
      <c r="F7" s="94">
        <f>'FY27'!AJ7</f>
        <v>100</v>
      </c>
      <c r="G7" s="94">
        <f>'FY28'!AJ7</f>
        <v>100</v>
      </c>
      <c r="I7" s="155"/>
      <c r="J7" s="327">
        <f>'FY24'!AK7</f>
        <v>4</v>
      </c>
      <c r="K7" s="327">
        <f>'FY25'!AK7</f>
        <v>4</v>
      </c>
      <c r="L7" s="327">
        <f>'FY26'!AK7</f>
        <v>4</v>
      </c>
      <c r="M7" s="327">
        <f>'FY27'!AK7</f>
        <v>4</v>
      </c>
      <c r="N7" s="327">
        <f>'FY28'!AK7</f>
        <v>4</v>
      </c>
    </row>
    <row r="8" spans="1:14" x14ac:dyDescent="0.25">
      <c r="A8" s="12" t="s">
        <v>11</v>
      </c>
      <c r="B8" s="11"/>
      <c r="C8" s="11">
        <f>'FY24'!AJ8</f>
        <v>100</v>
      </c>
      <c r="D8" s="11">
        <f>'FY25'!AJ8</f>
        <v>100</v>
      </c>
      <c r="E8" s="11">
        <f>'FY26'!AJ8</f>
        <v>100</v>
      </c>
      <c r="F8" s="94">
        <f>'FY27'!AJ8</f>
        <v>100</v>
      </c>
      <c r="G8" s="94">
        <f>'FY28'!AJ8</f>
        <v>100</v>
      </c>
      <c r="I8" s="155"/>
      <c r="J8" s="327">
        <f>'FY24'!AK8</f>
        <v>4</v>
      </c>
      <c r="K8" s="327">
        <f>'FY25'!AK8</f>
        <v>4</v>
      </c>
      <c r="L8" s="327">
        <f>'FY26'!AK8</f>
        <v>4</v>
      </c>
      <c r="M8" s="327">
        <f>'FY27'!AK8</f>
        <v>4</v>
      </c>
      <c r="N8" s="327">
        <f>'FY28'!AK8</f>
        <v>4</v>
      </c>
    </row>
    <row r="9" spans="1:14" x14ac:dyDescent="0.25">
      <c r="A9" s="13" t="s">
        <v>12</v>
      </c>
      <c r="B9" s="11"/>
      <c r="C9" s="11">
        <f>'FY24'!AJ9</f>
        <v>100</v>
      </c>
      <c r="D9" s="11">
        <f>'FY25'!AJ9</f>
        <v>100</v>
      </c>
      <c r="E9" s="11">
        <f>'FY26'!AJ9</f>
        <v>100</v>
      </c>
      <c r="F9" s="94">
        <f>'FY27'!AJ9</f>
        <v>100</v>
      </c>
      <c r="G9" s="94">
        <f>'FY28'!AJ9</f>
        <v>100</v>
      </c>
      <c r="I9" s="155"/>
      <c r="J9" s="327">
        <f>'FY24'!AK9</f>
        <v>4</v>
      </c>
      <c r="K9" s="327">
        <f>'FY25'!AK9</f>
        <v>4</v>
      </c>
      <c r="L9" s="327">
        <f>'FY26'!AK9</f>
        <v>4</v>
      </c>
      <c r="M9" s="327">
        <f>'FY27'!AK9</f>
        <v>4</v>
      </c>
      <c r="N9" s="327">
        <f>'FY28'!AK9</f>
        <v>4</v>
      </c>
    </row>
    <row r="10" spans="1:14" x14ac:dyDescent="0.25">
      <c r="A10" s="13" t="s">
        <v>13</v>
      </c>
      <c r="B10" s="11"/>
      <c r="C10" s="11">
        <f>'FY24'!AJ10</f>
        <v>75</v>
      </c>
      <c r="D10" s="11">
        <f>'FY25'!AJ10</f>
        <v>100</v>
      </c>
      <c r="E10" s="11">
        <f>'FY26'!AJ10</f>
        <v>100</v>
      </c>
      <c r="F10" s="94">
        <f>'FY27'!AJ10</f>
        <v>100</v>
      </c>
      <c r="G10" s="94">
        <f>'FY28'!AJ10</f>
        <v>100</v>
      </c>
      <c r="I10" s="155"/>
      <c r="J10" s="327">
        <f>'FY24'!AK10</f>
        <v>3</v>
      </c>
      <c r="K10" s="327">
        <f>'FY25'!AK10</f>
        <v>4</v>
      </c>
      <c r="L10" s="327">
        <f>'FY26'!AK10</f>
        <v>4</v>
      </c>
      <c r="M10" s="327">
        <f>'FY27'!AK10</f>
        <v>4</v>
      </c>
      <c r="N10" s="327">
        <f>'FY28'!AK10</f>
        <v>4</v>
      </c>
    </row>
    <row r="11" spans="1:14" x14ac:dyDescent="0.25">
      <c r="A11" s="13" t="s">
        <v>14</v>
      </c>
      <c r="B11" s="11"/>
      <c r="C11" s="11">
        <f>'FY24'!AJ11</f>
        <v>50</v>
      </c>
      <c r="D11" s="11">
        <f>'FY25'!AJ11</f>
        <v>75</v>
      </c>
      <c r="E11" s="11">
        <f>'FY26'!AJ11</f>
        <v>100</v>
      </c>
      <c r="F11" s="94">
        <f>'FY27'!AJ11</f>
        <v>100</v>
      </c>
      <c r="G11" s="94">
        <f>'FY28'!AJ11</f>
        <v>100</v>
      </c>
      <c r="I11" s="155"/>
      <c r="J11" s="327">
        <f>'FY24'!AK11</f>
        <v>2</v>
      </c>
      <c r="K11" s="327">
        <f>'FY25'!AK11</f>
        <v>3</v>
      </c>
      <c r="L11" s="327">
        <f>'FY26'!AK11</f>
        <v>4</v>
      </c>
      <c r="M11" s="327">
        <f>'FY27'!AK11</f>
        <v>4</v>
      </c>
      <c r="N11" s="327">
        <f>'FY28'!AK11</f>
        <v>4</v>
      </c>
    </row>
    <row r="12" spans="1:14" x14ac:dyDescent="0.25">
      <c r="A12" s="13" t="s">
        <v>15</v>
      </c>
      <c r="B12" s="11"/>
      <c r="C12" s="11">
        <f>'FY24'!AJ12</f>
        <v>120</v>
      </c>
      <c r="D12" s="11">
        <f>'FY25'!AJ12</f>
        <v>120</v>
      </c>
      <c r="E12" s="11">
        <f>'FY26'!AJ12</f>
        <v>120</v>
      </c>
      <c r="F12" s="94">
        <f>'FY27'!AJ12</f>
        <v>120</v>
      </c>
      <c r="G12" s="94">
        <f>'FY28'!AJ12</f>
        <v>120</v>
      </c>
      <c r="I12" s="155"/>
      <c r="J12" s="327">
        <f>'FY24'!AK12</f>
        <v>4</v>
      </c>
      <c r="K12" s="327">
        <f>'FY25'!AK12</f>
        <v>4</v>
      </c>
      <c r="L12" s="327">
        <f>'FY26'!AK12</f>
        <v>4</v>
      </c>
      <c r="M12" s="327">
        <f>'FY27'!AK12</f>
        <v>4</v>
      </c>
      <c r="N12" s="327">
        <f>'FY28'!AK12</f>
        <v>4</v>
      </c>
    </row>
    <row r="13" spans="1:14" x14ac:dyDescent="0.25">
      <c r="A13" s="13" t="s">
        <v>16</v>
      </c>
      <c r="B13" s="11"/>
      <c r="C13" s="11">
        <f>'FY24'!AJ13</f>
        <v>0</v>
      </c>
      <c r="D13" s="11">
        <f>'FY25'!AJ13</f>
        <v>120</v>
      </c>
      <c r="E13" s="11">
        <f>'FY26'!AJ13</f>
        <v>120</v>
      </c>
      <c r="F13" s="94">
        <f>'FY27'!AJ13</f>
        <v>120</v>
      </c>
      <c r="G13" s="94">
        <f>'FY28'!AJ13</f>
        <v>120</v>
      </c>
      <c r="I13" s="155"/>
      <c r="J13" s="327">
        <f>'FY24'!AK13</f>
        <v>0</v>
      </c>
      <c r="K13" s="327">
        <f>'FY25'!AK13</f>
        <v>4</v>
      </c>
      <c r="L13" s="327">
        <f>'FY26'!AK13</f>
        <v>4</v>
      </c>
      <c r="M13" s="327">
        <f>'FY27'!AK13</f>
        <v>4</v>
      </c>
      <c r="N13" s="327">
        <f>'FY28'!AK13</f>
        <v>4</v>
      </c>
    </row>
    <row r="14" spans="1:14" x14ac:dyDescent="0.25">
      <c r="A14" s="13" t="s">
        <v>17</v>
      </c>
      <c r="B14" s="11"/>
      <c r="C14" s="11">
        <f>'FY24'!AJ14</f>
        <v>0</v>
      </c>
      <c r="D14" s="11">
        <f>'FY25'!AJ14</f>
        <v>0</v>
      </c>
      <c r="E14" s="11">
        <f>'FY26'!AJ14</f>
        <v>120</v>
      </c>
      <c r="F14" s="94">
        <f>'FY27'!AJ14</f>
        <v>120</v>
      </c>
      <c r="G14" s="94">
        <f>'FY28'!AJ14</f>
        <v>120</v>
      </c>
      <c r="I14" s="155"/>
      <c r="J14" s="327">
        <f>'FY24'!AK14</f>
        <v>0</v>
      </c>
      <c r="K14" s="327">
        <f>'FY25'!AK14</f>
        <v>0</v>
      </c>
      <c r="L14" s="327">
        <f>'FY26'!AK14</f>
        <v>4</v>
      </c>
      <c r="M14" s="327">
        <f>'FY27'!AK14</f>
        <v>4</v>
      </c>
      <c r="N14" s="327">
        <f>'FY28'!AK14</f>
        <v>4</v>
      </c>
    </row>
    <row r="15" spans="1:14" x14ac:dyDescent="0.25">
      <c r="A15" s="13" t="s">
        <v>18</v>
      </c>
      <c r="B15" s="11"/>
      <c r="C15" s="11">
        <f>'FY24'!AJ15</f>
        <v>0</v>
      </c>
      <c r="D15" s="11">
        <f>'FY25'!AJ15</f>
        <v>0</v>
      </c>
      <c r="E15" s="11">
        <f>'FY26'!AJ15</f>
        <v>0</v>
      </c>
      <c r="F15" s="94">
        <f>'FY27'!AJ15</f>
        <v>120</v>
      </c>
      <c r="G15" s="94">
        <f>'FY28'!AJ15</f>
        <v>120</v>
      </c>
      <c r="I15" s="155"/>
      <c r="J15" s="327">
        <f>'FY24'!AK15</f>
        <v>0</v>
      </c>
      <c r="K15" s="327">
        <f>'FY25'!AK15</f>
        <v>0</v>
      </c>
      <c r="L15" s="327">
        <f>'FY26'!AK15</f>
        <v>0</v>
      </c>
      <c r="M15" s="327">
        <f>'FY27'!AK15</f>
        <v>4</v>
      </c>
      <c r="N15" s="327">
        <f>'FY28'!AK15</f>
        <v>4</v>
      </c>
    </row>
    <row r="16" spans="1:14" x14ac:dyDescent="0.25">
      <c r="A16" s="13" t="s">
        <v>19</v>
      </c>
      <c r="B16" s="11"/>
      <c r="C16" s="11">
        <f>'FY24'!AJ16</f>
        <v>0</v>
      </c>
      <c r="D16" s="11">
        <f>'FY25'!AJ16</f>
        <v>0</v>
      </c>
      <c r="E16" s="11">
        <f>'FY26'!AJ16</f>
        <v>0</v>
      </c>
      <c r="F16" s="94">
        <f>'FY27'!AJ16</f>
        <v>0</v>
      </c>
      <c r="G16" s="94">
        <f>'FY28'!AJ16</f>
        <v>120</v>
      </c>
      <c r="I16" s="155"/>
      <c r="J16" s="327">
        <f>'FY24'!AK16</f>
        <v>0</v>
      </c>
      <c r="K16" s="327">
        <f>'FY25'!AK16</f>
        <v>0</v>
      </c>
      <c r="L16" s="327">
        <f>'FY26'!AK16</f>
        <v>0</v>
      </c>
      <c r="M16" s="327">
        <f>'FY27'!AK16</f>
        <v>0</v>
      </c>
      <c r="N16" s="327">
        <f>'FY28'!AK16</f>
        <v>4</v>
      </c>
    </row>
    <row r="17" spans="1:14" x14ac:dyDescent="0.25">
      <c r="A17" s="13" t="s">
        <v>20</v>
      </c>
      <c r="B17" s="11"/>
      <c r="C17" s="11">
        <f>'FY24'!AJ17</f>
        <v>0</v>
      </c>
      <c r="D17" s="11">
        <f>'FY25'!AJ17</f>
        <v>0</v>
      </c>
      <c r="E17" s="11">
        <f>'FY26'!AJ17</f>
        <v>0</v>
      </c>
      <c r="F17" s="94">
        <f>'FY27'!AJ17</f>
        <v>0</v>
      </c>
      <c r="G17" s="94">
        <f>'FY28'!AJ17</f>
        <v>0</v>
      </c>
      <c r="I17" s="155"/>
      <c r="J17" s="327">
        <f>'FY24'!AK17</f>
        <v>0</v>
      </c>
      <c r="K17" s="327">
        <f>'FY25'!AK17</f>
        <v>0</v>
      </c>
      <c r="L17" s="327">
        <f>'FY26'!AK17</f>
        <v>0</v>
      </c>
      <c r="M17" s="327">
        <f>'FY27'!AK17</f>
        <v>0</v>
      </c>
      <c r="N17" s="327">
        <f>'FY28'!AK17</f>
        <v>0</v>
      </c>
    </row>
    <row r="18" spans="1:14" x14ac:dyDescent="0.25">
      <c r="A18" s="13" t="s">
        <v>21</v>
      </c>
      <c r="B18" s="11"/>
      <c r="C18" s="11">
        <f>'FY24'!AJ18</f>
        <v>0</v>
      </c>
      <c r="D18" s="11">
        <f>'FY25'!AJ18</f>
        <v>0</v>
      </c>
      <c r="E18" s="11">
        <f>'FY26'!AJ18</f>
        <v>0</v>
      </c>
      <c r="F18" s="94">
        <f>'FY27'!AJ18</f>
        <v>0</v>
      </c>
      <c r="G18" s="94">
        <f>'FY28'!AJ18</f>
        <v>0</v>
      </c>
      <c r="I18" s="155"/>
      <c r="J18" s="327">
        <f>'FY24'!AK18</f>
        <v>0</v>
      </c>
      <c r="K18" s="327">
        <f>'FY25'!AK18</f>
        <v>0</v>
      </c>
      <c r="L18" s="327">
        <f>'FY26'!AK18</f>
        <v>0</v>
      </c>
      <c r="M18" s="327">
        <f>'FY27'!AK18</f>
        <v>0</v>
      </c>
      <c r="N18" s="327">
        <f>'FY28'!AK18</f>
        <v>0</v>
      </c>
    </row>
    <row r="19" spans="1:14" x14ac:dyDescent="0.25">
      <c r="A19" s="13" t="s">
        <v>8</v>
      </c>
      <c r="B19" s="9">
        <f>SUM(B6:B18)</f>
        <v>0</v>
      </c>
      <c r="C19" s="9">
        <f t="shared" ref="C19:G19" si="2">SUM(C6:C18)</f>
        <v>645</v>
      </c>
      <c r="D19" s="9">
        <f t="shared" si="2"/>
        <v>815</v>
      </c>
      <c r="E19" s="9">
        <f t="shared" si="2"/>
        <v>960</v>
      </c>
      <c r="F19" s="9">
        <f t="shared" si="2"/>
        <v>1080</v>
      </c>
      <c r="G19" s="9">
        <f t="shared" si="2"/>
        <v>1200</v>
      </c>
      <c r="I19" s="155"/>
      <c r="J19" s="155">
        <f>SUM(J6:J18)</f>
        <v>25</v>
      </c>
      <c r="K19" s="155">
        <f>SUM(K6:K18)</f>
        <v>31</v>
      </c>
      <c r="L19" s="155">
        <f t="shared" ref="L19:N19" si="3">SUM(L6:L18)</f>
        <v>36</v>
      </c>
      <c r="M19" s="155">
        <f t="shared" si="3"/>
        <v>40</v>
      </c>
      <c r="N19" s="155">
        <f t="shared" si="3"/>
        <v>44</v>
      </c>
    </row>
    <row r="20" spans="1:14" x14ac:dyDescent="0.25">
      <c r="A20" s="16"/>
      <c r="B20" s="7"/>
      <c r="C20" s="7"/>
      <c r="D20" s="7"/>
      <c r="E20" s="7"/>
      <c r="F20" s="7"/>
      <c r="G20" s="7"/>
    </row>
    <row r="21" spans="1:14" x14ac:dyDescent="0.25">
      <c r="A21" s="17" t="s">
        <v>22</v>
      </c>
      <c r="B21" s="18"/>
      <c r="C21" s="18"/>
      <c r="D21" s="18"/>
      <c r="E21" s="18"/>
      <c r="F21" s="18"/>
      <c r="G21" s="18"/>
    </row>
    <row r="22" spans="1:14" x14ac:dyDescent="0.25">
      <c r="A22" s="140" t="s">
        <v>23</v>
      </c>
      <c r="B22" s="7"/>
      <c r="C22" s="7">
        <f>'FY24'!AJ22</f>
        <v>77.399999999999991</v>
      </c>
      <c r="D22" s="7">
        <f>'FY25'!AJ22</f>
        <v>77.399999999999991</v>
      </c>
      <c r="E22" s="7">
        <f>'FY26'!AJ22</f>
        <v>97.8</v>
      </c>
      <c r="F22" s="7">
        <f>'FY27'!AJ22</f>
        <v>115.19999999999999</v>
      </c>
      <c r="G22" s="7">
        <f>'FY28'!AJ22</f>
        <v>129.6</v>
      </c>
      <c r="J22" s="278">
        <f>D22/C19</f>
        <v>0.11999999999999998</v>
      </c>
      <c r="K22" s="278">
        <f t="shared" ref="K22:N22" si="4">E22/D19</f>
        <v>0.12</v>
      </c>
      <c r="L22" s="278">
        <f t="shared" si="4"/>
        <v>0.11999999999999998</v>
      </c>
      <c r="M22" s="278">
        <f t="shared" si="4"/>
        <v>0.12</v>
      </c>
      <c r="N22" s="278">
        <f t="shared" si="4"/>
        <v>0</v>
      </c>
    </row>
    <row r="23" spans="1:14" x14ac:dyDescent="0.25">
      <c r="A23" s="140" t="s">
        <v>24</v>
      </c>
      <c r="B23" s="7"/>
      <c r="C23" s="7">
        <f>'FY24'!AJ23</f>
        <v>0</v>
      </c>
      <c r="D23" s="7">
        <f>'FY25'!AJ23</f>
        <v>187.04999999999998</v>
      </c>
      <c r="E23" s="7">
        <f>'FY26'!AJ23</f>
        <v>236.35</v>
      </c>
      <c r="F23" s="7">
        <f>'FY27'!AJ23</f>
        <v>278.39999999999998</v>
      </c>
      <c r="G23" s="7">
        <f>'FY28'!AJ23</f>
        <v>313.2</v>
      </c>
      <c r="J23" s="278">
        <f>D23/C19</f>
        <v>0.28999999999999998</v>
      </c>
      <c r="K23" s="278">
        <f t="shared" ref="K23:N23" si="5">E23/D19</f>
        <v>0.28999999999999998</v>
      </c>
      <c r="L23" s="278">
        <f t="shared" si="5"/>
        <v>0.28999999999999998</v>
      </c>
      <c r="M23" s="278">
        <f t="shared" si="5"/>
        <v>0.28999999999999998</v>
      </c>
      <c r="N23" s="278">
        <f t="shared" si="5"/>
        <v>0</v>
      </c>
    </row>
    <row r="24" spans="1:14" x14ac:dyDescent="0.25">
      <c r="A24" s="140" t="s">
        <v>25</v>
      </c>
      <c r="B24" s="7"/>
      <c r="C24" s="7">
        <f>'FY24'!AJ24</f>
        <v>0</v>
      </c>
      <c r="D24" s="7">
        <f>'FY25'!AJ24</f>
        <v>0</v>
      </c>
      <c r="E24" s="7">
        <f>'FY26'!AJ24</f>
        <v>20.375</v>
      </c>
      <c r="F24" s="7">
        <f>'FY27'!AJ24</f>
        <v>24</v>
      </c>
      <c r="G24" s="7">
        <f>'FY28'!AJ24</f>
        <v>32.4</v>
      </c>
      <c r="J24" s="278">
        <f>D24/C19</f>
        <v>0</v>
      </c>
      <c r="K24" s="278">
        <f t="shared" ref="K24:N24" si="6">E24/D19</f>
        <v>2.5000000000000001E-2</v>
      </c>
      <c r="L24" s="278">
        <f t="shared" si="6"/>
        <v>2.5000000000000001E-2</v>
      </c>
      <c r="M24" s="278">
        <f t="shared" si="6"/>
        <v>0.03</v>
      </c>
      <c r="N24" s="278">
        <f t="shared" si="6"/>
        <v>0</v>
      </c>
    </row>
    <row r="25" spans="1:14" x14ac:dyDescent="0.25">
      <c r="A25" s="140" t="s">
        <v>26</v>
      </c>
      <c r="B25" s="226"/>
      <c r="C25" s="19">
        <f>'FY24'!AJ25</f>
        <v>0.64</v>
      </c>
      <c r="D25" s="19">
        <f>'FY25'!AJ25</f>
        <v>0.64</v>
      </c>
      <c r="E25" s="19">
        <f>'FY26'!AJ25</f>
        <v>0.64</v>
      </c>
      <c r="F25" s="19">
        <f>'FY27'!AJ25</f>
        <v>0.64</v>
      </c>
      <c r="G25" s="19">
        <f>'FY28'!AJ25</f>
        <v>0.64</v>
      </c>
      <c r="J25" s="279">
        <f>C25</f>
        <v>0.64</v>
      </c>
      <c r="K25" s="279">
        <f t="shared" ref="K25:N25" si="7">D25</f>
        <v>0.64</v>
      </c>
      <c r="L25" s="279">
        <f t="shared" si="7"/>
        <v>0.64</v>
      </c>
      <c r="M25" s="279">
        <f t="shared" si="7"/>
        <v>0.64</v>
      </c>
      <c r="N25" s="279">
        <f t="shared" si="7"/>
        <v>0.64</v>
      </c>
    </row>
    <row r="26" spans="1:14" x14ac:dyDescent="0.25">
      <c r="A26" s="140" t="s">
        <v>27</v>
      </c>
      <c r="B26" s="7"/>
      <c r="C26" s="7">
        <f>'FY24'!AJ26</f>
        <v>0</v>
      </c>
      <c r="D26" s="7">
        <f>'FY25'!AJ26</f>
        <v>148.35000000000002</v>
      </c>
      <c r="E26" s="7">
        <f>'FY26'!AJ26</f>
        <v>202.52749999999997</v>
      </c>
      <c r="F26" s="7">
        <f>'FY27'!AJ26</f>
        <v>238.56</v>
      </c>
      <c r="G26" s="7">
        <f>'FY28'!AJ26</f>
        <v>263.5200000000001</v>
      </c>
    </row>
    <row r="27" spans="1:14" x14ac:dyDescent="0.25">
      <c r="A27" s="20"/>
      <c r="B27" s="7"/>
      <c r="C27" s="7"/>
      <c r="D27" s="7"/>
      <c r="E27" s="7"/>
      <c r="F27" s="7">
        <f t="shared" ref="F27:G27" si="8">SUM(B27:E27)</f>
        <v>0</v>
      </c>
      <c r="G27" s="7">
        <f t="shared" si="8"/>
        <v>0</v>
      </c>
    </row>
    <row r="28" spans="1:14" x14ac:dyDescent="0.25">
      <c r="A28" s="17" t="s">
        <v>28</v>
      </c>
      <c r="B28" s="18"/>
      <c r="C28" s="18"/>
      <c r="D28" s="18"/>
      <c r="E28" s="18"/>
      <c r="F28" s="18"/>
      <c r="G28" s="18"/>
    </row>
    <row r="29" spans="1:14" x14ac:dyDescent="0.25">
      <c r="A29" s="21" t="s">
        <v>29</v>
      </c>
      <c r="B29" s="23"/>
      <c r="C29" s="23">
        <f>'FY24'!AJ29</f>
        <v>25</v>
      </c>
      <c r="D29" s="23">
        <f>'FY25'!AJ29</f>
        <v>31</v>
      </c>
      <c r="E29" s="23">
        <f>'FY26'!AJ29</f>
        <v>36</v>
      </c>
      <c r="F29" s="23">
        <f>'FY27'!AJ29</f>
        <v>40</v>
      </c>
      <c r="G29" s="23">
        <f>'FY28'!AJ29</f>
        <v>44</v>
      </c>
      <c r="I29" t="b">
        <f>B29=I19</f>
        <v>1</v>
      </c>
      <c r="J29" t="b">
        <f t="shared" ref="J29:N29" si="9">C29=J19</f>
        <v>1</v>
      </c>
      <c r="K29" t="b">
        <f t="shared" si="9"/>
        <v>1</v>
      </c>
      <c r="L29" t="b">
        <f t="shared" si="9"/>
        <v>1</v>
      </c>
      <c r="M29" t="b">
        <f t="shared" si="9"/>
        <v>1</v>
      </c>
      <c r="N29" t="b">
        <f t="shared" si="9"/>
        <v>1</v>
      </c>
    </row>
    <row r="30" spans="1:14" x14ac:dyDescent="0.25">
      <c r="A30" s="21" t="s">
        <v>30</v>
      </c>
      <c r="B30" s="23"/>
      <c r="C30" s="23">
        <f>'FY24'!AJ30</f>
        <v>3</v>
      </c>
      <c r="D30" s="23">
        <f>'FY25'!AJ30</f>
        <v>3.5</v>
      </c>
      <c r="E30" s="23">
        <f>'FY26'!AJ30</f>
        <v>4</v>
      </c>
      <c r="F30" s="23">
        <f>'FY27'!AJ30</f>
        <v>5</v>
      </c>
      <c r="G30" s="23">
        <f>'FY28'!AJ30</f>
        <v>5.5</v>
      </c>
    </row>
    <row r="31" spans="1:14" x14ac:dyDescent="0.25">
      <c r="A31" s="21" t="s">
        <v>31</v>
      </c>
      <c r="B31" s="23"/>
      <c r="C31" s="23">
        <f>'FY24'!AJ31</f>
        <v>1</v>
      </c>
      <c r="D31" s="23">
        <f>'FY25'!AJ31</f>
        <v>1</v>
      </c>
      <c r="E31" s="23">
        <f>'FY26'!AJ31</f>
        <v>1</v>
      </c>
      <c r="F31" s="23">
        <f>'FY27'!AJ31</f>
        <v>1</v>
      </c>
      <c r="G31" s="23">
        <f>'FY28'!AJ31</f>
        <v>1</v>
      </c>
    </row>
    <row r="32" spans="1:14" x14ac:dyDescent="0.25">
      <c r="A32" s="21" t="s">
        <v>32</v>
      </c>
      <c r="B32" s="23"/>
      <c r="C32" s="23">
        <f>'FY24'!AJ32</f>
        <v>1</v>
      </c>
      <c r="D32" s="23">
        <f>'FY25'!AJ32</f>
        <v>1</v>
      </c>
      <c r="E32" s="23">
        <f>'FY26'!AJ32</f>
        <v>1</v>
      </c>
      <c r="F32" s="23">
        <f>'FY27'!AJ32</f>
        <v>1</v>
      </c>
      <c r="G32" s="23">
        <f>'FY28'!AJ32</f>
        <v>1</v>
      </c>
    </row>
    <row r="33" spans="1:7" x14ac:dyDescent="0.25">
      <c r="A33" s="21" t="s">
        <v>33</v>
      </c>
      <c r="B33" s="23"/>
      <c r="C33" s="23">
        <f>'FY24'!AJ33</f>
        <v>1</v>
      </c>
      <c r="D33" s="23">
        <f>'FY25'!AJ33</f>
        <v>1</v>
      </c>
      <c r="E33" s="23">
        <f>'FY26'!AJ33</f>
        <v>1</v>
      </c>
      <c r="F33" s="23">
        <f>'FY27'!AJ33</f>
        <v>1</v>
      </c>
      <c r="G33" s="23">
        <f>'FY28'!AJ33</f>
        <v>1</v>
      </c>
    </row>
    <row r="34" spans="1:7" x14ac:dyDescent="0.25">
      <c r="A34" s="24" t="s">
        <v>34</v>
      </c>
      <c r="B34" s="23"/>
      <c r="C34" s="23">
        <f>'FY24'!AJ34</f>
        <v>0</v>
      </c>
      <c r="D34" s="23">
        <f>'FY25'!AJ34</f>
        <v>0</v>
      </c>
      <c r="E34" s="23">
        <f>'FY26'!AJ34</f>
        <v>0</v>
      </c>
      <c r="F34" s="23">
        <f>'FY27'!AJ34</f>
        <v>0</v>
      </c>
      <c r="G34" s="23">
        <f>'FY28'!AJ34</f>
        <v>0</v>
      </c>
    </row>
    <row r="35" spans="1:7" x14ac:dyDescent="0.25">
      <c r="A35" s="27" t="s">
        <v>35</v>
      </c>
      <c r="B35" s="23"/>
      <c r="C35" s="23">
        <f>'FY24'!AJ35</f>
        <v>0</v>
      </c>
      <c r="D35" s="23">
        <f>'FY25'!AJ35</f>
        <v>0</v>
      </c>
      <c r="E35" s="23">
        <f>'FY26'!AJ35</f>
        <v>1</v>
      </c>
      <c r="F35" s="23">
        <f>'FY27'!AJ35</f>
        <v>1</v>
      </c>
      <c r="G35" s="23">
        <f>'FY28'!AJ35</f>
        <v>1</v>
      </c>
    </row>
    <row r="36" spans="1:7" x14ac:dyDescent="0.25">
      <c r="A36" s="28" t="s">
        <v>36</v>
      </c>
      <c r="B36" s="23"/>
      <c r="C36" s="23">
        <f>'FY24'!AJ36</f>
        <v>0</v>
      </c>
      <c r="D36" s="23">
        <f>'FY25'!AJ36</f>
        <v>0</v>
      </c>
      <c r="E36" s="23">
        <f>'FY26'!AJ36</f>
        <v>0</v>
      </c>
      <c r="F36" s="23">
        <f>'FY27'!AJ36</f>
        <v>0</v>
      </c>
      <c r="G36" s="23">
        <f>'FY28'!AJ36</f>
        <v>0</v>
      </c>
    </row>
    <row r="37" spans="1:7" x14ac:dyDescent="0.25">
      <c r="A37" s="27" t="s">
        <v>37</v>
      </c>
      <c r="B37" s="23"/>
      <c r="C37" s="23">
        <f>'FY24'!AJ37</f>
        <v>0</v>
      </c>
      <c r="D37" s="23">
        <f>'FY25'!AJ37</f>
        <v>0</v>
      </c>
      <c r="E37" s="23">
        <f>'FY26'!AJ37</f>
        <v>1</v>
      </c>
      <c r="F37" s="23">
        <f>'FY27'!AJ37</f>
        <v>1</v>
      </c>
      <c r="G37" s="23">
        <f>'FY28'!AJ37</f>
        <v>1</v>
      </c>
    </row>
    <row r="38" spans="1:7" x14ac:dyDescent="0.25">
      <c r="A38" s="27" t="s">
        <v>38</v>
      </c>
      <c r="B38" s="23"/>
      <c r="C38" s="23">
        <f>'FY24'!AJ38</f>
        <v>0</v>
      </c>
      <c r="D38" s="23">
        <f>'FY25'!AJ38</f>
        <v>0</v>
      </c>
      <c r="E38" s="23">
        <f>'FY26'!AJ38</f>
        <v>0</v>
      </c>
      <c r="F38" s="23">
        <f>'FY27'!AJ38</f>
        <v>0.5</v>
      </c>
      <c r="G38" s="23">
        <f>'FY28'!AJ38</f>
        <v>1.5</v>
      </c>
    </row>
    <row r="39" spans="1:7" x14ac:dyDescent="0.25">
      <c r="A39" s="29" t="s">
        <v>39</v>
      </c>
      <c r="B39" s="30">
        <f>SUM(B29:B38)</f>
        <v>0</v>
      </c>
      <c r="C39" s="30">
        <f t="shared" ref="C39:G39" si="10">SUM(C29:C38)</f>
        <v>31</v>
      </c>
      <c r="D39" s="30">
        <f t="shared" si="10"/>
        <v>37.5</v>
      </c>
      <c r="E39" s="30">
        <f t="shared" si="10"/>
        <v>45</v>
      </c>
      <c r="F39" s="30">
        <f t="shared" si="10"/>
        <v>50.5</v>
      </c>
      <c r="G39" s="30">
        <f t="shared" si="10"/>
        <v>56</v>
      </c>
    </row>
    <row r="40" spans="1:7" x14ac:dyDescent="0.25">
      <c r="A40" s="31"/>
      <c r="B40" s="23"/>
      <c r="C40" s="23"/>
      <c r="D40" s="23"/>
      <c r="E40" s="23"/>
      <c r="F40" s="23"/>
      <c r="G40" s="23"/>
    </row>
    <row r="41" spans="1:7" x14ac:dyDescent="0.25">
      <c r="A41" s="17" t="s">
        <v>40</v>
      </c>
      <c r="B41" s="32" t="str">
        <f>B1</f>
        <v xml:space="preserve"> FY 23</v>
      </c>
      <c r="C41" s="32" t="str">
        <f t="shared" ref="C41:G41" si="11">C1</f>
        <v xml:space="preserve"> FY 24</v>
      </c>
      <c r="D41" s="32" t="str">
        <f t="shared" si="11"/>
        <v xml:space="preserve"> FY 25</v>
      </c>
      <c r="E41" s="32" t="str">
        <f t="shared" si="11"/>
        <v xml:space="preserve"> FY 26</v>
      </c>
      <c r="F41" s="32" t="str">
        <f t="shared" si="11"/>
        <v xml:space="preserve"> FY 27</v>
      </c>
      <c r="G41" s="32" t="str">
        <f t="shared" si="11"/>
        <v xml:space="preserve"> FY 28</v>
      </c>
    </row>
    <row r="42" spans="1:7" x14ac:dyDescent="0.25">
      <c r="A42" s="21" t="s">
        <v>41</v>
      </c>
      <c r="B42" s="23"/>
      <c r="C42" s="23">
        <f>'FY24'!AJ42</f>
        <v>1</v>
      </c>
      <c r="D42" s="23">
        <f>'FY25'!AJ42</f>
        <v>1</v>
      </c>
      <c r="E42" s="23">
        <f>'FY26'!AJ42</f>
        <v>1</v>
      </c>
      <c r="F42" s="23">
        <f>'FY27'!AJ42</f>
        <v>1</v>
      </c>
      <c r="G42" s="23">
        <f>'FY28'!AJ42</f>
        <v>1</v>
      </c>
    </row>
    <row r="43" spans="1:7" x14ac:dyDescent="0.25">
      <c r="A43" s="21" t="s">
        <v>42</v>
      </c>
      <c r="B43" s="23"/>
      <c r="C43" s="23">
        <f>'FY24'!AJ43</f>
        <v>1</v>
      </c>
      <c r="D43" s="23">
        <f>'FY25'!AJ43</f>
        <v>2</v>
      </c>
      <c r="E43" s="23">
        <f>'FY26'!AJ43</f>
        <v>2</v>
      </c>
      <c r="F43" s="23">
        <f>'FY27'!AJ43</f>
        <v>3</v>
      </c>
      <c r="G43" s="23">
        <f>'FY28'!AJ43</f>
        <v>3</v>
      </c>
    </row>
    <row r="44" spans="1:7" x14ac:dyDescent="0.25">
      <c r="A44" s="34" t="s">
        <v>43</v>
      </c>
      <c r="B44" s="23"/>
      <c r="C44" s="23">
        <f>'FY24'!AJ44</f>
        <v>1</v>
      </c>
      <c r="D44" s="23">
        <f>'FY25'!AJ44</f>
        <v>1</v>
      </c>
      <c r="E44" s="23">
        <f>'FY26'!AJ44</f>
        <v>1.5</v>
      </c>
      <c r="F44" s="23">
        <f>'FY27'!AJ44</f>
        <v>1.5</v>
      </c>
      <c r="G44" s="23">
        <f>'FY28'!AJ44</f>
        <v>2</v>
      </c>
    </row>
    <row r="45" spans="1:7" x14ac:dyDescent="0.25">
      <c r="A45" s="33" t="s">
        <v>44</v>
      </c>
      <c r="B45" s="23"/>
      <c r="C45" s="23">
        <f>'FY24'!AJ45</f>
        <v>0</v>
      </c>
      <c r="D45" s="23">
        <f>'FY25'!AJ45</f>
        <v>0</v>
      </c>
      <c r="E45" s="23">
        <f>'FY26'!AJ45</f>
        <v>1</v>
      </c>
      <c r="F45" s="23">
        <f>'FY27'!AJ45</f>
        <v>1</v>
      </c>
      <c r="G45" s="23">
        <f>'FY28'!AJ45</f>
        <v>1</v>
      </c>
    </row>
    <row r="46" spans="1:7" x14ac:dyDescent="0.25">
      <c r="A46" s="33" t="s">
        <v>45</v>
      </c>
      <c r="B46" s="23"/>
      <c r="C46" s="23">
        <f>'FY24'!AJ46</f>
        <v>0</v>
      </c>
      <c r="D46" s="23">
        <f>'FY25'!AJ46</f>
        <v>0</v>
      </c>
      <c r="E46" s="23">
        <f>'FY26'!AJ46</f>
        <v>0</v>
      </c>
      <c r="F46" s="23">
        <f>'FY27'!AJ46</f>
        <v>1</v>
      </c>
      <c r="G46" s="23">
        <f>'FY28'!AJ46</f>
        <v>1</v>
      </c>
    </row>
    <row r="47" spans="1:7" x14ac:dyDescent="0.25">
      <c r="A47" s="21" t="s">
        <v>200</v>
      </c>
      <c r="B47" s="23"/>
      <c r="C47" s="23">
        <f>'FY24'!AJ47</f>
        <v>1</v>
      </c>
      <c r="D47" s="23">
        <f>'FY25'!AJ47</f>
        <v>1</v>
      </c>
      <c r="E47" s="23">
        <f>'FY26'!AJ47</f>
        <v>1</v>
      </c>
      <c r="F47" s="23">
        <f>'FY27'!AJ47</f>
        <v>1</v>
      </c>
      <c r="G47" s="23">
        <f>'FY28'!AJ47</f>
        <v>1</v>
      </c>
    </row>
    <row r="48" spans="1:7" x14ac:dyDescent="0.25">
      <c r="A48" s="21" t="s">
        <v>47</v>
      </c>
      <c r="B48" s="23"/>
      <c r="C48" s="23">
        <f>'FY24'!AJ48</f>
        <v>0</v>
      </c>
      <c r="D48" s="23">
        <f>'FY25'!AJ48</f>
        <v>1</v>
      </c>
      <c r="E48" s="23">
        <f>'FY26'!AJ48</f>
        <v>1</v>
      </c>
      <c r="F48" s="23">
        <f>'FY27'!AJ48</f>
        <v>1</v>
      </c>
      <c r="G48" s="23">
        <f>'FY28'!AJ48</f>
        <v>1</v>
      </c>
    </row>
    <row r="49" spans="1:7" x14ac:dyDescent="0.25">
      <c r="A49" s="21" t="s">
        <v>48</v>
      </c>
      <c r="B49" s="23"/>
      <c r="C49" s="23">
        <f>'FY24'!AJ49</f>
        <v>0</v>
      </c>
      <c r="D49" s="23">
        <f>'FY25'!AJ49</f>
        <v>1</v>
      </c>
      <c r="E49" s="23">
        <f>'FY26'!AJ49</f>
        <v>1</v>
      </c>
      <c r="F49" s="23">
        <f>'FY27'!AJ49</f>
        <v>1</v>
      </c>
      <c r="G49" s="23">
        <f>'FY28'!AJ49</f>
        <v>1</v>
      </c>
    </row>
    <row r="50" spans="1:7" x14ac:dyDescent="0.25">
      <c r="A50" s="21" t="s">
        <v>49</v>
      </c>
      <c r="B50" s="23"/>
      <c r="C50" s="23">
        <f>'FY24'!AJ50</f>
        <v>1</v>
      </c>
      <c r="D50" s="23">
        <f>'FY25'!AJ50</f>
        <v>1</v>
      </c>
      <c r="E50" s="23">
        <f>'FY26'!AJ50</f>
        <v>1</v>
      </c>
      <c r="F50" s="23">
        <f>'FY27'!AJ50</f>
        <v>1</v>
      </c>
      <c r="G50" s="23">
        <f>'FY28'!AJ50</f>
        <v>1</v>
      </c>
    </row>
    <row r="51" spans="1:7" x14ac:dyDescent="0.25">
      <c r="A51" s="21" t="s">
        <v>50</v>
      </c>
      <c r="B51" s="23"/>
      <c r="C51" s="23">
        <f>'FY24'!AJ51</f>
        <v>1</v>
      </c>
      <c r="D51" s="23">
        <f>'FY25'!AJ51</f>
        <v>5</v>
      </c>
      <c r="E51" s="23">
        <f>'FY26'!AJ51</f>
        <v>5</v>
      </c>
      <c r="F51" s="23">
        <f>'FY27'!AJ51</f>
        <v>5</v>
      </c>
      <c r="G51" s="23">
        <f>'FY28'!AJ51</f>
        <v>5</v>
      </c>
    </row>
    <row r="52" spans="1:7" x14ac:dyDescent="0.25">
      <c r="A52" s="21" t="s">
        <v>51</v>
      </c>
      <c r="B52" s="23"/>
      <c r="C52" s="23">
        <f>'FY24'!AJ52</f>
        <v>1</v>
      </c>
      <c r="D52" s="23">
        <f>'FY25'!AJ52</f>
        <v>1</v>
      </c>
      <c r="E52" s="23">
        <f>'FY26'!AJ52</f>
        <v>2</v>
      </c>
      <c r="F52" s="23">
        <f>'FY27'!AJ52</f>
        <v>2</v>
      </c>
      <c r="G52" s="23">
        <f>'FY28'!AJ52</f>
        <v>2</v>
      </c>
    </row>
    <row r="53" spans="1:7" x14ac:dyDescent="0.25">
      <c r="A53" s="21" t="s">
        <v>52</v>
      </c>
      <c r="B53" s="23"/>
      <c r="C53" s="23">
        <f>'FY24'!AJ53</f>
        <v>1</v>
      </c>
      <c r="D53" s="23">
        <f>'FY25'!AJ53</f>
        <v>1</v>
      </c>
      <c r="E53" s="23">
        <f>'FY26'!AJ53</f>
        <v>1</v>
      </c>
      <c r="F53" s="23">
        <f>'FY27'!AJ53</f>
        <v>1</v>
      </c>
      <c r="G53" s="23">
        <f>'FY28'!AJ53</f>
        <v>1</v>
      </c>
    </row>
    <row r="54" spans="1:7" x14ac:dyDescent="0.25">
      <c r="A54" s="21" t="s">
        <v>244</v>
      </c>
      <c r="B54" s="23"/>
      <c r="C54" s="23">
        <f>'FY24'!AJ54</f>
        <v>0</v>
      </c>
      <c r="D54" s="23">
        <f>'FY25'!AJ54</f>
        <v>0</v>
      </c>
      <c r="E54" s="23">
        <f>'FY26'!AJ54</f>
        <v>0</v>
      </c>
      <c r="F54" s="23">
        <f>'FY27'!AJ54</f>
        <v>0</v>
      </c>
      <c r="G54" s="23">
        <f>'FY28'!AJ54</f>
        <v>0</v>
      </c>
    </row>
    <row r="55" spans="1:7" x14ac:dyDescent="0.25">
      <c r="A55" s="34" t="s">
        <v>54</v>
      </c>
      <c r="B55" s="23"/>
      <c r="C55" s="23">
        <f>'FY24'!AJ55</f>
        <v>0</v>
      </c>
      <c r="D55" s="23">
        <f>'FY25'!AJ55</f>
        <v>0</v>
      </c>
      <c r="E55" s="23">
        <f>'FY26'!AJ55</f>
        <v>0</v>
      </c>
      <c r="F55" s="23">
        <f>'FY27'!AJ55</f>
        <v>0</v>
      </c>
      <c r="G55" s="23">
        <f>'FY28'!AJ55</f>
        <v>0</v>
      </c>
    </row>
    <row r="56" spans="1:7" x14ac:dyDescent="0.25">
      <c r="A56" s="34" t="s">
        <v>55</v>
      </c>
      <c r="B56" s="23"/>
      <c r="C56" s="23">
        <f>'FY24'!AJ56</f>
        <v>0</v>
      </c>
      <c r="D56" s="23">
        <f>'FY25'!AJ56</f>
        <v>0</v>
      </c>
      <c r="E56" s="23">
        <f>'FY26'!AJ56</f>
        <v>0</v>
      </c>
      <c r="F56" s="23">
        <f>'FY27'!AJ56</f>
        <v>0</v>
      </c>
      <c r="G56" s="23">
        <f>'FY28'!AJ56</f>
        <v>0</v>
      </c>
    </row>
    <row r="57" spans="1:7" x14ac:dyDescent="0.25">
      <c r="A57" s="34" t="s">
        <v>56</v>
      </c>
      <c r="B57" s="23"/>
      <c r="C57" s="23">
        <f>'FY24'!AJ57</f>
        <v>0</v>
      </c>
      <c r="D57" s="23">
        <f>'FY25'!AJ57</f>
        <v>0</v>
      </c>
      <c r="E57" s="23">
        <f>'FY26'!AJ57</f>
        <v>0</v>
      </c>
      <c r="F57" s="23">
        <f>'FY27'!AJ57</f>
        <v>0</v>
      </c>
      <c r="G57" s="23">
        <f>'FY28'!AJ57</f>
        <v>0</v>
      </c>
    </row>
    <row r="58" spans="1:7" x14ac:dyDescent="0.25">
      <c r="A58" s="34" t="s">
        <v>57</v>
      </c>
      <c r="B58" s="23"/>
      <c r="C58" s="23">
        <f>'FY24'!AJ58</f>
        <v>0</v>
      </c>
      <c r="D58" s="23">
        <f>'FY25'!AJ58</f>
        <v>0</v>
      </c>
      <c r="E58" s="23">
        <f>'FY26'!AJ58</f>
        <v>0</v>
      </c>
      <c r="F58" s="23">
        <f>'FY27'!AJ58</f>
        <v>0</v>
      </c>
      <c r="G58" s="23">
        <f>'FY28'!AJ58</f>
        <v>0</v>
      </c>
    </row>
    <row r="59" spans="1:7" x14ac:dyDescent="0.25">
      <c r="A59" s="34" t="s">
        <v>58</v>
      </c>
      <c r="B59" s="23"/>
      <c r="C59" s="23">
        <f>'FY24'!AJ59</f>
        <v>0</v>
      </c>
      <c r="D59" s="23">
        <f>'FY25'!AJ59</f>
        <v>0</v>
      </c>
      <c r="E59" s="23">
        <f>'FY26'!AJ59</f>
        <v>0</v>
      </c>
      <c r="F59" s="23">
        <f>'FY27'!AJ59</f>
        <v>0</v>
      </c>
      <c r="G59" s="23">
        <f>'FY28'!AJ59</f>
        <v>0</v>
      </c>
    </row>
    <row r="60" spans="1:7" x14ac:dyDescent="0.25">
      <c r="A60" s="34" t="s">
        <v>59</v>
      </c>
      <c r="B60" s="23"/>
      <c r="C60" s="23">
        <f>'FY24'!AJ60</f>
        <v>0</v>
      </c>
      <c r="D60" s="23">
        <f>'FY25'!AJ60</f>
        <v>0.5</v>
      </c>
      <c r="E60" s="23">
        <f>'FY26'!AJ60</f>
        <v>0.5</v>
      </c>
      <c r="F60" s="23">
        <f>'FY27'!AJ60</f>
        <v>0.5</v>
      </c>
      <c r="G60" s="23">
        <f>'FY28'!AJ60</f>
        <v>0.5</v>
      </c>
    </row>
    <row r="61" spans="1:7" x14ac:dyDescent="0.25">
      <c r="A61" s="35" t="s">
        <v>245</v>
      </c>
      <c r="B61" s="23"/>
      <c r="C61" s="23">
        <f>'FY24'!AJ61</f>
        <v>0</v>
      </c>
      <c r="D61" s="23">
        <f>'FY25'!AJ61</f>
        <v>0</v>
      </c>
      <c r="E61" s="23">
        <f>'FY26'!AJ61</f>
        <v>0</v>
      </c>
      <c r="F61" s="23">
        <f>'FY27'!AJ61</f>
        <v>0</v>
      </c>
      <c r="G61" s="23">
        <f>'FY28'!AJ61</f>
        <v>0</v>
      </c>
    </row>
    <row r="62" spans="1:7" x14ac:dyDescent="0.25">
      <c r="A62" s="29" t="s">
        <v>60</v>
      </c>
      <c r="B62" s="30">
        <f>SUM(B42:B61)</f>
        <v>0</v>
      </c>
      <c r="C62" s="30">
        <f t="shared" ref="C62:G62" si="12">SUM(C42:C61)</f>
        <v>8</v>
      </c>
      <c r="D62" s="30">
        <f>SUM(D42:D61)</f>
        <v>15.5</v>
      </c>
      <c r="E62" s="30">
        <f t="shared" si="12"/>
        <v>18</v>
      </c>
      <c r="F62" s="30">
        <f t="shared" si="12"/>
        <v>20</v>
      </c>
      <c r="G62" s="30">
        <f t="shared" si="12"/>
        <v>20.5</v>
      </c>
    </row>
    <row r="63" spans="1:7" ht="15.75" thickBot="1" x14ac:dyDescent="0.3">
      <c r="A63" s="36"/>
      <c r="B63" s="38"/>
      <c r="C63" s="38"/>
      <c r="D63" s="38"/>
      <c r="E63" s="38"/>
      <c r="F63" s="38"/>
      <c r="G63" s="38"/>
    </row>
    <row r="64" spans="1:7" x14ac:dyDescent="0.25">
      <c r="A64" s="40" t="s">
        <v>61</v>
      </c>
      <c r="B64" s="39">
        <f>B39</f>
        <v>0</v>
      </c>
      <c r="C64" s="39">
        <f>C39</f>
        <v>31</v>
      </c>
      <c r="D64" s="39">
        <f>D39</f>
        <v>37.5</v>
      </c>
      <c r="E64" s="39">
        <f t="shared" ref="E64" si="13">E39</f>
        <v>45</v>
      </c>
      <c r="F64" s="39">
        <f>F39</f>
        <v>50.5</v>
      </c>
      <c r="G64" s="39">
        <f>G39</f>
        <v>56</v>
      </c>
    </row>
    <row r="65" spans="1:7" ht="15.75" thickBot="1" x14ac:dyDescent="0.3">
      <c r="A65" s="42" t="s">
        <v>62</v>
      </c>
      <c r="B65" s="41">
        <f>B62</f>
        <v>0</v>
      </c>
      <c r="C65" s="41">
        <f>C62</f>
        <v>8</v>
      </c>
      <c r="D65" s="41">
        <f>D62</f>
        <v>15.5</v>
      </c>
      <c r="E65" s="41">
        <f t="shared" ref="E65:G65" si="14">E62</f>
        <v>18</v>
      </c>
      <c r="F65" s="41">
        <f t="shared" si="14"/>
        <v>20</v>
      </c>
      <c r="G65" s="41">
        <f t="shared" si="14"/>
        <v>20.5</v>
      </c>
    </row>
    <row r="66" spans="1:7" ht="15.75" thickBot="1" x14ac:dyDescent="0.3">
      <c r="A66" s="44" t="s">
        <v>63</v>
      </c>
      <c r="B66" s="43">
        <f>SUM(B64:B65)</f>
        <v>0</v>
      </c>
      <c r="C66" s="43">
        <f>SUM(C64:C65)</f>
        <v>39</v>
      </c>
      <c r="D66" s="43">
        <f>SUM(D64:D65)</f>
        <v>53</v>
      </c>
      <c r="E66" s="43">
        <f t="shared" ref="E66:G66" si="15">SUM(E64:E65)</f>
        <v>63</v>
      </c>
      <c r="F66" s="43">
        <f t="shared" si="15"/>
        <v>70.5</v>
      </c>
      <c r="G66" s="43">
        <f t="shared" si="15"/>
        <v>76.5</v>
      </c>
    </row>
    <row r="67" spans="1:7" ht="15.75" thickBot="1" x14ac:dyDescent="0.3">
      <c r="A67" s="34"/>
      <c r="B67" s="45"/>
      <c r="C67" s="45"/>
      <c r="D67" s="45"/>
      <c r="E67" s="45"/>
      <c r="F67" s="45"/>
      <c r="G67" s="45"/>
    </row>
    <row r="68" spans="1:7" x14ac:dyDescent="0.25">
      <c r="A68" s="47" t="s">
        <v>64</v>
      </c>
      <c r="B68" s="46"/>
      <c r="C68" s="46">
        <f t="shared" ref="C68:E68" si="16">C139/(SUM(C207:C217))</f>
        <v>0.56453991351677724</v>
      </c>
      <c r="D68" s="46">
        <f t="shared" si="16"/>
        <v>0.55599694209332984</v>
      </c>
      <c r="E68" s="46">
        <f t="shared" si="16"/>
        <v>0.56412376957180077</v>
      </c>
      <c r="F68" s="46">
        <f>F139/(SUM(F207:F217))</f>
        <v>0.57467556501231298</v>
      </c>
      <c r="G68" s="46">
        <f>G139/(SUM(G207:G217))</f>
        <v>0.56161929619275108</v>
      </c>
    </row>
    <row r="69" spans="1:7" x14ac:dyDescent="0.25">
      <c r="A69" s="49" t="s">
        <v>65</v>
      </c>
      <c r="B69" s="48"/>
      <c r="C69" s="48">
        <f t="shared" ref="C69:G69" si="17">(C108+C109+C110+C113)/C129</f>
        <v>0.79798243234784783</v>
      </c>
      <c r="D69" s="48">
        <f t="shared" si="17"/>
        <v>0.77436390200487537</v>
      </c>
      <c r="E69" s="48">
        <f t="shared" si="17"/>
        <v>0.77168190365668354</v>
      </c>
      <c r="F69" s="48">
        <f t="shared" si="17"/>
        <v>0.76056951244603177</v>
      </c>
      <c r="G69" s="48">
        <f t="shared" si="17"/>
        <v>0.77129782991465845</v>
      </c>
    </row>
    <row r="70" spans="1:7" x14ac:dyDescent="0.25">
      <c r="A70" s="51" t="s">
        <v>66</v>
      </c>
      <c r="B70" s="48"/>
      <c r="C70" s="48">
        <f t="shared" ref="C70:G70" si="18">(C103+C104+C106+C107+C111+C112+C114+C115+C118+C119+C120+C121+C122+C105+C123+C124+C125+C126+C127)/C129</f>
        <v>0.20201756765215215</v>
      </c>
      <c r="D70" s="48">
        <f t="shared" si="18"/>
        <v>0.22563609799512466</v>
      </c>
      <c r="E70" s="48">
        <f t="shared" si="18"/>
        <v>0.22831809634331646</v>
      </c>
      <c r="F70" s="48">
        <f t="shared" si="18"/>
        <v>0.23943048755396823</v>
      </c>
      <c r="G70" s="48">
        <f t="shared" si="18"/>
        <v>0.22870217008534155</v>
      </c>
    </row>
    <row r="71" spans="1:7" ht="15.75" thickBot="1" x14ac:dyDescent="0.3">
      <c r="A71" s="53" t="s">
        <v>67</v>
      </c>
      <c r="B71" s="52"/>
      <c r="C71" s="52">
        <f t="shared" ref="C71:E71" si="19">SUM(C209:C217)/C86</f>
        <v>0.19634265449502294</v>
      </c>
      <c r="D71" s="52">
        <f t="shared" si="19"/>
        <v>0.17656759643317341</v>
      </c>
      <c r="E71" s="52">
        <f t="shared" si="19"/>
        <v>0.1761470262852986</v>
      </c>
      <c r="F71" s="52">
        <f>SUM(F209:F217)/F86</f>
        <v>0.16939298354339818</v>
      </c>
      <c r="G71" s="52">
        <f>SUM(G209:G217)/G86</f>
        <v>0.19499784543829898</v>
      </c>
    </row>
    <row r="72" spans="1:7" x14ac:dyDescent="0.25">
      <c r="A72" s="54"/>
      <c r="B72" s="55"/>
      <c r="C72" s="55"/>
      <c r="D72" s="55"/>
      <c r="E72" s="55"/>
      <c r="F72" s="55"/>
      <c r="G72" s="55"/>
    </row>
    <row r="73" spans="1:7" x14ac:dyDescent="0.25">
      <c r="A73" s="57" t="s">
        <v>246</v>
      </c>
      <c r="B73" s="58" t="str">
        <f>B1</f>
        <v xml:space="preserve"> FY 23</v>
      </c>
      <c r="C73" s="58" t="str">
        <f>C1</f>
        <v xml:space="preserve"> FY 24</v>
      </c>
      <c r="D73" s="58" t="str">
        <f>D1</f>
        <v xml:space="preserve"> FY 25</v>
      </c>
      <c r="E73" s="58" t="str">
        <f t="shared" ref="E73" si="20">E1</f>
        <v xml:space="preserve"> FY 26</v>
      </c>
      <c r="F73" s="58" t="str">
        <f>F1</f>
        <v xml:space="preserve"> FY 27</v>
      </c>
      <c r="G73" s="58" t="str">
        <f>G1</f>
        <v xml:space="preserve"> FY 28</v>
      </c>
    </row>
    <row r="74" spans="1:7" x14ac:dyDescent="0.25">
      <c r="A74" s="60" t="s">
        <v>69</v>
      </c>
      <c r="B74" s="7"/>
      <c r="C74" s="7">
        <f>'FY24'!AJ74</f>
        <v>4765136.8049999997</v>
      </c>
      <c r="D74" s="7">
        <f>'FY25'!AJ74</f>
        <v>6099338.1713549988</v>
      </c>
      <c r="E74" s="7">
        <f>'FY26'!AJ74</f>
        <v>7277894.9507721579</v>
      </c>
      <c r="F74" s="7">
        <f>'FY27'!AJ74</f>
        <v>8294071.0332737202</v>
      </c>
      <c r="G74" s="7">
        <f>'FY28'!AJ74</f>
        <v>9335437.7296736427</v>
      </c>
    </row>
    <row r="75" spans="1:7" x14ac:dyDescent="0.25">
      <c r="A75" s="62" t="s">
        <v>70</v>
      </c>
      <c r="B75" s="7"/>
      <c r="C75" s="7">
        <f>'FY24'!AJ75</f>
        <v>0</v>
      </c>
      <c r="D75" s="7">
        <f>'FY25'!AJ75</f>
        <v>0</v>
      </c>
      <c r="E75" s="7">
        <f>'FY26'!AJ75</f>
        <v>0</v>
      </c>
      <c r="F75" s="7">
        <f>'FY27'!AJ75</f>
        <v>0</v>
      </c>
      <c r="G75" s="7">
        <f>'FY28'!AJ75</f>
        <v>0</v>
      </c>
    </row>
    <row r="76" spans="1:7" x14ac:dyDescent="0.25">
      <c r="A76" s="62" t="s">
        <v>71</v>
      </c>
      <c r="B76" s="7"/>
      <c r="C76" s="7">
        <f>'FY24'!AJ76</f>
        <v>278640</v>
      </c>
      <c r="D76" s="7">
        <f>'FY25'!AJ76</f>
        <v>356774.39999999997</v>
      </c>
      <c r="E76" s="7">
        <f>'FY26'!AJ76</f>
        <v>425779.20000000001</v>
      </c>
      <c r="F76" s="7">
        <f>'FY27'!AJ76</f>
        <v>491443.20000000007</v>
      </c>
      <c r="G76" s="7">
        <f>'FY28'!AJ76</f>
        <v>559871.99999999988</v>
      </c>
    </row>
    <row r="77" spans="1:7" x14ac:dyDescent="0.25">
      <c r="A77" s="62" t="s">
        <v>72</v>
      </c>
      <c r="B77" s="7"/>
      <c r="C77" s="7">
        <f>'FY24'!AJ77</f>
        <v>38000</v>
      </c>
      <c r="D77" s="7">
        <f>'FY25'!AJ77</f>
        <v>73529.999999999985</v>
      </c>
      <c r="E77" s="7">
        <f>'FY26'!AJ77</f>
        <v>92910</v>
      </c>
      <c r="F77" s="7">
        <f>'FY27'!AJ77</f>
        <v>109439.99999999999</v>
      </c>
      <c r="G77" s="7">
        <f>'FY28'!AJ77</f>
        <v>123120</v>
      </c>
    </row>
    <row r="78" spans="1:7" x14ac:dyDescent="0.25">
      <c r="A78" s="141" t="s">
        <v>73</v>
      </c>
      <c r="B78" s="7"/>
      <c r="C78" s="7">
        <f>'FY24'!AJ78</f>
        <v>0</v>
      </c>
      <c r="D78" s="7">
        <f>'FY25'!AJ78</f>
        <v>193499.99999999997</v>
      </c>
      <c r="E78" s="7">
        <f>'FY26'!AJ78</f>
        <v>249390</v>
      </c>
      <c r="F78" s="7">
        <f>'FY27'!AJ78</f>
        <v>293760</v>
      </c>
      <c r="G78" s="7">
        <f>'FY28'!AJ78</f>
        <v>324000</v>
      </c>
    </row>
    <row r="79" spans="1:7" x14ac:dyDescent="0.25">
      <c r="A79" s="62" t="s">
        <v>74</v>
      </c>
      <c r="B79" s="7"/>
      <c r="C79" s="7">
        <f>'FY24'!AJ79</f>
        <v>0</v>
      </c>
      <c r="D79" s="7">
        <f>'FY25'!AJ79</f>
        <v>305826.75</v>
      </c>
      <c r="E79" s="7">
        <f>'FY26'!AJ79</f>
        <v>386432.25</v>
      </c>
      <c r="F79" s="7">
        <f>'FY27'!AJ79</f>
        <v>455183.99999999994</v>
      </c>
      <c r="G79" s="7">
        <f>'FY28'!AJ79</f>
        <v>561880.79999999993</v>
      </c>
    </row>
    <row r="80" spans="1:7" x14ac:dyDescent="0.25">
      <c r="A80" s="62" t="s">
        <v>75</v>
      </c>
      <c r="B80" s="7"/>
      <c r="C80" s="7">
        <f>'FY24'!AJ80</f>
        <v>0</v>
      </c>
      <c r="D80" s="7">
        <f>'FY25'!AJ80</f>
        <v>0</v>
      </c>
      <c r="E80" s="7">
        <f>'FY26'!AJ80</f>
        <v>17278</v>
      </c>
      <c r="F80" s="7">
        <f>'FY27'!AJ80</f>
        <v>20352</v>
      </c>
      <c r="G80" s="7">
        <f>'FY28'!AJ80</f>
        <v>29678.399999999998</v>
      </c>
    </row>
    <row r="81" spans="1:7" x14ac:dyDescent="0.25">
      <c r="A81" s="62" t="s">
        <v>76</v>
      </c>
      <c r="B81" s="7"/>
      <c r="C81" s="7">
        <f>'FY24'!AJ81</f>
        <v>0</v>
      </c>
      <c r="D81" s="7">
        <f>'FY25'!AJ81</f>
        <v>35752.350000000006</v>
      </c>
      <c r="E81" s="7">
        <f>'FY26'!AJ81</f>
        <v>48809.127499999995</v>
      </c>
      <c r="F81" s="7">
        <f>'FY27'!AJ81</f>
        <v>57492.959999999999</v>
      </c>
      <c r="G81" s="7">
        <f>'FY28'!AJ81</f>
        <v>71413.920000000027</v>
      </c>
    </row>
    <row r="82" spans="1:7" x14ac:dyDescent="0.25">
      <c r="A82" s="62" t="s">
        <v>247</v>
      </c>
      <c r="B82" s="7"/>
      <c r="C82" s="7">
        <f>'FY24'!AJ82</f>
        <v>0</v>
      </c>
      <c r="D82" s="7">
        <f>'FY25'!AJ82</f>
        <v>0</v>
      </c>
      <c r="E82" s="7">
        <f>'FY26'!AJ82</f>
        <v>0</v>
      </c>
      <c r="F82" s="7">
        <f>'FY27'!AJ82</f>
        <v>0</v>
      </c>
      <c r="G82" s="7">
        <f>'FY28'!AJ82</f>
        <v>0</v>
      </c>
    </row>
    <row r="83" spans="1:7" x14ac:dyDescent="0.25">
      <c r="A83" s="154" t="s">
        <v>78</v>
      </c>
      <c r="B83" s="7"/>
      <c r="C83" s="7">
        <f>'FY24'!AJ83</f>
        <v>0</v>
      </c>
      <c r="D83" s="7">
        <f>'FY25'!AJ83</f>
        <v>0</v>
      </c>
      <c r="E83" s="7">
        <f>'FY26'!AJ83</f>
        <v>0</v>
      </c>
      <c r="F83" s="7">
        <f>'FY27'!AJ83</f>
        <v>0</v>
      </c>
      <c r="G83" s="7">
        <f>'FY28'!AJ83</f>
        <v>0</v>
      </c>
    </row>
    <row r="84" spans="1:7" x14ac:dyDescent="0.25">
      <c r="A84" s="62" t="s">
        <v>77</v>
      </c>
      <c r="B84" s="7"/>
      <c r="C84" s="7">
        <f>'FY24'!AJ84</f>
        <v>0</v>
      </c>
      <c r="D84" s="7">
        <f>'FY25'!AJ84</f>
        <v>0</v>
      </c>
      <c r="E84" s="7">
        <f>'FY26'!AJ84</f>
        <v>0</v>
      </c>
      <c r="F84" s="7">
        <f>'FY27'!AJ84</f>
        <v>0</v>
      </c>
      <c r="G84" s="7">
        <f>'FY28'!AJ84</f>
        <v>0</v>
      </c>
    </row>
    <row r="85" spans="1:7" ht="15.75" thickBot="1" x14ac:dyDescent="0.3">
      <c r="A85" s="65" t="s">
        <v>79</v>
      </c>
      <c r="B85" s="7"/>
      <c r="C85" s="7">
        <f>'FY24'!AJ85</f>
        <v>11360</v>
      </c>
      <c r="D85" s="7">
        <f>'FY25'!AJ85</f>
        <v>14720</v>
      </c>
      <c r="E85" s="7">
        <f>'FY26'!AJ85</f>
        <v>17120</v>
      </c>
      <c r="F85" s="7">
        <f>'FY27'!AJ85</f>
        <v>18920</v>
      </c>
      <c r="G85" s="7">
        <f>'FY28'!AJ85</f>
        <v>20360</v>
      </c>
    </row>
    <row r="86" spans="1:7" ht="15.75" thickBot="1" x14ac:dyDescent="0.3">
      <c r="A86" s="67" t="s">
        <v>80</v>
      </c>
      <c r="B86" s="68">
        <f>SUM(B74:B85)</f>
        <v>0</v>
      </c>
      <c r="C86" s="68">
        <f>SUM(C74:C85)</f>
        <v>5093136.8049999997</v>
      </c>
      <c r="D86" s="68">
        <f>SUM(D74:D85)</f>
        <v>7079441.6713549988</v>
      </c>
      <c r="E86" s="68">
        <f t="shared" ref="E86:G86" si="21">SUM(E74:E85)</f>
        <v>8515613.5282721575</v>
      </c>
      <c r="F86" s="68">
        <f t="shared" si="21"/>
        <v>9740663.1932737213</v>
      </c>
      <c r="G86" s="68">
        <f t="shared" si="21"/>
        <v>11025762.849673644</v>
      </c>
    </row>
    <row r="87" spans="1:7" hidden="1" x14ac:dyDescent="0.25">
      <c r="A87" s="60" t="s">
        <v>69</v>
      </c>
      <c r="B87" s="7"/>
      <c r="C87" s="7">
        <f>'FY24'!AJ87</f>
        <v>4765136.8049999997</v>
      </c>
      <c r="D87" s="7">
        <f>'FY25'!AJ87</f>
        <v>6099338.1713549988</v>
      </c>
      <c r="E87" s="7">
        <f>'FY26'!AJ87</f>
        <v>7277894.9507721579</v>
      </c>
      <c r="F87" s="7">
        <f>'FY27'!AJ87</f>
        <v>8294071.0332737202</v>
      </c>
      <c r="G87" s="7">
        <f>'FY28'!AJ87</f>
        <v>9335437.7296736427</v>
      </c>
    </row>
    <row r="88" spans="1:7" hidden="1" x14ac:dyDescent="0.25">
      <c r="A88" s="62" t="s">
        <v>201</v>
      </c>
      <c r="B88" s="7"/>
      <c r="C88" s="7">
        <f>'FY24'!AJ88</f>
        <v>0</v>
      </c>
      <c r="D88" s="7">
        <f>'FY25'!AJ88</f>
        <v>0</v>
      </c>
      <c r="E88" s="7">
        <f>'FY26'!AJ88</f>
        <v>0</v>
      </c>
      <c r="F88" s="7">
        <f>'FY27'!AJ88</f>
        <v>0</v>
      </c>
      <c r="G88" s="7">
        <f>'FY28'!AJ88</f>
        <v>0</v>
      </c>
    </row>
    <row r="89" spans="1:7" hidden="1" x14ac:dyDescent="0.25">
      <c r="A89" s="62" t="s">
        <v>71</v>
      </c>
      <c r="B89" s="7"/>
      <c r="C89" s="7">
        <f>'FY24'!AJ89</f>
        <v>278640</v>
      </c>
      <c r="D89" s="7">
        <f>'FY25'!AJ89</f>
        <v>356774.39999999997</v>
      </c>
      <c r="E89" s="7">
        <f>'FY26'!AJ89</f>
        <v>425779.20000000001</v>
      </c>
      <c r="F89" s="7">
        <f>'FY27'!AJ89</f>
        <v>491443.20000000007</v>
      </c>
      <c r="G89" s="7">
        <f>'FY28'!AJ89</f>
        <v>559871.99999999988</v>
      </c>
    </row>
    <row r="90" spans="1:7" hidden="1" x14ac:dyDescent="0.25">
      <c r="A90" s="62" t="s">
        <v>72</v>
      </c>
      <c r="B90" s="7"/>
      <c r="C90" s="7">
        <f>'FY24'!AJ90</f>
        <v>38000</v>
      </c>
      <c r="D90" s="7">
        <f>'FY25'!AJ90</f>
        <v>73529.999999999985</v>
      </c>
      <c r="E90" s="7">
        <f>'FY26'!AJ90</f>
        <v>92910</v>
      </c>
      <c r="F90" s="7">
        <f>'FY27'!AJ90</f>
        <v>109439.99999999999</v>
      </c>
      <c r="G90" s="7">
        <f>'FY28'!AJ90</f>
        <v>123120</v>
      </c>
    </row>
    <row r="91" spans="1:7" hidden="1" x14ac:dyDescent="0.25">
      <c r="A91" s="141" t="s">
        <v>73</v>
      </c>
      <c r="B91" s="7"/>
      <c r="C91" s="7">
        <f>'FY24'!AJ91</f>
        <v>0</v>
      </c>
      <c r="D91" s="7">
        <f>'FY25'!AJ91</f>
        <v>193499.99999999997</v>
      </c>
      <c r="E91" s="7">
        <f>'FY26'!AJ91</f>
        <v>249390</v>
      </c>
      <c r="F91" s="7">
        <f>'FY27'!AJ91</f>
        <v>293760</v>
      </c>
      <c r="G91" s="7">
        <f>'FY28'!AJ91</f>
        <v>324000</v>
      </c>
    </row>
    <row r="92" spans="1:7" hidden="1" x14ac:dyDescent="0.25">
      <c r="A92" s="62" t="s">
        <v>74</v>
      </c>
      <c r="B92" s="7"/>
      <c r="C92" s="7">
        <f>'FY24'!AJ92</f>
        <v>0</v>
      </c>
      <c r="D92" s="7">
        <f>'FY25'!AJ92</f>
        <v>305826.75</v>
      </c>
      <c r="E92" s="7">
        <f>'FY26'!AJ92</f>
        <v>386432.25</v>
      </c>
      <c r="F92" s="7">
        <f>'FY27'!AJ92</f>
        <v>455183.99999999994</v>
      </c>
      <c r="G92" s="7">
        <f>'FY28'!AJ92</f>
        <v>561880.79999999993</v>
      </c>
    </row>
    <row r="93" spans="1:7" hidden="1" x14ac:dyDescent="0.25">
      <c r="A93" s="62" t="s">
        <v>75</v>
      </c>
      <c r="B93" s="7"/>
      <c r="C93" s="7">
        <f>'FY24'!AJ93</f>
        <v>0</v>
      </c>
      <c r="D93" s="7">
        <f>'FY25'!AJ93</f>
        <v>0</v>
      </c>
      <c r="E93" s="7">
        <f>'FY26'!AJ93</f>
        <v>17278</v>
      </c>
      <c r="F93" s="7">
        <f>'FY27'!AJ93</f>
        <v>20352</v>
      </c>
      <c r="G93" s="7">
        <f>'FY28'!AJ93</f>
        <v>29678.399999999998</v>
      </c>
    </row>
    <row r="94" spans="1:7" hidden="1" x14ac:dyDescent="0.25">
      <c r="A94" s="62" t="s">
        <v>76</v>
      </c>
      <c r="B94" s="7"/>
      <c r="C94" s="7">
        <f>'FY24'!AJ94</f>
        <v>0</v>
      </c>
      <c r="D94" s="7">
        <f>'FY25'!AJ94</f>
        <v>35752.350000000006</v>
      </c>
      <c r="E94" s="7">
        <f>'FY26'!AJ94</f>
        <v>48809.127499999995</v>
      </c>
      <c r="F94" s="7">
        <f>'FY27'!AJ94</f>
        <v>57492.959999999999</v>
      </c>
      <c r="G94" s="7">
        <f>'FY28'!AJ94</f>
        <v>71413.920000000027</v>
      </c>
    </row>
    <row r="95" spans="1:7" hidden="1" x14ac:dyDescent="0.25">
      <c r="A95" s="62" t="s">
        <v>202</v>
      </c>
      <c r="B95" s="7"/>
      <c r="C95" s="7">
        <f>'FY24'!AJ95</f>
        <v>0</v>
      </c>
      <c r="D95" s="7">
        <f>'FY25'!AJ95</f>
        <v>0</v>
      </c>
      <c r="E95" s="7">
        <f>'FY26'!AJ95</f>
        <v>0</v>
      </c>
      <c r="F95" s="7">
        <f>'FY27'!AJ95</f>
        <v>0</v>
      </c>
      <c r="G95" s="7">
        <f>'FY28'!AJ95</f>
        <v>0</v>
      </c>
    </row>
    <row r="96" spans="1:7" hidden="1" x14ac:dyDescent="0.25">
      <c r="A96" s="62" t="s">
        <v>203</v>
      </c>
      <c r="B96" s="7"/>
      <c r="C96" s="7">
        <f>'FY24'!AJ96</f>
        <v>0</v>
      </c>
      <c r="D96" s="7">
        <f>'FY25'!AJ96</f>
        <v>0</v>
      </c>
      <c r="E96" s="7">
        <f>'FY26'!AJ96</f>
        <v>0</v>
      </c>
      <c r="F96" s="7">
        <f>'FY27'!AJ96</f>
        <v>0</v>
      </c>
      <c r="G96" s="7">
        <f>'FY28'!AJ96</f>
        <v>0</v>
      </c>
    </row>
    <row r="97" spans="1:7" hidden="1" x14ac:dyDescent="0.25">
      <c r="A97" s="62" t="s">
        <v>77</v>
      </c>
      <c r="B97" s="7"/>
      <c r="C97" s="7">
        <f>'FY24'!AJ97</f>
        <v>0</v>
      </c>
      <c r="D97" s="7">
        <f>'FY25'!AJ97</f>
        <v>0</v>
      </c>
      <c r="E97" s="7">
        <f>'FY26'!AJ97</f>
        <v>0</v>
      </c>
      <c r="F97" s="7">
        <f>'FY27'!AJ97</f>
        <v>0</v>
      </c>
      <c r="G97" s="7">
        <f>'FY28'!AJ97</f>
        <v>0</v>
      </c>
    </row>
    <row r="98" spans="1:7" ht="15.75" hidden="1" thickBot="1" x14ac:dyDescent="0.3">
      <c r="A98" s="65" t="s">
        <v>204</v>
      </c>
      <c r="B98" s="7"/>
      <c r="C98" s="7">
        <f>'FY24'!AJ98</f>
        <v>11360</v>
      </c>
      <c r="D98" s="7">
        <f>'FY25'!AJ98</f>
        <v>14720</v>
      </c>
      <c r="E98" s="7">
        <f>'FY26'!AJ98</f>
        <v>17120</v>
      </c>
      <c r="F98" s="7">
        <f>'FY27'!AJ98</f>
        <v>18920</v>
      </c>
      <c r="G98" s="7">
        <f>'FY28'!AJ98</f>
        <v>20360</v>
      </c>
    </row>
    <row r="99" spans="1:7" ht="15.75" hidden="1" thickBot="1" x14ac:dyDescent="0.3">
      <c r="A99" s="67" t="s">
        <v>81</v>
      </c>
      <c r="B99" s="68">
        <f>SUM(B87:B98)</f>
        <v>0</v>
      </c>
      <c r="C99" s="68">
        <f>SUM(C87:C98)</f>
        <v>5093136.8049999997</v>
      </c>
      <c r="D99" s="68">
        <f>SUM(D87:D98)</f>
        <v>7079441.6713549988</v>
      </c>
      <c r="E99" s="68">
        <f t="shared" ref="E99:G99" si="22">SUM(E87:E98)</f>
        <v>8515613.5282721575</v>
      </c>
      <c r="F99" s="68">
        <f t="shared" si="22"/>
        <v>9740663.1932737213</v>
      </c>
      <c r="G99" s="68">
        <f t="shared" si="22"/>
        <v>11025762.849673644</v>
      </c>
    </row>
    <row r="100" spans="1:7" x14ac:dyDescent="0.25">
      <c r="A100" s="70"/>
      <c r="B100" s="55"/>
      <c r="C100" s="55"/>
      <c r="D100" s="55"/>
      <c r="E100" s="55"/>
      <c r="F100" s="55"/>
      <c r="G100" s="55"/>
    </row>
    <row r="101" spans="1:7" ht="15.75" thickBot="1" x14ac:dyDescent="0.3">
      <c r="A101" s="73" t="s">
        <v>82</v>
      </c>
      <c r="B101" s="74" t="str">
        <f>B1</f>
        <v xml:space="preserve"> FY 23</v>
      </c>
      <c r="C101" s="74" t="str">
        <f>C1</f>
        <v xml:space="preserve"> FY 24</v>
      </c>
      <c r="D101" s="74" t="str">
        <f>D1</f>
        <v xml:space="preserve"> FY 25</v>
      </c>
      <c r="E101" s="74" t="str">
        <f t="shared" ref="E101:G101" si="23">E1</f>
        <v xml:space="preserve"> FY 26</v>
      </c>
      <c r="F101" s="74" t="str">
        <f t="shared" si="23"/>
        <v xml:space="preserve"> FY 27</v>
      </c>
      <c r="G101" s="74" t="str">
        <f t="shared" si="23"/>
        <v xml:space="preserve"> FY 28</v>
      </c>
    </row>
    <row r="102" spans="1:7" x14ac:dyDescent="0.25">
      <c r="A102" s="76" t="s">
        <v>83</v>
      </c>
      <c r="B102" s="77"/>
      <c r="C102" s="77"/>
      <c r="D102" s="77"/>
      <c r="E102" s="77"/>
      <c r="F102" s="77"/>
      <c r="G102" s="77"/>
    </row>
    <row r="103" spans="1:7" x14ac:dyDescent="0.25">
      <c r="A103" s="62" t="s">
        <v>41</v>
      </c>
      <c r="B103" s="7"/>
      <c r="C103" s="7">
        <f>'FY24'!AJ103</f>
        <v>110000</v>
      </c>
      <c r="D103" s="7">
        <f>'FY25'!AJ103</f>
        <v>112200</v>
      </c>
      <c r="E103" s="7">
        <f>'FY26'!AJ103</f>
        <v>114444</v>
      </c>
      <c r="F103" s="7">
        <f>'FY27'!AJ103</f>
        <v>116732.88</v>
      </c>
      <c r="G103" s="7">
        <f>'FY28'!AJ103</f>
        <v>119067.53760000001</v>
      </c>
    </row>
    <row r="104" spans="1:7" x14ac:dyDescent="0.25">
      <c r="A104" s="62" t="s">
        <v>84</v>
      </c>
      <c r="B104" s="7"/>
      <c r="C104" s="7">
        <f>'FY24'!AJ104</f>
        <v>75000</v>
      </c>
      <c r="D104" s="7">
        <f>'FY25'!AJ104</f>
        <v>151500</v>
      </c>
      <c r="E104" s="7">
        <f>'FY26'!AJ104</f>
        <v>154530</v>
      </c>
      <c r="F104" s="7">
        <f>'FY27'!AJ104</f>
        <v>232620.6</v>
      </c>
      <c r="G104" s="7">
        <f>'FY28'!AJ104</f>
        <v>237273.01200000002</v>
      </c>
    </row>
    <row r="105" spans="1:7" x14ac:dyDescent="0.25">
      <c r="A105" s="62" t="s">
        <v>45</v>
      </c>
      <c r="B105" s="7"/>
      <c r="C105" s="7">
        <f>'FY24'!AJ105</f>
        <v>0</v>
      </c>
      <c r="D105" s="7">
        <f>'FY25'!AJ105</f>
        <v>0</v>
      </c>
      <c r="E105" s="7">
        <f>'FY26'!AJ105</f>
        <v>0</v>
      </c>
      <c r="F105" s="7">
        <f>'FY27'!AJ105</f>
        <v>65000</v>
      </c>
      <c r="G105" s="7">
        <f>'FY28'!AJ105</f>
        <v>66300</v>
      </c>
    </row>
    <row r="106" spans="1:7" x14ac:dyDescent="0.25">
      <c r="A106" s="62" t="s">
        <v>85</v>
      </c>
      <c r="B106" s="7"/>
      <c r="C106" s="7">
        <f>'FY24'!AJ106</f>
        <v>65000</v>
      </c>
      <c r="D106" s="7">
        <f>'FY25'!AJ106</f>
        <v>66300</v>
      </c>
      <c r="E106" s="7">
        <f>'FY26'!AJ106</f>
        <v>100126</v>
      </c>
      <c r="F106" s="7">
        <f>'FY27'!AJ106</f>
        <v>102128.52</v>
      </c>
      <c r="G106" s="7">
        <f>'FY28'!AJ106</f>
        <v>136671.09039999999</v>
      </c>
    </row>
    <row r="107" spans="1:7" x14ac:dyDescent="0.25">
      <c r="A107" s="62" t="s">
        <v>87</v>
      </c>
      <c r="B107" s="7"/>
      <c r="C107" s="7">
        <f>'FY24'!AJ107</f>
        <v>0</v>
      </c>
      <c r="D107" s="7">
        <f>'FY25'!AJ107</f>
        <v>0</v>
      </c>
      <c r="E107" s="7">
        <f>'FY26'!AJ107</f>
        <v>61500</v>
      </c>
      <c r="F107" s="7">
        <f>'FY27'!AJ107</f>
        <v>62730</v>
      </c>
      <c r="G107" s="7">
        <f>'FY28'!AJ107</f>
        <v>63984.6</v>
      </c>
    </row>
    <row r="108" spans="1:7" x14ac:dyDescent="0.25">
      <c r="A108" s="62" t="s">
        <v>89</v>
      </c>
      <c r="B108" s="7"/>
      <c r="C108" s="7">
        <f>'FY24'!AJ108</f>
        <v>1363600</v>
      </c>
      <c r="D108" s="7">
        <f>'FY25'!AJ108</f>
        <v>1689800</v>
      </c>
      <c r="E108" s="7">
        <f>'FY26'!AJ108</f>
        <v>2078700</v>
      </c>
      <c r="F108" s="7">
        <f>'FY27'!AJ108</f>
        <v>2354625</v>
      </c>
      <c r="G108" s="7">
        <f>'FY28'!AJ108</f>
        <v>2666400</v>
      </c>
    </row>
    <row r="109" spans="1:7" x14ac:dyDescent="0.25">
      <c r="A109" s="62" t="s">
        <v>90</v>
      </c>
      <c r="B109" s="7"/>
      <c r="C109" s="7">
        <f>'FY24'!AJ109</f>
        <v>0</v>
      </c>
      <c r="D109" s="7">
        <f>'FY25'!AJ109</f>
        <v>0</v>
      </c>
      <c r="E109" s="7">
        <f>'FY26'!AJ109</f>
        <v>0</v>
      </c>
      <c r="F109" s="7">
        <f>'FY27'!AJ109</f>
        <v>0</v>
      </c>
      <c r="G109" s="7">
        <f>'FY28'!AJ109</f>
        <v>0</v>
      </c>
    </row>
    <row r="110" spans="1:7" x14ac:dyDescent="0.25">
      <c r="A110" s="62" t="s">
        <v>30</v>
      </c>
      <c r="B110" s="7"/>
      <c r="C110" s="7">
        <f>'FY24'!AJ110</f>
        <v>146100</v>
      </c>
      <c r="D110" s="7">
        <f>'FY25'!AJ110</f>
        <v>173950</v>
      </c>
      <c r="E110" s="7">
        <f>'FY26'!AJ110</f>
        <v>202800</v>
      </c>
      <c r="F110" s="7">
        <f>'FY27'!AJ110</f>
        <v>258750</v>
      </c>
      <c r="G110" s="7">
        <f>'FY28'!AJ110</f>
        <v>290400</v>
      </c>
    </row>
    <row r="111" spans="1:7" x14ac:dyDescent="0.25">
      <c r="A111" s="62" t="s">
        <v>91</v>
      </c>
      <c r="B111" s="7"/>
      <c r="C111" s="7">
        <f>'FY24'!AJ111</f>
        <v>45000</v>
      </c>
      <c r="D111" s="7">
        <f>'FY25'!AJ111</f>
        <v>90900</v>
      </c>
      <c r="E111" s="7">
        <f>'FY26'!AJ111</f>
        <v>92718</v>
      </c>
      <c r="F111" s="7">
        <f>'FY27'!AJ111</f>
        <v>94572.36</v>
      </c>
      <c r="G111" s="7">
        <f>'FY28'!AJ111</f>
        <v>96463.807199999996</v>
      </c>
    </row>
    <row r="112" spans="1:7" x14ac:dyDescent="0.25">
      <c r="A112" s="62" t="s">
        <v>92</v>
      </c>
      <c r="B112" s="7"/>
      <c r="C112" s="7">
        <f>'FY24'!AJ112</f>
        <v>22400</v>
      </c>
      <c r="D112" s="7">
        <f>'FY25'!AJ112</f>
        <v>45600</v>
      </c>
      <c r="E112" s="7">
        <f>'FY26'!AJ112</f>
        <v>46400</v>
      </c>
      <c r="F112" s="7">
        <f>'FY27'!AJ112</f>
        <v>47200</v>
      </c>
      <c r="G112" s="7">
        <f>'FY28'!AJ112</f>
        <v>48000</v>
      </c>
    </row>
    <row r="113" spans="1:7" x14ac:dyDescent="0.25">
      <c r="A113" s="62" t="s">
        <v>93</v>
      </c>
      <c r="B113" s="7"/>
      <c r="C113" s="7">
        <f>'FY24'!AJ113</f>
        <v>20160</v>
      </c>
      <c r="D113" s="7">
        <f>'FY25'!AJ113</f>
        <v>102600</v>
      </c>
      <c r="E113" s="7">
        <f>'FY26'!AJ113</f>
        <v>104400</v>
      </c>
      <c r="F113" s="7">
        <f>'FY27'!AJ113</f>
        <v>118000</v>
      </c>
      <c r="G113" s="7">
        <f>'FY28'!AJ113</f>
        <v>108000</v>
      </c>
    </row>
    <row r="114" spans="1:7" x14ac:dyDescent="0.25">
      <c r="A114" s="62" t="s">
        <v>94</v>
      </c>
      <c r="B114" s="7"/>
      <c r="C114" s="7">
        <f>'FY24'!AJ114</f>
        <v>26880</v>
      </c>
      <c r="D114" s="7">
        <f>'FY25'!AJ114</f>
        <v>27360</v>
      </c>
      <c r="E114" s="7">
        <f>'FY26'!AJ114</f>
        <v>55680</v>
      </c>
      <c r="F114" s="7">
        <f>'FY27'!AJ114</f>
        <v>56640</v>
      </c>
      <c r="G114" s="7">
        <f>'FY28'!AJ114</f>
        <v>57600</v>
      </c>
    </row>
    <row r="115" spans="1:7" x14ac:dyDescent="0.25">
      <c r="A115" s="62" t="s">
        <v>248</v>
      </c>
      <c r="B115" s="7"/>
      <c r="C115" s="7">
        <f>'FY24'!AJ115</f>
        <v>0</v>
      </c>
      <c r="D115" s="7">
        <f>'FY25'!AJ115</f>
        <v>0</v>
      </c>
      <c r="E115" s="7">
        <f>'FY26'!AJ115</f>
        <v>0</v>
      </c>
      <c r="F115" s="7">
        <f>'FY27'!AJ115</f>
        <v>0</v>
      </c>
      <c r="G115" s="7">
        <f>'FY28'!AJ115</f>
        <v>0</v>
      </c>
    </row>
    <row r="116" spans="1:7" ht="15.75" thickBot="1" x14ac:dyDescent="0.3">
      <c r="A116" s="82" t="s">
        <v>95</v>
      </c>
      <c r="B116" s="83">
        <f>SUM(B103:B115)</f>
        <v>0</v>
      </c>
      <c r="C116" s="83">
        <f>SUM(C103:C115)</f>
        <v>1874140</v>
      </c>
      <c r="D116" s="83">
        <f t="shared" ref="D116:G116" si="24">SUM(D103:D115)</f>
        <v>2460210</v>
      </c>
      <c r="E116" s="83">
        <f t="shared" si="24"/>
        <v>3011298</v>
      </c>
      <c r="F116" s="83">
        <f t="shared" si="24"/>
        <v>3508999.36</v>
      </c>
      <c r="G116" s="83">
        <f t="shared" si="24"/>
        <v>3890160.0472000004</v>
      </c>
    </row>
    <row r="117" spans="1:7" x14ac:dyDescent="0.25">
      <c r="A117" s="84" t="s">
        <v>96</v>
      </c>
      <c r="B117" s="150" t="str">
        <f>B1</f>
        <v xml:space="preserve"> FY 23</v>
      </c>
      <c r="C117" s="150" t="str">
        <f>C1</f>
        <v xml:space="preserve"> FY 24</v>
      </c>
      <c r="D117" s="150" t="str">
        <f>D1</f>
        <v xml:space="preserve"> FY 25</v>
      </c>
      <c r="E117" s="150" t="str">
        <f t="shared" ref="E117:G117" si="25">E1</f>
        <v xml:space="preserve"> FY 26</v>
      </c>
      <c r="F117" s="150" t="str">
        <f t="shared" si="25"/>
        <v xml:space="preserve"> FY 27</v>
      </c>
      <c r="G117" s="150" t="str">
        <f t="shared" si="25"/>
        <v xml:space="preserve"> FY 28</v>
      </c>
    </row>
    <row r="118" spans="1:7" x14ac:dyDescent="0.25">
      <c r="A118" s="62"/>
      <c r="B118" s="7"/>
      <c r="C118" s="7">
        <f>'FY24'!AJ118</f>
        <v>0</v>
      </c>
      <c r="D118" s="7">
        <f>'FY25'!AJ118</f>
        <v>0</v>
      </c>
      <c r="E118" s="7">
        <f>'FY26'!AJ118</f>
        <v>0</v>
      </c>
      <c r="F118" s="7">
        <f>'FY27'!AJ118</f>
        <v>0</v>
      </c>
      <c r="G118" s="7">
        <f>'FY28'!AJ118</f>
        <v>0</v>
      </c>
    </row>
    <row r="119" spans="1:7" x14ac:dyDescent="0.25">
      <c r="A119" s="62" t="s">
        <v>54</v>
      </c>
      <c r="B119" s="7"/>
      <c r="C119" s="7">
        <f>'FY24'!AJ119</f>
        <v>0</v>
      </c>
      <c r="D119" s="7">
        <f>'FY25'!AJ119</f>
        <v>0</v>
      </c>
      <c r="E119" s="7">
        <f>'FY26'!AJ119</f>
        <v>0</v>
      </c>
      <c r="F119" s="7">
        <f>'FY27'!AJ119</f>
        <v>0</v>
      </c>
      <c r="G119" s="7">
        <f>'FY28'!AJ119</f>
        <v>0</v>
      </c>
    </row>
    <row r="120" spans="1:7" x14ac:dyDescent="0.25">
      <c r="A120" s="62" t="s">
        <v>55</v>
      </c>
      <c r="B120" s="7"/>
      <c r="C120" s="7">
        <f>'FY24'!AJ120</f>
        <v>0</v>
      </c>
      <c r="D120" s="7">
        <f>'FY25'!AJ120</f>
        <v>0</v>
      </c>
      <c r="E120" s="7">
        <f>'FY26'!AJ120</f>
        <v>0</v>
      </c>
      <c r="F120" s="7">
        <f>'FY27'!AJ120</f>
        <v>0</v>
      </c>
      <c r="G120" s="7">
        <f>'FY28'!AJ120</f>
        <v>0</v>
      </c>
    </row>
    <row r="121" spans="1:7" x14ac:dyDescent="0.25">
      <c r="A121" s="62" t="s">
        <v>56</v>
      </c>
      <c r="B121" s="7"/>
      <c r="C121" s="7">
        <f>'FY24'!AJ121</f>
        <v>0</v>
      </c>
      <c r="D121" s="7">
        <f>'FY25'!AJ121</f>
        <v>0</v>
      </c>
      <c r="E121" s="7">
        <f>'FY26'!AJ121</f>
        <v>0</v>
      </c>
      <c r="F121" s="7">
        <f>'FY27'!AJ121</f>
        <v>0</v>
      </c>
      <c r="G121" s="7">
        <f>'FY28'!AJ121</f>
        <v>0</v>
      </c>
    </row>
    <row r="122" spans="1:7" x14ac:dyDescent="0.25">
      <c r="A122" s="62" t="s">
        <v>97</v>
      </c>
      <c r="B122" s="7"/>
      <c r="C122" s="7">
        <f>'FY24'!AJ122</f>
        <v>0</v>
      </c>
      <c r="D122" s="7">
        <f>'FY25'!AJ122</f>
        <v>0</v>
      </c>
      <c r="E122" s="7">
        <f>'FY26'!AJ122</f>
        <v>0</v>
      </c>
      <c r="F122" s="7">
        <f>'FY27'!AJ122</f>
        <v>0</v>
      </c>
      <c r="G122" s="7">
        <f>'FY28'!AJ122</f>
        <v>0</v>
      </c>
    </row>
    <row r="123" spans="1:7" x14ac:dyDescent="0.25">
      <c r="A123" s="62" t="s">
        <v>58</v>
      </c>
      <c r="B123" s="7"/>
      <c r="C123" s="7">
        <f>'FY24'!AJ123</f>
        <v>0</v>
      </c>
      <c r="D123" s="7">
        <f>'FY25'!AJ123</f>
        <v>0</v>
      </c>
      <c r="E123" s="7">
        <f>'FY26'!AJ123</f>
        <v>0</v>
      </c>
      <c r="F123" s="7">
        <f>'FY27'!AJ123</f>
        <v>0</v>
      </c>
      <c r="G123" s="7">
        <f>'FY28'!AJ123</f>
        <v>0</v>
      </c>
    </row>
    <row r="124" spans="1:7" x14ac:dyDescent="0.25">
      <c r="A124" s="62" t="s">
        <v>98</v>
      </c>
      <c r="B124" s="7"/>
      <c r="C124" s="7">
        <f>'FY24'!AJ124</f>
        <v>0</v>
      </c>
      <c r="D124" s="7">
        <f>'FY25'!AJ124</f>
        <v>35000</v>
      </c>
      <c r="E124" s="7">
        <f>'FY26'!AJ124</f>
        <v>35700</v>
      </c>
      <c r="F124" s="7">
        <f>'FY27'!AJ124</f>
        <v>36414</v>
      </c>
      <c r="G124" s="7">
        <f>'FY28'!AJ124</f>
        <v>37142.28</v>
      </c>
    </row>
    <row r="125" spans="1:7" x14ac:dyDescent="0.25">
      <c r="A125" s="62" t="s">
        <v>99</v>
      </c>
      <c r="B125" s="7"/>
      <c r="C125" s="7">
        <f>'FY24'!AJ125</f>
        <v>0</v>
      </c>
      <c r="D125" s="7">
        <f>'FY25'!AJ125</f>
        <v>0</v>
      </c>
      <c r="E125" s="7">
        <f>'FY26'!AJ125</f>
        <v>0</v>
      </c>
      <c r="F125" s="7">
        <f>'FY27'!AJ125</f>
        <v>0</v>
      </c>
      <c r="G125" s="7">
        <f>'FY28'!AJ125</f>
        <v>0</v>
      </c>
    </row>
    <row r="126" spans="1:7" x14ac:dyDescent="0.25">
      <c r="A126" s="62" t="s">
        <v>100</v>
      </c>
      <c r="B126" s="7"/>
      <c r="C126" s="7">
        <f>'FY24'!AJ126</f>
        <v>20520</v>
      </c>
      <c r="D126" s="7">
        <f>'FY25'!AJ126</f>
        <v>21600</v>
      </c>
      <c r="E126" s="7">
        <f>'FY26'!AJ126</f>
        <v>22320</v>
      </c>
      <c r="F126" s="7">
        <f>'FY27'!AJ126</f>
        <v>23310</v>
      </c>
      <c r="G126" s="7">
        <f>'FY28'!AJ126</f>
        <v>23760</v>
      </c>
    </row>
    <row r="127" spans="1:7" x14ac:dyDescent="0.25">
      <c r="A127" s="62" t="s">
        <v>101</v>
      </c>
      <c r="B127" s="7"/>
      <c r="C127" s="7">
        <f>'FY24'!AJ127</f>
        <v>22500</v>
      </c>
      <c r="D127" s="7">
        <f>'FY25'!AJ127</f>
        <v>22500</v>
      </c>
      <c r="E127" s="7">
        <f>'FY26'!AJ127</f>
        <v>22500</v>
      </c>
      <c r="F127" s="7">
        <f>'FY27'!AJ127</f>
        <v>22500</v>
      </c>
      <c r="G127" s="7">
        <f>'FY28'!AJ127</f>
        <v>22500</v>
      </c>
    </row>
    <row r="128" spans="1:7" ht="15.75" thickBot="1" x14ac:dyDescent="0.3">
      <c r="A128" s="82" t="s">
        <v>102</v>
      </c>
      <c r="B128" s="87">
        <f>SUM(B118:B127)</f>
        <v>0</v>
      </c>
      <c r="C128" s="87">
        <f>SUM(C118:C127)</f>
        <v>43020</v>
      </c>
      <c r="D128" s="87">
        <f>SUM(D118:D127)</f>
        <v>79100</v>
      </c>
      <c r="E128" s="87">
        <f t="shared" ref="E128:G128" si="26">SUM(E118:E127)</f>
        <v>80520</v>
      </c>
      <c r="F128" s="87">
        <f t="shared" si="26"/>
        <v>82224</v>
      </c>
      <c r="G128" s="87">
        <f t="shared" si="26"/>
        <v>83402.28</v>
      </c>
    </row>
    <row r="129" spans="1:7" ht="15.75" thickBot="1" x14ac:dyDescent="0.3">
      <c r="A129" s="89" t="s">
        <v>103</v>
      </c>
      <c r="B129" s="90">
        <f>B116+B128</f>
        <v>0</v>
      </c>
      <c r="C129" s="90">
        <f>C116+C128</f>
        <v>1917160</v>
      </c>
      <c r="D129" s="90">
        <f>D116+D128</f>
        <v>2539310</v>
      </c>
      <c r="E129" s="90">
        <f t="shared" ref="E129" si="27">E116+E128</f>
        <v>3091818</v>
      </c>
      <c r="F129" s="90">
        <f>F116+F128</f>
        <v>3591223.36</v>
      </c>
      <c r="G129" s="90">
        <f>G116+G128</f>
        <v>3973562.3272000002</v>
      </c>
    </row>
    <row r="130" spans="1:7" x14ac:dyDescent="0.25">
      <c r="A130" s="62" t="s">
        <v>104</v>
      </c>
      <c r="B130" s="7"/>
      <c r="C130" s="7">
        <f>'FY24'!AJ130</f>
        <v>570355.1</v>
      </c>
      <c r="D130" s="7">
        <f>'FY25'!AJ130</f>
        <v>755444.72499999998</v>
      </c>
      <c r="E130" s="7">
        <f>'FY26'!AJ130</f>
        <v>919815.85499999986</v>
      </c>
      <c r="F130" s="7">
        <f>'FY27'!AJ130</f>
        <v>1068388.9495999999</v>
      </c>
      <c r="G130" s="7">
        <f>'FY28'!AJ130</f>
        <v>1182134.7923420002</v>
      </c>
    </row>
    <row r="131" spans="1:7" x14ac:dyDescent="0.25">
      <c r="A131" s="62" t="s">
        <v>105</v>
      </c>
      <c r="B131" s="7"/>
      <c r="C131" s="7">
        <f>'FY24'!AJ131</f>
        <v>345088.79999999993</v>
      </c>
      <c r="D131" s="7">
        <f>'FY25'!AJ131</f>
        <v>463424.07500000001</v>
      </c>
      <c r="E131" s="7">
        <f>'FY26'!AJ131</f>
        <v>571986.32999999996</v>
      </c>
      <c r="F131" s="7">
        <f>'FY27'!AJ131</f>
        <v>673354.38</v>
      </c>
      <c r="G131" s="7">
        <f>'FY28'!AJ131</f>
        <v>754976.84216800006</v>
      </c>
    </row>
    <row r="132" spans="1:7" x14ac:dyDescent="0.25">
      <c r="A132" s="62" t="s">
        <v>249</v>
      </c>
      <c r="B132" s="7"/>
      <c r="C132" s="7">
        <f>'FY24'!AJ132</f>
        <v>0</v>
      </c>
      <c r="D132" s="7">
        <f>'FY25'!AJ132</f>
        <v>43032</v>
      </c>
      <c r="E132" s="7">
        <f>'FY26'!AJ132</f>
        <v>51480</v>
      </c>
      <c r="F132" s="7">
        <f>'FY27'!AJ132</f>
        <v>58696</v>
      </c>
      <c r="G132" s="7">
        <f>'FY28'!AJ132</f>
        <v>64064</v>
      </c>
    </row>
    <row r="133" spans="1:7" x14ac:dyDescent="0.25">
      <c r="A133" s="62" t="s">
        <v>250</v>
      </c>
      <c r="B133" s="7"/>
      <c r="C133" s="7">
        <f>'FY24'!AJ133</f>
        <v>7875</v>
      </c>
      <c r="D133" s="7">
        <f>'FY25'!AJ133</f>
        <v>9625</v>
      </c>
      <c r="E133" s="7">
        <f>'FY26'!AJ133</f>
        <v>10875</v>
      </c>
      <c r="F133" s="7">
        <f>'FY27'!AJ133</f>
        <v>11812.5</v>
      </c>
      <c r="G133" s="7">
        <f>'FY28'!AJ133</f>
        <v>12562.5</v>
      </c>
    </row>
    <row r="134" spans="1:7" x14ac:dyDescent="0.25">
      <c r="A134" s="62" t="s">
        <v>107</v>
      </c>
      <c r="B134" s="7"/>
      <c r="C134" s="7">
        <f>'FY24'!AJ134</f>
        <v>0</v>
      </c>
      <c r="D134" s="7">
        <f>'FY25'!AJ134</f>
        <v>3000</v>
      </c>
      <c r="E134" s="7">
        <f>'FY26'!AJ134</f>
        <v>15000</v>
      </c>
      <c r="F134" s="7">
        <f>'FY27'!AJ134</f>
        <v>15000</v>
      </c>
      <c r="G134" s="7">
        <f>'FY28'!AJ134</f>
        <v>15000</v>
      </c>
    </row>
    <row r="135" spans="1:7" x14ac:dyDescent="0.25">
      <c r="A135" s="62" t="s">
        <v>251</v>
      </c>
      <c r="B135" s="7"/>
      <c r="C135" s="7">
        <f>'FY24'!AJ135</f>
        <v>0</v>
      </c>
      <c r="D135" s="7">
        <f>'FY25'!AJ135</f>
        <v>24250</v>
      </c>
      <c r="E135" s="7">
        <f>'FY26'!AJ135</f>
        <v>29000</v>
      </c>
      <c r="F135" s="7">
        <f>'FY27'!AJ135</f>
        <v>32750</v>
      </c>
      <c r="G135" s="7">
        <f>'FY28'!AJ135</f>
        <v>35750</v>
      </c>
    </row>
    <row r="136" spans="1:7" x14ac:dyDescent="0.25">
      <c r="A136" s="62" t="s">
        <v>108</v>
      </c>
      <c r="B136" s="7"/>
      <c r="C136" s="7">
        <f>'FY24'!AJ136</f>
        <v>0</v>
      </c>
      <c r="D136" s="7">
        <f>'FY25'!AJ136</f>
        <v>12000</v>
      </c>
      <c r="E136" s="7">
        <f>'FY26'!AJ136</f>
        <v>12000</v>
      </c>
      <c r="F136" s="7">
        <f>'FY27'!AJ136</f>
        <v>12000</v>
      </c>
      <c r="G136" s="7">
        <f>'FY28'!AJ136</f>
        <v>12000</v>
      </c>
    </row>
    <row r="137" spans="1:7" x14ac:dyDescent="0.25">
      <c r="A137" s="62" t="s">
        <v>109</v>
      </c>
      <c r="B137" s="7"/>
      <c r="C137" s="7">
        <f>'FY24'!AJ137</f>
        <v>31750</v>
      </c>
      <c r="D137" s="7">
        <f>'FY25'!AJ137</f>
        <v>43125</v>
      </c>
      <c r="E137" s="7">
        <f>'FY26'!AJ137</f>
        <v>56250</v>
      </c>
      <c r="F137" s="7">
        <f>'FY27'!AJ137</f>
        <v>65875</v>
      </c>
      <c r="G137" s="7">
        <f>'FY28'!AJ137</f>
        <v>75500</v>
      </c>
    </row>
    <row r="138" spans="1:7" ht="15.75" thickBot="1" x14ac:dyDescent="0.3">
      <c r="A138" s="91" t="s">
        <v>110</v>
      </c>
      <c r="B138" s="87">
        <f>SUM(B130:B137)</f>
        <v>0</v>
      </c>
      <c r="C138" s="87">
        <f>SUM(C130:C137)</f>
        <v>955068.89999999991</v>
      </c>
      <c r="D138" s="87">
        <f>SUM(D130:D137)</f>
        <v>1353900.8</v>
      </c>
      <c r="E138" s="87">
        <f t="shared" ref="E138:G138" si="28">SUM(E130:E137)</f>
        <v>1666407.1849999998</v>
      </c>
      <c r="F138" s="87">
        <f t="shared" si="28"/>
        <v>1937876.8295999998</v>
      </c>
      <c r="G138" s="87">
        <f t="shared" si="28"/>
        <v>2151988.1345100002</v>
      </c>
    </row>
    <row r="139" spans="1:7" ht="15.75" thickBot="1" x14ac:dyDescent="0.3">
      <c r="A139" s="95" t="s">
        <v>111</v>
      </c>
      <c r="B139" s="90">
        <f>B129+B138</f>
        <v>0</v>
      </c>
      <c r="C139" s="90">
        <f>C129+C138</f>
        <v>2872228.9</v>
      </c>
      <c r="D139" s="90">
        <f>D129+D138</f>
        <v>3893210.8</v>
      </c>
      <c r="E139" s="90">
        <f t="shared" ref="E139:G139" si="29">E129+E138</f>
        <v>4758225.1849999996</v>
      </c>
      <c r="F139" s="90">
        <f t="shared" si="29"/>
        <v>5529100.1896000002</v>
      </c>
      <c r="G139" s="90">
        <f t="shared" si="29"/>
        <v>6125550.4617100004</v>
      </c>
    </row>
    <row r="140" spans="1:7" x14ac:dyDescent="0.25">
      <c r="A140" s="97" t="s">
        <v>112</v>
      </c>
      <c r="B140" s="149" t="str">
        <f>B1</f>
        <v xml:space="preserve"> FY 23</v>
      </c>
      <c r="C140" s="149" t="str">
        <f>C1</f>
        <v xml:space="preserve"> FY 24</v>
      </c>
      <c r="D140" s="149" t="str">
        <f>D1</f>
        <v xml:space="preserve"> FY 25</v>
      </c>
      <c r="E140" s="149" t="str">
        <f t="shared" ref="E140:G140" si="30">E1</f>
        <v xml:space="preserve"> FY 26</v>
      </c>
      <c r="F140" s="149" t="str">
        <f t="shared" si="30"/>
        <v xml:space="preserve"> FY 27</v>
      </c>
      <c r="G140" s="149" t="str">
        <f t="shared" si="30"/>
        <v xml:space="preserve"> FY 28</v>
      </c>
    </row>
    <row r="141" spans="1:7" x14ac:dyDescent="0.25">
      <c r="A141" s="98" t="s">
        <v>113</v>
      </c>
      <c r="B141" s="7"/>
      <c r="C141" s="7">
        <f>'FY24'!AJ141</f>
        <v>29025</v>
      </c>
      <c r="D141" s="7">
        <f>'FY25'!AJ141</f>
        <v>122250</v>
      </c>
      <c r="E141" s="7">
        <f>'FY26'!AJ141</f>
        <v>144000</v>
      </c>
      <c r="F141" s="7">
        <f>'FY27'!AJ141</f>
        <v>162000</v>
      </c>
      <c r="G141" s="7">
        <f>'FY28'!AJ141</f>
        <v>180000</v>
      </c>
    </row>
    <row r="142" spans="1:7" x14ac:dyDescent="0.25">
      <c r="A142" s="99" t="s">
        <v>252</v>
      </c>
      <c r="B142" s="7"/>
      <c r="C142" s="7">
        <f>'FY24'!AJ142</f>
        <v>0</v>
      </c>
      <c r="D142" s="7">
        <f>'FY25'!AJ142</f>
        <v>0</v>
      </c>
      <c r="E142" s="7">
        <f>'FY26'!AJ142</f>
        <v>0</v>
      </c>
      <c r="F142" s="7">
        <f>'FY27'!AJ142</f>
        <v>0</v>
      </c>
      <c r="G142" s="7">
        <f>'FY28'!AJ142</f>
        <v>0</v>
      </c>
    </row>
    <row r="143" spans="1:7" x14ac:dyDescent="0.25">
      <c r="A143" s="62" t="s">
        <v>115</v>
      </c>
      <c r="B143" s="7"/>
      <c r="C143" s="7">
        <f>'FY24'!AJ143</f>
        <v>131000</v>
      </c>
      <c r="D143" s="7">
        <f>'FY25'!AJ143</f>
        <v>230000</v>
      </c>
      <c r="E143" s="7">
        <f>'FY26'!AJ143</f>
        <v>280000</v>
      </c>
      <c r="F143" s="7">
        <f>'FY27'!AJ143</f>
        <v>317000</v>
      </c>
      <c r="G143" s="7">
        <f>'FY28'!AJ143</f>
        <v>340000</v>
      </c>
    </row>
    <row r="144" spans="1:7" x14ac:dyDescent="0.25">
      <c r="A144" s="62" t="s">
        <v>116</v>
      </c>
      <c r="B144" s="7"/>
      <c r="C144" s="7">
        <f>'FY24'!AJ144</f>
        <v>0</v>
      </c>
      <c r="D144" s="7">
        <f>'FY25'!AJ144</f>
        <v>0</v>
      </c>
      <c r="E144" s="7">
        <f>'FY26'!AJ144</f>
        <v>0</v>
      </c>
      <c r="F144" s="7">
        <f>'FY27'!AJ144</f>
        <v>0</v>
      </c>
      <c r="G144" s="7">
        <f>'FY28'!AJ144</f>
        <v>0</v>
      </c>
    </row>
    <row r="145" spans="1:7" x14ac:dyDescent="0.25">
      <c r="A145" s="62" t="s">
        <v>117</v>
      </c>
      <c r="B145" s="7"/>
      <c r="C145" s="7">
        <f>'FY24'!AJ145</f>
        <v>9030</v>
      </c>
      <c r="D145" s="7">
        <f>'FY25'!AJ145</f>
        <v>11410</v>
      </c>
      <c r="E145" s="7">
        <f>'FY26'!AJ145</f>
        <v>13440</v>
      </c>
      <c r="F145" s="7">
        <f>'FY27'!AJ145</f>
        <v>15120</v>
      </c>
      <c r="G145" s="7">
        <f>'FY28'!AJ145</f>
        <v>16800</v>
      </c>
    </row>
    <row r="146" spans="1:7" x14ac:dyDescent="0.25">
      <c r="A146" s="62" t="s">
        <v>118</v>
      </c>
      <c r="B146" s="7"/>
      <c r="C146" s="7">
        <f>'FY24'!AJ146</f>
        <v>18705</v>
      </c>
      <c r="D146" s="7">
        <f>'FY25'!AJ146</f>
        <v>23635</v>
      </c>
      <c r="E146" s="7">
        <f>'FY26'!AJ146</f>
        <v>27840</v>
      </c>
      <c r="F146" s="7">
        <f>'FY27'!AJ146</f>
        <v>31320</v>
      </c>
      <c r="G146" s="7">
        <f>'FY28'!AJ146</f>
        <v>34800</v>
      </c>
    </row>
    <row r="147" spans="1:7" x14ac:dyDescent="0.25">
      <c r="A147" s="62" t="s">
        <v>119</v>
      </c>
      <c r="B147" s="7"/>
      <c r="C147" s="7">
        <f>'FY24'!AJ147</f>
        <v>2741.25</v>
      </c>
      <c r="D147" s="7">
        <f>'FY25'!AJ147</f>
        <v>3463.75</v>
      </c>
      <c r="E147" s="7">
        <f>'FY26'!AJ147</f>
        <v>4080</v>
      </c>
      <c r="F147" s="7">
        <f>'FY27'!AJ147</f>
        <v>4590</v>
      </c>
      <c r="G147" s="7">
        <f>'FY28'!AJ147</f>
        <v>5100</v>
      </c>
    </row>
    <row r="148" spans="1:7" x14ac:dyDescent="0.25">
      <c r="A148" s="62" t="s">
        <v>120</v>
      </c>
      <c r="B148" s="7"/>
      <c r="C148" s="7">
        <f>'FY24'!AJ148</f>
        <v>2096.25</v>
      </c>
      <c r="D148" s="7">
        <f>'FY25'!AJ148</f>
        <v>2648.75</v>
      </c>
      <c r="E148" s="7">
        <f>'FY26'!AJ148</f>
        <v>3120</v>
      </c>
      <c r="F148" s="7">
        <f>'FY27'!AJ148</f>
        <v>3510</v>
      </c>
      <c r="G148" s="7">
        <f>'FY28'!AJ148</f>
        <v>3900</v>
      </c>
    </row>
    <row r="149" spans="1:7" x14ac:dyDescent="0.25">
      <c r="A149" s="62" t="s">
        <v>121</v>
      </c>
      <c r="B149" s="7"/>
      <c r="C149" s="7">
        <f>'FY24'!AJ149</f>
        <v>9984.5999999999985</v>
      </c>
      <c r="D149" s="7">
        <f>'FY25'!AJ149</f>
        <v>9984.5999999999985</v>
      </c>
      <c r="E149" s="7">
        <f>'FY26'!AJ149</f>
        <v>12616.199999999999</v>
      </c>
      <c r="F149" s="7">
        <f>'FY27'!AJ149</f>
        <v>14860.8</v>
      </c>
      <c r="G149" s="7">
        <f>'FY28'!AJ149</f>
        <v>16718.399999999998</v>
      </c>
    </row>
    <row r="150" spans="1:7" ht="15.75" thickBot="1" x14ac:dyDescent="0.3">
      <c r="A150" s="62" t="s">
        <v>122</v>
      </c>
      <c r="B150" s="7"/>
      <c r="C150" s="7">
        <f>'FY24'!AJ150</f>
        <v>0</v>
      </c>
      <c r="D150" s="7">
        <f>'FY25'!AJ150</f>
        <v>0</v>
      </c>
      <c r="E150" s="7">
        <f>'FY26'!AJ150</f>
        <v>0</v>
      </c>
      <c r="F150" s="7">
        <f>'FY27'!AJ150</f>
        <v>0</v>
      </c>
      <c r="G150" s="7">
        <f>'FY28'!AJ150</f>
        <v>5000</v>
      </c>
    </row>
    <row r="151" spans="1:7" ht="15.75" thickBot="1" x14ac:dyDescent="0.3">
      <c r="A151" s="95" t="s">
        <v>123</v>
      </c>
      <c r="B151" s="92">
        <f t="shared" ref="B151:G151" si="31">SUM(B141:B150)</f>
        <v>0</v>
      </c>
      <c r="C151" s="92">
        <f t="shared" si="31"/>
        <v>202582.1</v>
      </c>
      <c r="D151" s="92">
        <f t="shared" si="31"/>
        <v>403392.1</v>
      </c>
      <c r="E151" s="92">
        <f t="shared" si="31"/>
        <v>485096.2</v>
      </c>
      <c r="F151" s="92">
        <f t="shared" si="31"/>
        <v>548400.80000000005</v>
      </c>
      <c r="G151" s="92">
        <f t="shared" si="31"/>
        <v>602318.4</v>
      </c>
    </row>
    <row r="152" spans="1:7" x14ac:dyDescent="0.25">
      <c r="A152" s="101" t="s">
        <v>124</v>
      </c>
      <c r="B152" s="149" t="str">
        <f t="shared" ref="B152:G152" si="32">B1</f>
        <v xml:space="preserve"> FY 23</v>
      </c>
      <c r="C152" s="149" t="str">
        <f t="shared" si="32"/>
        <v xml:space="preserve"> FY 24</v>
      </c>
      <c r="D152" s="149" t="str">
        <f t="shared" si="32"/>
        <v xml:space="preserve"> FY 25</v>
      </c>
      <c r="E152" s="149" t="str">
        <f t="shared" si="32"/>
        <v xml:space="preserve"> FY 26</v>
      </c>
      <c r="F152" s="149" t="str">
        <f t="shared" si="32"/>
        <v xml:space="preserve"> FY 27</v>
      </c>
      <c r="G152" s="149" t="str">
        <f t="shared" si="32"/>
        <v xml:space="preserve"> FY 28</v>
      </c>
    </row>
    <row r="153" spans="1:7" x14ac:dyDescent="0.25">
      <c r="A153" s="62" t="s">
        <v>125</v>
      </c>
      <c r="B153" s="7"/>
      <c r="C153" s="7">
        <f>'FY24'!AJ153</f>
        <v>0</v>
      </c>
      <c r="D153" s="7">
        <f>'FY25'!AJ153</f>
        <v>12000</v>
      </c>
      <c r="E153" s="7">
        <f>'FY26'!AJ153</f>
        <v>12360</v>
      </c>
      <c r="F153" s="7">
        <f>'FY27'!AJ153</f>
        <v>12730.800000000001</v>
      </c>
      <c r="G153" s="7">
        <f>'FY28'!AJ153</f>
        <v>12730.800000000001</v>
      </c>
    </row>
    <row r="154" spans="1:7" x14ac:dyDescent="0.25">
      <c r="A154" s="62" t="s">
        <v>126</v>
      </c>
      <c r="B154" s="7"/>
      <c r="C154" s="7">
        <f>'FY24'!AJ154</f>
        <v>80625</v>
      </c>
      <c r="D154" s="7">
        <f>'FY25'!AJ154</f>
        <v>163000</v>
      </c>
      <c r="E154" s="7">
        <f>'FY26'!AJ154</f>
        <v>220800</v>
      </c>
      <c r="F154" s="7">
        <f>'FY27'!AJ154</f>
        <v>270000</v>
      </c>
      <c r="G154" s="7">
        <f>'FY28'!AJ154</f>
        <v>246000</v>
      </c>
    </row>
    <row r="155" spans="1:7" x14ac:dyDescent="0.25">
      <c r="A155" s="62" t="s">
        <v>253</v>
      </c>
      <c r="B155" s="7"/>
      <c r="C155" s="7">
        <f>'FY24'!AJ155</f>
        <v>0</v>
      </c>
      <c r="D155" s="7">
        <f>'FY25'!AJ155</f>
        <v>0</v>
      </c>
      <c r="E155" s="7">
        <f>'FY26'!AJ155</f>
        <v>0</v>
      </c>
      <c r="F155" s="7">
        <f>'FY27'!AJ155</f>
        <v>0</v>
      </c>
      <c r="G155" s="7">
        <f>'FY28'!AJ155</f>
        <v>0</v>
      </c>
    </row>
    <row r="156" spans="1:7" x14ac:dyDescent="0.25">
      <c r="A156" s="62" t="s">
        <v>254</v>
      </c>
      <c r="B156" s="7"/>
      <c r="C156" s="7">
        <f>'FY24'!AJ156</f>
        <v>0</v>
      </c>
      <c r="D156" s="7">
        <f>'FY25'!AJ156</f>
        <v>0</v>
      </c>
      <c r="E156" s="7">
        <f>'FY26'!AJ156</f>
        <v>0</v>
      </c>
      <c r="F156" s="7">
        <f>'FY27'!AJ156</f>
        <v>0</v>
      </c>
      <c r="G156" s="7">
        <f>'FY28'!AJ156</f>
        <v>0</v>
      </c>
    </row>
    <row r="157" spans="1:7" x14ac:dyDescent="0.25">
      <c r="A157" s="62" t="s">
        <v>128</v>
      </c>
      <c r="B157" s="7"/>
      <c r="C157" s="7">
        <f>'FY24'!AJ157</f>
        <v>161250</v>
      </c>
      <c r="D157" s="7">
        <f>'FY25'!AJ157</f>
        <v>366750</v>
      </c>
      <c r="E157" s="7">
        <f>'FY26'!AJ157</f>
        <v>432000</v>
      </c>
      <c r="F157" s="7">
        <f>'FY27'!AJ157</f>
        <v>486000</v>
      </c>
      <c r="G157" s="7">
        <f>'FY28'!AJ157</f>
        <v>540000</v>
      </c>
    </row>
    <row r="158" spans="1:7" x14ac:dyDescent="0.25">
      <c r="A158" s="62" t="s">
        <v>129</v>
      </c>
      <c r="B158" s="7"/>
      <c r="C158" s="7">
        <f>'FY24'!AJ158</f>
        <v>11360</v>
      </c>
      <c r="D158" s="7">
        <f>'FY25'!AJ158</f>
        <v>14720</v>
      </c>
      <c r="E158" s="7">
        <f>'FY26'!AJ158</f>
        <v>17120</v>
      </c>
      <c r="F158" s="7">
        <f>'FY27'!AJ158</f>
        <v>18920</v>
      </c>
      <c r="G158" s="7">
        <f>'FY28'!AJ158</f>
        <v>20360</v>
      </c>
    </row>
    <row r="159" spans="1:7" s="212" customFormat="1" x14ac:dyDescent="0.25">
      <c r="A159" s="62" t="s">
        <v>130</v>
      </c>
      <c r="B159" s="7"/>
      <c r="C159" s="7">
        <f>'FY24'!AJ159</f>
        <v>0</v>
      </c>
      <c r="D159" s="7">
        <f>'FY25'!AJ159</f>
        <v>12200</v>
      </c>
      <c r="E159" s="7">
        <f>'FY26'!AJ159</f>
        <v>12566</v>
      </c>
      <c r="F159" s="7">
        <f>'FY27'!AJ159</f>
        <v>12943</v>
      </c>
      <c r="G159" s="7">
        <f>'FY28'!AJ159</f>
        <v>13331.29</v>
      </c>
    </row>
    <row r="160" spans="1:7" x14ac:dyDescent="0.25">
      <c r="A160" s="62" t="s">
        <v>131</v>
      </c>
      <c r="B160" s="7"/>
      <c r="C160" s="7">
        <f>'FY24'!AJ160</f>
        <v>6000</v>
      </c>
      <c r="D160" s="7">
        <f>'FY25'!AJ160</f>
        <v>6000</v>
      </c>
      <c r="E160" s="7">
        <f>'FY26'!AJ160</f>
        <v>6000</v>
      </c>
      <c r="F160" s="7">
        <f>'FY27'!AJ160</f>
        <v>6000</v>
      </c>
      <c r="G160" s="7">
        <f>'FY28'!AJ160</f>
        <v>6000</v>
      </c>
    </row>
    <row r="161" spans="1:7" x14ac:dyDescent="0.25">
      <c r="A161" s="62" t="s">
        <v>132</v>
      </c>
      <c r="B161" s="7"/>
      <c r="C161" s="7">
        <f>'FY24'!AJ161</f>
        <v>29025</v>
      </c>
      <c r="D161" s="7">
        <f>'FY25'!AJ161</f>
        <v>36675</v>
      </c>
      <c r="E161" s="7">
        <f>'FY26'!AJ161</f>
        <v>43200</v>
      </c>
      <c r="F161" s="7">
        <f>'FY27'!AJ161</f>
        <v>48600</v>
      </c>
      <c r="G161" s="7">
        <f>'FY28'!AJ161</f>
        <v>54000</v>
      </c>
    </row>
    <row r="162" spans="1:7" x14ac:dyDescent="0.25">
      <c r="A162" s="62" t="s">
        <v>133</v>
      </c>
      <c r="B162" s="7"/>
      <c r="C162" s="7">
        <f>'FY24'!AJ162</f>
        <v>12500</v>
      </c>
      <c r="D162" s="7">
        <f>'FY25'!AJ162</f>
        <v>12500</v>
      </c>
      <c r="E162" s="7">
        <f>'FY26'!AJ162</f>
        <v>12500</v>
      </c>
      <c r="F162" s="7">
        <f>'FY27'!AJ162</f>
        <v>12500</v>
      </c>
      <c r="G162" s="7">
        <f>'FY28'!AJ162</f>
        <v>12500</v>
      </c>
    </row>
    <row r="163" spans="1:7" x14ac:dyDescent="0.25">
      <c r="A163" s="62" t="s">
        <v>134</v>
      </c>
      <c r="B163" s="7"/>
      <c r="C163" s="7">
        <f>'FY24'!AJ163</f>
        <v>59564.210062500002</v>
      </c>
      <c r="D163" s="7">
        <f>'FY25'!AJ163</f>
        <v>76241.727141937488</v>
      </c>
      <c r="E163" s="7">
        <f>'FY26'!AJ163</f>
        <v>90973.686884651979</v>
      </c>
      <c r="F163" s="7">
        <f>'FY27'!AJ163</f>
        <v>103675.88791592151</v>
      </c>
      <c r="G163" s="7">
        <f>'FY28'!AJ163</f>
        <v>116692.97162092054</v>
      </c>
    </row>
    <row r="164" spans="1:7" x14ac:dyDescent="0.25">
      <c r="A164" s="62" t="s">
        <v>135</v>
      </c>
      <c r="B164" s="7"/>
      <c r="C164" s="7">
        <f>'FY24'!AJ164</f>
        <v>23825.684024999999</v>
      </c>
      <c r="D164" s="7">
        <f>'FY25'!AJ164</f>
        <v>30496.690856774996</v>
      </c>
      <c r="E164" s="7">
        <f>'FY26'!AJ164</f>
        <v>36389.474753860792</v>
      </c>
      <c r="F164" s="7">
        <f>'FY27'!AJ164</f>
        <v>41470.355166368601</v>
      </c>
      <c r="G164" s="7">
        <f>'FY28'!AJ164</f>
        <v>46677.188648368217</v>
      </c>
    </row>
    <row r="165" spans="1:7" x14ac:dyDescent="0.25">
      <c r="A165" s="62" t="s">
        <v>136</v>
      </c>
      <c r="B165" s="7"/>
      <c r="C165" s="7">
        <f>'FY24'!AJ165</f>
        <v>23825.684024999999</v>
      </c>
      <c r="D165" s="7">
        <f>'FY25'!AJ165</f>
        <v>30496.690856774996</v>
      </c>
      <c r="E165" s="7">
        <f>'FY26'!AJ165</f>
        <v>36389.474753860792</v>
      </c>
      <c r="F165" s="7">
        <f>'FY27'!AJ165</f>
        <v>41470.355166368601</v>
      </c>
      <c r="G165" s="7">
        <f>'FY28'!AJ165</f>
        <v>46677.188648368217</v>
      </c>
    </row>
    <row r="166" spans="1:7" ht="15.75" thickBot="1" x14ac:dyDescent="0.3">
      <c r="A166" s="62" t="s">
        <v>137</v>
      </c>
      <c r="B166" s="7"/>
      <c r="C166" s="7">
        <f>'FY24'!AJ166</f>
        <v>0</v>
      </c>
      <c r="D166" s="7">
        <f>'FY25'!AJ166</f>
        <v>0</v>
      </c>
      <c r="E166" s="7">
        <f>'FY26'!AJ166</f>
        <v>0</v>
      </c>
      <c r="F166" s="7">
        <f>'FY27'!AJ166</f>
        <v>0</v>
      </c>
      <c r="G166" s="7">
        <f>'FY28'!AJ166</f>
        <v>0</v>
      </c>
    </row>
    <row r="167" spans="1:7" ht="15.75" thickBot="1" x14ac:dyDescent="0.3">
      <c r="A167" s="95" t="s">
        <v>138</v>
      </c>
      <c r="B167" s="92">
        <f>SUM(B153:B166)</f>
        <v>0</v>
      </c>
      <c r="C167" s="92">
        <f>SUM(C153:C166)</f>
        <v>407975.57811250002</v>
      </c>
      <c r="D167" s="92">
        <f>SUM(D153:D166)</f>
        <v>761080.10885548755</v>
      </c>
      <c r="E167" s="92">
        <f t="shared" ref="E167:G167" si="33">SUM(E153:E166)</f>
        <v>920298.63639237359</v>
      </c>
      <c r="F167" s="92">
        <f t="shared" si="33"/>
        <v>1054310.3982486587</v>
      </c>
      <c r="G167" s="92">
        <f t="shared" si="33"/>
        <v>1114969.4389176571</v>
      </c>
    </row>
    <row r="168" spans="1:7" x14ac:dyDescent="0.25">
      <c r="A168" s="101" t="s">
        <v>139</v>
      </c>
      <c r="B168" s="149" t="str">
        <f>B152</f>
        <v xml:space="preserve"> FY 23</v>
      </c>
      <c r="C168" s="149" t="str">
        <f>C152</f>
        <v xml:space="preserve"> FY 24</v>
      </c>
      <c r="D168" s="149" t="str">
        <f>D152</f>
        <v xml:space="preserve"> FY 25</v>
      </c>
      <c r="E168" s="149" t="str">
        <f t="shared" ref="E168:G168" si="34">E152</f>
        <v xml:space="preserve"> FY 26</v>
      </c>
      <c r="F168" s="149" t="str">
        <f t="shared" si="34"/>
        <v xml:space="preserve"> FY 27</v>
      </c>
      <c r="G168" s="149" t="str">
        <f t="shared" si="34"/>
        <v xml:space="preserve"> FY 28</v>
      </c>
    </row>
    <row r="169" spans="1:7" x14ac:dyDescent="0.25">
      <c r="A169" s="62" t="s">
        <v>140</v>
      </c>
      <c r="B169" s="7"/>
      <c r="C169" s="7">
        <f>'FY24'!AJ169</f>
        <v>6000</v>
      </c>
      <c r="D169" s="7">
        <f>'FY25'!AJ169</f>
        <v>6180</v>
      </c>
      <c r="E169" s="7">
        <f>'FY26'!AJ169</f>
        <v>6365.4000000000005</v>
      </c>
      <c r="F169" s="7">
        <f>'FY27'!AJ169</f>
        <v>6556.362000000001</v>
      </c>
      <c r="G169" s="7">
        <f>'FY28'!AJ169</f>
        <v>6753.0528600000016</v>
      </c>
    </row>
    <row r="170" spans="1:7" x14ac:dyDescent="0.25">
      <c r="A170" s="62" t="s">
        <v>141</v>
      </c>
      <c r="B170" s="7"/>
      <c r="C170" s="7">
        <f>'FY24'!AJ170</f>
        <v>9000</v>
      </c>
      <c r="D170" s="7">
        <f>'FY25'!AJ170</f>
        <v>9270</v>
      </c>
      <c r="E170" s="7">
        <f>'FY26'!AJ170</f>
        <v>9548.1</v>
      </c>
      <c r="F170" s="7">
        <f>'FY27'!AJ170</f>
        <v>9834.5430000000015</v>
      </c>
      <c r="G170" s="7">
        <f>'FY28'!AJ170</f>
        <v>10129.579290000001</v>
      </c>
    </row>
    <row r="171" spans="1:7" x14ac:dyDescent="0.25">
      <c r="A171" s="62" t="s">
        <v>142</v>
      </c>
      <c r="B171" s="7"/>
      <c r="C171" s="7">
        <f>'FY24'!AJ171</f>
        <v>0</v>
      </c>
      <c r="D171" s="7">
        <f>'FY25'!AJ171</f>
        <v>0</v>
      </c>
      <c r="E171" s="7">
        <f>'FY26'!AJ171</f>
        <v>0</v>
      </c>
      <c r="F171" s="7">
        <f>'FY27'!AJ171</f>
        <v>0</v>
      </c>
      <c r="G171" s="7">
        <f>'FY28'!AJ171</f>
        <v>0</v>
      </c>
    </row>
    <row r="172" spans="1:7" x14ac:dyDescent="0.25">
      <c r="A172" s="62" t="s">
        <v>143</v>
      </c>
      <c r="B172" s="7"/>
      <c r="C172" s="7">
        <f>'FY24'!AJ172</f>
        <v>750</v>
      </c>
      <c r="D172" s="7">
        <f>'FY25'!AJ172</f>
        <v>1300</v>
      </c>
      <c r="E172" s="7">
        <f>'FY26'!AJ172</f>
        <v>1000</v>
      </c>
      <c r="F172" s="7">
        <f>'FY27'!AJ172</f>
        <v>1250</v>
      </c>
      <c r="G172" s="7">
        <f>'FY28'!AJ172</f>
        <v>1300</v>
      </c>
    </row>
    <row r="173" spans="1:7" x14ac:dyDescent="0.25">
      <c r="A173" s="62" t="s">
        <v>144</v>
      </c>
      <c r="B173" s="7"/>
      <c r="C173" s="7">
        <f>'FY24'!AJ173</f>
        <v>4000</v>
      </c>
      <c r="D173" s="7">
        <f>'FY25'!AJ173</f>
        <v>4120</v>
      </c>
      <c r="E173" s="7">
        <f>'FY26'!AJ173</f>
        <v>4243.6000000000004</v>
      </c>
      <c r="F173" s="7">
        <f>'FY27'!AJ173</f>
        <v>4370.9080000000004</v>
      </c>
      <c r="G173" s="7">
        <f>'FY28'!AJ173</f>
        <v>4502.0352400000002</v>
      </c>
    </row>
    <row r="174" spans="1:7" x14ac:dyDescent="0.25">
      <c r="A174" s="62" t="s">
        <v>145</v>
      </c>
      <c r="B174" s="7"/>
      <c r="C174" s="7">
        <f>'FY24'!AJ174</f>
        <v>30000</v>
      </c>
      <c r="D174" s="7">
        <f>'FY25'!AJ174</f>
        <v>30900</v>
      </c>
      <c r="E174" s="7">
        <f>'FY26'!AJ174</f>
        <v>32136</v>
      </c>
      <c r="F174" s="7">
        <f>'FY27'!AJ174</f>
        <v>33421.440000000002</v>
      </c>
      <c r="G174" s="7">
        <f>'FY28'!AJ174</f>
        <v>34758.297600000005</v>
      </c>
    </row>
    <row r="175" spans="1:7" ht="15.75" thickBot="1" x14ac:dyDescent="0.3">
      <c r="A175" s="62" t="s">
        <v>146</v>
      </c>
      <c r="B175" s="7"/>
      <c r="C175" s="7">
        <f>'FY24'!AJ175</f>
        <v>3790</v>
      </c>
      <c r="D175" s="7">
        <f>'FY25'!AJ175</f>
        <v>4130</v>
      </c>
      <c r="E175" s="7">
        <f>'FY26'!AJ175</f>
        <v>4420</v>
      </c>
      <c r="F175" s="7">
        <f>'FY27'!AJ175</f>
        <v>4660</v>
      </c>
      <c r="G175" s="7">
        <f>'FY28'!AJ175</f>
        <v>4900</v>
      </c>
    </row>
    <row r="176" spans="1:7" ht="15.75" thickBot="1" x14ac:dyDescent="0.3">
      <c r="A176" s="95" t="s">
        <v>147</v>
      </c>
      <c r="B176" s="92">
        <f>SUM(B169:B175)</f>
        <v>0</v>
      </c>
      <c r="C176" s="92">
        <f>SUM(C169:C175)</f>
        <v>53540</v>
      </c>
      <c r="D176" s="92">
        <f t="shared" ref="D176:G176" si="35">SUM(D169:D175)</f>
        <v>55900</v>
      </c>
      <c r="E176" s="92">
        <f t="shared" si="35"/>
        <v>57713.1</v>
      </c>
      <c r="F176" s="92">
        <f t="shared" si="35"/>
        <v>60093.253000000004</v>
      </c>
      <c r="G176" s="92">
        <f t="shared" si="35"/>
        <v>62342.964990000008</v>
      </c>
    </row>
    <row r="177" spans="1:7" x14ac:dyDescent="0.25">
      <c r="A177" s="101" t="s">
        <v>148</v>
      </c>
      <c r="B177" s="96"/>
      <c r="C177" s="96"/>
      <c r="D177" s="96"/>
      <c r="E177" s="96"/>
      <c r="F177" s="96"/>
      <c r="G177" s="96"/>
    </row>
    <row r="178" spans="1:7" x14ac:dyDescent="0.25">
      <c r="A178" s="62" t="s">
        <v>149</v>
      </c>
      <c r="B178" s="7"/>
      <c r="C178" s="7">
        <f>'FY24'!AJ178</f>
        <v>10000</v>
      </c>
      <c r="D178" s="7">
        <f>'FY25'!AJ178</f>
        <v>10600</v>
      </c>
      <c r="E178" s="7">
        <f>'FY26'!AJ178</f>
        <v>11236</v>
      </c>
      <c r="F178" s="7">
        <f>'FY27'!AJ178</f>
        <v>11910.16</v>
      </c>
      <c r="G178" s="7">
        <f>'FY28'!AJ178</f>
        <v>12624.7696</v>
      </c>
    </row>
    <row r="179" spans="1:7" x14ac:dyDescent="0.25">
      <c r="A179" s="62" t="s">
        <v>150</v>
      </c>
      <c r="B179" s="7"/>
      <c r="C179" s="7">
        <f>'FY24'!AJ179</f>
        <v>7000</v>
      </c>
      <c r="D179" s="7">
        <f>'FY25'!AJ179</f>
        <v>7420</v>
      </c>
      <c r="E179" s="7">
        <f>'FY26'!AJ179</f>
        <v>7865.2000000000007</v>
      </c>
      <c r="F179" s="7">
        <f>'FY27'!AJ179</f>
        <v>8337.112000000001</v>
      </c>
      <c r="G179" s="7">
        <f>'FY28'!AJ179</f>
        <v>8837.3387200000016</v>
      </c>
    </row>
    <row r="180" spans="1:7" ht="15.75" thickBot="1" x14ac:dyDescent="0.3">
      <c r="A180" s="62" t="s">
        <v>151</v>
      </c>
      <c r="B180" s="7"/>
      <c r="C180" s="7">
        <f>'FY24'!AJ180</f>
        <v>13000</v>
      </c>
      <c r="D180" s="7">
        <f>'FY25'!AJ180</f>
        <v>13780</v>
      </c>
      <c r="E180" s="7">
        <f>'FY26'!AJ180</f>
        <v>14606.800000000001</v>
      </c>
      <c r="F180" s="7">
        <f>'FY27'!AJ180</f>
        <v>15483.208000000002</v>
      </c>
      <c r="G180" s="7">
        <f>'FY28'!AJ180</f>
        <v>16412.200480000003</v>
      </c>
    </row>
    <row r="181" spans="1:7" ht="15.75" thickBot="1" x14ac:dyDescent="0.3">
      <c r="A181" s="95" t="s">
        <v>152</v>
      </c>
      <c r="B181" s="92">
        <f>SUM(B178:B180)</f>
        <v>0</v>
      </c>
      <c r="C181" s="92">
        <f>SUM(C178:C180)</f>
        <v>30000</v>
      </c>
      <c r="D181" s="92">
        <f t="shared" ref="D181:G181" si="36">SUM(D178:D180)</f>
        <v>31800</v>
      </c>
      <c r="E181" s="92">
        <f t="shared" si="36"/>
        <v>33708</v>
      </c>
      <c r="F181" s="92">
        <f t="shared" si="36"/>
        <v>35730.480000000003</v>
      </c>
      <c r="G181" s="92">
        <f t="shared" si="36"/>
        <v>37874.308799999999</v>
      </c>
    </row>
    <row r="182" spans="1:7" x14ac:dyDescent="0.25">
      <c r="A182" s="101" t="s">
        <v>153</v>
      </c>
      <c r="B182" s="96" t="str">
        <f t="shared" ref="B182:G182" si="37">B1</f>
        <v xml:space="preserve"> FY 23</v>
      </c>
      <c r="C182" s="96" t="str">
        <f t="shared" si="37"/>
        <v xml:space="preserve"> FY 24</v>
      </c>
      <c r="D182" s="96" t="str">
        <f t="shared" si="37"/>
        <v xml:space="preserve"> FY 25</v>
      </c>
      <c r="E182" s="96" t="str">
        <f t="shared" si="37"/>
        <v xml:space="preserve"> FY 26</v>
      </c>
      <c r="F182" s="96" t="str">
        <f t="shared" si="37"/>
        <v xml:space="preserve"> FY 27</v>
      </c>
      <c r="G182" s="96" t="str">
        <f t="shared" si="37"/>
        <v xml:space="preserve"> FY 28</v>
      </c>
    </row>
    <row r="183" spans="1:7" x14ac:dyDescent="0.25">
      <c r="A183" s="62" t="s">
        <v>154</v>
      </c>
      <c r="B183" s="7"/>
      <c r="C183" s="7">
        <f>'FY24'!AJ183</f>
        <v>231542.40000000002</v>
      </c>
      <c r="D183" s="7">
        <f>'FY25'!AJ183</f>
        <v>296947.20000000001</v>
      </c>
      <c r="E183" s="7">
        <f>'FY26'!AJ183</f>
        <v>357306.24</v>
      </c>
      <c r="F183" s="7">
        <f>'FY27'!AJ183</f>
        <v>411772.8</v>
      </c>
      <c r="G183" s="7">
        <f>'FY28'!AJ183</f>
        <v>471215.99999999994</v>
      </c>
    </row>
    <row r="184" spans="1:7" x14ac:dyDescent="0.25">
      <c r="A184" s="62" t="s">
        <v>155</v>
      </c>
      <c r="B184" s="7"/>
      <c r="C184" s="7">
        <f>'FY24'!AJ184</f>
        <v>5000</v>
      </c>
      <c r="D184" s="7">
        <f>'FY25'!AJ184</f>
        <v>5000</v>
      </c>
      <c r="E184" s="7">
        <f>'FY26'!AJ184</f>
        <v>5000</v>
      </c>
      <c r="F184" s="7">
        <f>'FY27'!AJ184</f>
        <v>5000</v>
      </c>
      <c r="G184" s="7">
        <f>'FY28'!AJ184</f>
        <v>5000</v>
      </c>
    </row>
    <row r="185" spans="1:7" x14ac:dyDescent="0.25">
      <c r="A185" s="62" t="s">
        <v>156</v>
      </c>
      <c r="B185" s="7"/>
      <c r="C185" s="7">
        <f>'FY24'!AJ185</f>
        <v>2000</v>
      </c>
      <c r="D185" s="7">
        <f>'FY25'!AJ185</f>
        <v>1500</v>
      </c>
      <c r="E185" s="7">
        <f>'FY26'!AJ185</f>
        <v>3000</v>
      </c>
      <c r="F185" s="7">
        <f>'FY27'!AJ185</f>
        <v>3000</v>
      </c>
      <c r="G185" s="7">
        <f>'FY28'!AJ185</f>
        <v>3000</v>
      </c>
    </row>
    <row r="186" spans="1:7" x14ac:dyDescent="0.25">
      <c r="A186" s="62" t="s">
        <v>157</v>
      </c>
      <c r="B186" s="7"/>
      <c r="C186" s="7">
        <f>'FY24'!AJ186</f>
        <v>2925</v>
      </c>
      <c r="D186" s="7">
        <f>'FY25'!AJ186</f>
        <v>1050</v>
      </c>
      <c r="E186" s="7">
        <f>'FY26'!AJ186</f>
        <v>1350</v>
      </c>
      <c r="F186" s="7">
        <f>'FY27'!AJ186</f>
        <v>1350</v>
      </c>
      <c r="G186" s="7">
        <f>'FY28'!AJ186</f>
        <v>1350</v>
      </c>
    </row>
    <row r="187" spans="1:7" x14ac:dyDescent="0.25">
      <c r="A187" s="62" t="s">
        <v>158</v>
      </c>
      <c r="B187" s="7"/>
      <c r="C187" s="7">
        <f>'FY24'!AJ187</f>
        <v>12000</v>
      </c>
      <c r="D187" s="7">
        <f>'FY25'!AJ187</f>
        <v>12000</v>
      </c>
      <c r="E187" s="7">
        <f>'FY26'!AJ187</f>
        <v>12000</v>
      </c>
      <c r="F187" s="7">
        <f>'FY27'!AJ187</f>
        <v>12000</v>
      </c>
      <c r="G187" s="7">
        <f>'FY28'!AJ187</f>
        <v>12000</v>
      </c>
    </row>
    <row r="188" spans="1:7" x14ac:dyDescent="0.25">
      <c r="A188" s="62" t="s">
        <v>159</v>
      </c>
      <c r="B188" s="7"/>
      <c r="C188" s="7">
        <f>'FY24'!AJ188</f>
        <v>0</v>
      </c>
      <c r="D188" s="7">
        <f>'FY25'!AJ188</f>
        <v>0</v>
      </c>
      <c r="E188" s="7">
        <f>'FY26'!AJ188</f>
        <v>0</v>
      </c>
      <c r="F188" s="7">
        <f>'FY27'!AJ188</f>
        <v>0</v>
      </c>
      <c r="G188" s="7">
        <f>'FY28'!AJ188</f>
        <v>0</v>
      </c>
    </row>
    <row r="189" spans="1:7" x14ac:dyDescent="0.25">
      <c r="A189" s="62" t="s">
        <v>160</v>
      </c>
      <c r="B189" s="7"/>
      <c r="C189" s="7">
        <f>'FY24'!AJ189</f>
        <v>0</v>
      </c>
      <c r="D189" s="7">
        <f>'FY25'!AJ189</f>
        <v>0</v>
      </c>
      <c r="E189" s="7">
        <f>'FY26'!AJ189</f>
        <v>0</v>
      </c>
      <c r="F189" s="7">
        <f>'FY27'!AJ189</f>
        <v>0</v>
      </c>
      <c r="G189" s="7">
        <f>'FY28'!AJ189</f>
        <v>0</v>
      </c>
    </row>
    <row r="190" spans="1:7" x14ac:dyDescent="0.25">
      <c r="A190" s="62" t="s">
        <v>161</v>
      </c>
      <c r="B190" s="7"/>
      <c r="C190" s="7">
        <f>'FY24'!AJ190</f>
        <v>0</v>
      </c>
      <c r="D190" s="7">
        <f>'FY25'!AJ190</f>
        <v>0</v>
      </c>
      <c r="E190" s="7">
        <f>'FY26'!AJ190</f>
        <v>0</v>
      </c>
      <c r="F190" s="7">
        <f>'FY27'!AJ190</f>
        <v>0</v>
      </c>
      <c r="G190" s="7">
        <f>'FY28'!AJ190</f>
        <v>0</v>
      </c>
    </row>
    <row r="191" spans="1:7" ht="15.75" thickBot="1" x14ac:dyDescent="0.3">
      <c r="A191" s="62" t="s">
        <v>162</v>
      </c>
      <c r="B191" s="7"/>
      <c r="C191" s="7">
        <f>'FY24'!AJ191</f>
        <v>2000</v>
      </c>
      <c r="D191" s="7">
        <f>'FY25'!AJ191</f>
        <v>2000</v>
      </c>
      <c r="E191" s="7">
        <f>'FY26'!AJ191</f>
        <v>2000</v>
      </c>
      <c r="F191" s="7">
        <f>'FY27'!AJ191</f>
        <v>2000</v>
      </c>
      <c r="G191" s="7">
        <f>'FY28'!AJ191</f>
        <v>2000</v>
      </c>
    </row>
    <row r="192" spans="1:7" ht="15.75" thickBot="1" x14ac:dyDescent="0.3">
      <c r="A192" s="95" t="s">
        <v>163</v>
      </c>
      <c r="B192" s="92">
        <f>SUM(B183:B191)</f>
        <v>0</v>
      </c>
      <c r="C192" s="92">
        <f>SUM(C183:C191)</f>
        <v>255467.40000000002</v>
      </c>
      <c r="D192" s="92">
        <f t="shared" ref="D192:G192" si="38">SUM(D183:D191)</f>
        <v>318497.2</v>
      </c>
      <c r="E192" s="92">
        <f t="shared" si="38"/>
        <v>380656.24</v>
      </c>
      <c r="F192" s="92">
        <f t="shared" si="38"/>
        <v>435122.8</v>
      </c>
      <c r="G192" s="92">
        <f t="shared" si="38"/>
        <v>494565.99999999994</v>
      </c>
    </row>
    <row r="193" spans="1:7" x14ac:dyDescent="0.25">
      <c r="A193" s="101" t="s">
        <v>164</v>
      </c>
      <c r="B193" s="77" t="str">
        <f>B182</f>
        <v xml:space="preserve"> FY 23</v>
      </c>
      <c r="C193" s="77" t="str">
        <f>C182</f>
        <v xml:space="preserve"> FY 24</v>
      </c>
      <c r="D193" s="77" t="str">
        <f>D182</f>
        <v xml:space="preserve"> FY 25</v>
      </c>
      <c r="E193" s="77" t="str">
        <f t="shared" ref="E193:G193" si="39">E182</f>
        <v xml:space="preserve"> FY 26</v>
      </c>
      <c r="F193" s="77" t="str">
        <f t="shared" si="39"/>
        <v xml:space="preserve"> FY 27</v>
      </c>
      <c r="G193" s="77" t="str">
        <f t="shared" si="39"/>
        <v xml:space="preserve"> FY 28</v>
      </c>
    </row>
    <row r="194" spans="1:7" x14ac:dyDescent="0.25">
      <c r="A194" s="62" t="s">
        <v>165</v>
      </c>
      <c r="B194" s="7"/>
      <c r="C194" s="7">
        <f>'FY24'!AJ194</f>
        <v>78000</v>
      </c>
      <c r="D194" s="7">
        <f>'FY25'!AJ194</f>
        <v>79560</v>
      </c>
      <c r="E194" s="7">
        <f>'FY26'!AJ194</f>
        <v>81151.199999999997</v>
      </c>
      <c r="F194" s="7">
        <f>'FY27'!AJ194</f>
        <v>82774.224000000002</v>
      </c>
      <c r="G194" s="7">
        <f>'FY28'!AJ194</f>
        <v>85257.450720000008</v>
      </c>
    </row>
    <row r="195" spans="1:7" x14ac:dyDescent="0.25">
      <c r="A195" s="62" t="s">
        <v>166</v>
      </c>
      <c r="B195" s="7"/>
      <c r="C195" s="7">
        <f>'FY24'!AJ195</f>
        <v>0</v>
      </c>
      <c r="D195" s="7">
        <f>'FY25'!AJ195</f>
        <v>0</v>
      </c>
      <c r="E195" s="7">
        <f>'FY26'!AJ195</f>
        <v>0</v>
      </c>
      <c r="F195" s="7">
        <f>'FY27'!AJ195</f>
        <v>0</v>
      </c>
      <c r="G195" s="7">
        <f>'FY28'!AJ195</f>
        <v>0</v>
      </c>
    </row>
    <row r="196" spans="1:7" x14ac:dyDescent="0.25">
      <c r="A196" s="62" t="s">
        <v>167</v>
      </c>
      <c r="B196" s="7"/>
      <c r="C196" s="7">
        <f>'FY24'!AJ196</f>
        <v>20400</v>
      </c>
      <c r="D196" s="7">
        <f>'FY25'!AJ196</f>
        <v>20808</v>
      </c>
      <c r="E196" s="7">
        <f>'FY26'!AJ196</f>
        <v>21224.16</v>
      </c>
      <c r="F196" s="7">
        <f>'FY27'!AJ196</f>
        <v>21648.643199999999</v>
      </c>
      <c r="G196" s="7">
        <f>'FY28'!AJ196</f>
        <v>22298.102496</v>
      </c>
    </row>
    <row r="197" spans="1:7" x14ac:dyDescent="0.25">
      <c r="A197" s="62" t="s">
        <v>168</v>
      </c>
      <c r="B197" s="7"/>
      <c r="C197" s="7">
        <f>'FY24'!AJ197</f>
        <v>12000</v>
      </c>
      <c r="D197" s="7">
        <f>'FY25'!AJ197</f>
        <v>12240</v>
      </c>
      <c r="E197" s="7">
        <f>'FY26'!AJ197</f>
        <v>12484.800000000001</v>
      </c>
      <c r="F197" s="7">
        <f>'FY27'!AJ197</f>
        <v>12734.496000000001</v>
      </c>
      <c r="G197" s="7">
        <f>'FY28'!AJ197</f>
        <v>13116.530880000002</v>
      </c>
    </row>
    <row r="198" spans="1:7" x14ac:dyDescent="0.25">
      <c r="A198" s="62" t="s">
        <v>169</v>
      </c>
      <c r="B198" s="7"/>
      <c r="C198" s="7">
        <f>'FY24'!AJ198</f>
        <v>6000</v>
      </c>
      <c r="D198" s="7">
        <f>'FY25'!AJ198</f>
        <v>6120</v>
      </c>
      <c r="E198" s="7">
        <f>'FY26'!AJ198</f>
        <v>6242.4000000000005</v>
      </c>
      <c r="F198" s="7">
        <f>'FY27'!AJ198</f>
        <v>6367.2480000000005</v>
      </c>
      <c r="G198" s="7">
        <f>'FY28'!AJ198</f>
        <v>6558.265440000001</v>
      </c>
    </row>
    <row r="199" spans="1:7" x14ac:dyDescent="0.25">
      <c r="A199" s="62" t="s">
        <v>170</v>
      </c>
      <c r="B199" s="7"/>
      <c r="C199" s="7">
        <f>'FY24'!AJ199</f>
        <v>81900</v>
      </c>
      <c r="D199" s="7">
        <f>'FY25'!AJ199</f>
        <v>83538</v>
      </c>
      <c r="E199" s="7">
        <f>'FY26'!AJ199</f>
        <v>85208.76</v>
      </c>
      <c r="F199" s="7">
        <f>'FY27'!AJ199</f>
        <v>86912.935199999993</v>
      </c>
      <c r="G199" s="7">
        <f>'FY28'!AJ199</f>
        <v>86912.935199999993</v>
      </c>
    </row>
    <row r="200" spans="1:7" x14ac:dyDescent="0.25">
      <c r="A200" s="62" t="s">
        <v>171</v>
      </c>
      <c r="B200" s="7"/>
      <c r="C200" s="7">
        <f>'FY24'!AJ200</f>
        <v>20640</v>
      </c>
      <c r="D200" s="7">
        <f>'FY25'!AJ200</f>
        <v>26080</v>
      </c>
      <c r="E200" s="7">
        <f>'FY26'!AJ200</f>
        <v>30720</v>
      </c>
      <c r="F200" s="7">
        <f>'FY27'!AJ200</f>
        <v>34560</v>
      </c>
      <c r="G200" s="7">
        <f>'FY28'!AJ200</f>
        <v>38400</v>
      </c>
    </row>
    <row r="201" spans="1:7" x14ac:dyDescent="0.25">
      <c r="A201" s="62" t="s">
        <v>173</v>
      </c>
      <c r="B201" s="7"/>
      <c r="C201" s="7">
        <f>'FY24'!AJ201</f>
        <v>22500</v>
      </c>
      <c r="D201" s="7">
        <f>'FY25'!AJ201</f>
        <v>35000</v>
      </c>
      <c r="E201" s="7">
        <f>'FY26'!AJ201</f>
        <v>36500</v>
      </c>
      <c r="F201" s="7">
        <f>'FY27'!AJ201</f>
        <v>37500</v>
      </c>
      <c r="G201" s="7">
        <f>'FY28'!AJ201</f>
        <v>40000</v>
      </c>
    </row>
    <row r="202" spans="1:7" x14ac:dyDescent="0.25">
      <c r="A202" s="62" t="s">
        <v>174</v>
      </c>
      <c r="B202" s="7"/>
      <c r="C202" s="7">
        <f>'FY24'!AJ202</f>
        <v>12000</v>
      </c>
      <c r="D202" s="7">
        <f>'FY25'!AJ202</f>
        <v>12240</v>
      </c>
      <c r="E202" s="7">
        <f>'FY26'!AJ202</f>
        <v>12484.800000000001</v>
      </c>
      <c r="F202" s="7">
        <f>'FY27'!AJ202</f>
        <v>12734.496000000001</v>
      </c>
      <c r="G202" s="7">
        <f>'FY28'!AJ202</f>
        <v>13116.530880000002</v>
      </c>
    </row>
    <row r="203" spans="1:7" x14ac:dyDescent="0.25">
      <c r="A203" s="62" t="s">
        <v>175</v>
      </c>
      <c r="B203" s="7"/>
      <c r="C203" s="7">
        <f>'FY24'!AJ203</f>
        <v>0</v>
      </c>
      <c r="D203" s="7">
        <f>'FY25'!AJ203</f>
        <v>0</v>
      </c>
      <c r="E203" s="7">
        <f>'FY26'!AJ203</f>
        <v>0</v>
      </c>
      <c r="F203" s="7">
        <f>'FY27'!AJ203</f>
        <v>0</v>
      </c>
      <c r="G203" s="7">
        <f>'FY28'!AJ203</f>
        <v>0</v>
      </c>
    </row>
    <row r="204" spans="1:7" ht="15.75" thickBot="1" x14ac:dyDescent="0.3">
      <c r="A204" s="62" t="s">
        <v>176</v>
      </c>
      <c r="B204" s="7"/>
      <c r="C204" s="7">
        <f>'FY24'!AJ204</f>
        <v>12500</v>
      </c>
      <c r="D204" s="7">
        <f>'FY25'!AJ204</f>
        <v>12750</v>
      </c>
      <c r="E204" s="7">
        <f>'FY26'!AJ204</f>
        <v>13005</v>
      </c>
      <c r="F204" s="7">
        <f>'FY27'!AJ204</f>
        <v>13265.1</v>
      </c>
      <c r="G204" s="7">
        <f>'FY28'!AJ204</f>
        <v>13663.053</v>
      </c>
    </row>
    <row r="205" spans="1:7" ht="15.75" thickBot="1" x14ac:dyDescent="0.3">
      <c r="A205" s="95" t="s">
        <v>177</v>
      </c>
      <c r="B205" s="90">
        <f>SUM(B194:B204)</f>
        <v>0</v>
      </c>
      <c r="C205" s="90">
        <f>SUM(C194:C204)</f>
        <v>265940</v>
      </c>
      <c r="D205" s="90">
        <f>SUM(D194:D204)</f>
        <v>288336</v>
      </c>
      <c r="E205" s="90">
        <f t="shared" ref="E205:G205" si="40">SUM(E194:E204)</f>
        <v>299021.12</v>
      </c>
      <c r="F205" s="90">
        <f t="shared" si="40"/>
        <v>308497.14239999995</v>
      </c>
      <c r="G205" s="90">
        <f t="shared" si="40"/>
        <v>319322.86861599999</v>
      </c>
    </row>
    <row r="206" spans="1:7" ht="15.75" thickBot="1" x14ac:dyDescent="0.3">
      <c r="A206" s="102"/>
      <c r="B206" s="103"/>
      <c r="C206" s="103"/>
      <c r="D206" s="103"/>
      <c r="E206" s="103"/>
      <c r="F206" s="103"/>
      <c r="G206" s="103"/>
    </row>
    <row r="207" spans="1:7" ht="15.75" thickBot="1" x14ac:dyDescent="0.3">
      <c r="A207" s="95" t="s">
        <v>178</v>
      </c>
      <c r="B207" s="104">
        <f t="shared" ref="B207:G207" si="41">B139+B151+B167+B176+B181+B192+B205</f>
        <v>0</v>
      </c>
      <c r="C207" s="104">
        <f t="shared" si="41"/>
        <v>4087733.9781124997</v>
      </c>
      <c r="D207" s="104">
        <f t="shared" si="41"/>
        <v>5752216.2088554874</v>
      </c>
      <c r="E207" s="104">
        <f t="shared" si="41"/>
        <v>6934718.4813923733</v>
      </c>
      <c r="F207" s="104">
        <f t="shared" si="41"/>
        <v>7971255.0632486586</v>
      </c>
      <c r="G207" s="104">
        <f t="shared" si="41"/>
        <v>8756944.443033658</v>
      </c>
    </row>
    <row r="208" spans="1:7" x14ac:dyDescent="0.25">
      <c r="A208" s="105"/>
      <c r="B208" s="61"/>
      <c r="C208" s="61"/>
      <c r="D208" s="61"/>
      <c r="E208" s="61"/>
      <c r="F208" s="61"/>
      <c r="G208" s="61"/>
    </row>
    <row r="209" spans="1:7" x14ac:dyDescent="0.25">
      <c r="A209" s="106" t="s">
        <v>179</v>
      </c>
      <c r="B209" s="7"/>
      <c r="C209" s="7">
        <f>'FY24'!AJ209</f>
        <v>1000000</v>
      </c>
      <c r="D209" s="7">
        <f>'FY25'!AJ209</f>
        <v>1250000</v>
      </c>
      <c r="E209" s="7">
        <f>'FY26'!AJ209</f>
        <v>1500000</v>
      </c>
      <c r="F209" s="7">
        <f>'FY27'!AJ209</f>
        <v>1650000</v>
      </c>
      <c r="G209" s="7">
        <f>'FY28'!AJ209</f>
        <v>2150000</v>
      </c>
    </row>
    <row r="210" spans="1:7" s="212" customFormat="1" x14ac:dyDescent="0.25">
      <c r="A210" s="210" t="s">
        <v>180</v>
      </c>
      <c r="B210" s="7"/>
      <c r="C210" s="7">
        <f>'FY24'!AJ210</f>
        <v>0</v>
      </c>
      <c r="D210" s="7">
        <f>'FY25'!AJ210</f>
        <v>0</v>
      </c>
      <c r="E210" s="7">
        <f>'FY26'!AJ210</f>
        <v>0</v>
      </c>
      <c r="F210" s="7">
        <f>'FY27'!AJ210</f>
        <v>0</v>
      </c>
      <c r="G210" s="7">
        <f>'FY28'!AJ210</f>
        <v>0</v>
      </c>
    </row>
    <row r="211" spans="1:7" x14ac:dyDescent="0.25">
      <c r="A211" s="210" t="s">
        <v>180</v>
      </c>
      <c r="B211" s="7"/>
      <c r="C211" s="7">
        <f>'FY24'!AJ211</f>
        <v>0</v>
      </c>
      <c r="D211" s="7">
        <f>'FY25'!AJ211</f>
        <v>0</v>
      </c>
      <c r="E211" s="7">
        <f>'FY26'!AJ211</f>
        <v>0</v>
      </c>
      <c r="F211" s="7">
        <f>'FY27'!AJ211</f>
        <v>0</v>
      </c>
      <c r="G211" s="7">
        <f>'FY28'!AJ211</f>
        <v>0</v>
      </c>
    </row>
    <row r="212" spans="1:7" hidden="1" x14ac:dyDescent="0.25">
      <c r="A212" s="210"/>
      <c r="B212" s="7"/>
      <c r="C212" s="7">
        <f>'FY24'!AJ212</f>
        <v>0</v>
      </c>
      <c r="D212" s="7">
        <f>'FY25'!AJ212</f>
        <v>0</v>
      </c>
      <c r="E212" s="7">
        <f>'FY26'!AJ212</f>
        <v>0</v>
      </c>
      <c r="F212" s="7">
        <f>'FY27'!AJ212</f>
        <v>0</v>
      </c>
      <c r="G212" s="7">
        <f>'FY28'!AJ212</f>
        <v>0</v>
      </c>
    </row>
    <row r="213" spans="1:7" hidden="1" x14ac:dyDescent="0.25">
      <c r="A213" s="106"/>
      <c r="B213" s="7"/>
      <c r="C213" s="7">
        <f>'FY24'!AJ213</f>
        <v>0</v>
      </c>
      <c r="D213" s="7">
        <f>'FY25'!AJ213</f>
        <v>0</v>
      </c>
      <c r="E213" s="7">
        <f>'FY26'!AJ213</f>
        <v>0</v>
      </c>
      <c r="F213" s="7">
        <f>'FY27'!AJ213</f>
        <v>0</v>
      </c>
      <c r="G213" s="7">
        <f>'FY28'!AJ213</f>
        <v>0</v>
      </c>
    </row>
    <row r="214" spans="1:7" hidden="1" x14ac:dyDescent="0.25">
      <c r="A214" s="106"/>
      <c r="B214" s="7"/>
      <c r="C214" s="7">
        <f>'FY24'!AJ214</f>
        <v>0</v>
      </c>
      <c r="D214" s="7">
        <f>'FY25'!AJ214</f>
        <v>0</v>
      </c>
      <c r="E214" s="7">
        <f>'FY26'!AJ214</f>
        <v>0</v>
      </c>
      <c r="F214" s="7">
        <f>'FY27'!AJ214</f>
        <v>0</v>
      </c>
      <c r="G214" s="7">
        <f>'FY28'!AJ214</f>
        <v>0</v>
      </c>
    </row>
    <row r="215" spans="1:7" hidden="1" x14ac:dyDescent="0.25">
      <c r="A215" s="106"/>
      <c r="B215" s="7"/>
      <c r="C215" s="7">
        <f>'FY24'!AJ215</f>
        <v>0</v>
      </c>
      <c r="D215" s="7">
        <f>'FY25'!AJ215</f>
        <v>0</v>
      </c>
      <c r="E215" s="7">
        <f>'FY26'!AJ215</f>
        <v>0</v>
      </c>
      <c r="F215" s="7">
        <f>'FY27'!AJ215</f>
        <v>0</v>
      </c>
      <c r="G215" s="7">
        <f>'FY28'!AJ215</f>
        <v>0</v>
      </c>
    </row>
    <row r="216" spans="1:7" x14ac:dyDescent="0.25">
      <c r="A216" s="106" t="s">
        <v>180</v>
      </c>
      <c r="B216" s="7"/>
      <c r="C216" s="7">
        <f>'FY24'!AJ216</f>
        <v>0</v>
      </c>
      <c r="D216" s="7">
        <f>'FY25'!AJ216</f>
        <v>0</v>
      </c>
      <c r="E216" s="7">
        <f>'FY26'!AJ216</f>
        <v>0</v>
      </c>
      <c r="F216" s="7">
        <f>'FY27'!AJ216</f>
        <v>0</v>
      </c>
      <c r="G216" s="7">
        <f>'FY28'!AJ216</f>
        <v>0</v>
      </c>
    </row>
    <row r="217" spans="1:7" x14ac:dyDescent="0.25">
      <c r="A217" s="107" t="s">
        <v>181</v>
      </c>
      <c r="B217" s="7"/>
      <c r="C217" s="7">
        <f>'FY24'!AJ217</f>
        <v>0</v>
      </c>
      <c r="D217" s="7">
        <f>'FY25'!AJ217</f>
        <v>0</v>
      </c>
      <c r="E217" s="7">
        <f>'FY26'!AJ217</f>
        <v>0</v>
      </c>
      <c r="F217" s="7">
        <f>'FY27'!AJ217</f>
        <v>0</v>
      </c>
      <c r="G217" s="7">
        <f>'FY28'!AJ217</f>
        <v>0</v>
      </c>
    </row>
    <row r="218" spans="1:7" x14ac:dyDescent="0.25">
      <c r="A218" s="146"/>
      <c r="B218" s="7"/>
      <c r="C218" s="7">
        <f>'FY24'!AJ218</f>
        <v>0</v>
      </c>
      <c r="D218" s="7">
        <f>'FY25'!AJ218</f>
        <v>0</v>
      </c>
      <c r="E218" s="7">
        <f>'FY26'!AJ218</f>
        <v>0</v>
      </c>
      <c r="F218" s="7">
        <f>'FY27'!AJ218</f>
        <v>0</v>
      </c>
      <c r="G218" s="7">
        <f>'FY28'!AJ218</f>
        <v>0</v>
      </c>
    </row>
    <row r="219" spans="1:7" x14ac:dyDescent="0.25">
      <c r="A219" s="147"/>
      <c r="B219" s="7"/>
      <c r="C219" s="7"/>
      <c r="D219" s="7"/>
      <c r="E219" s="7"/>
      <c r="F219" s="7"/>
      <c r="G219" s="7"/>
    </row>
    <row r="220" spans="1:7" ht="15.75" thickBot="1" x14ac:dyDescent="0.3">
      <c r="A220" s="144" t="s">
        <v>183</v>
      </c>
      <c r="B220" s="145">
        <f>B86-B207-B210-B211-B216-B217</f>
        <v>0</v>
      </c>
      <c r="C220" s="145">
        <f>C86-C207-C209-C210-C211-C216-C217</f>
        <v>5402.8268875000067</v>
      </c>
      <c r="D220" s="145">
        <f t="shared" ref="D220:G220" si="42">D86-D207-D209-D210-D211-D216-D217</f>
        <v>77225.462499511428</v>
      </c>
      <c r="E220" s="145">
        <f t="shared" si="42"/>
        <v>80895.046879784204</v>
      </c>
      <c r="F220" s="145">
        <f t="shared" si="42"/>
        <v>119408.13002506271</v>
      </c>
      <c r="G220" s="145">
        <f t="shared" si="42"/>
        <v>118818.40663998574</v>
      </c>
    </row>
    <row r="221" spans="1:7" ht="15.75" thickBot="1" x14ac:dyDescent="0.3">
      <c r="A221" s="108"/>
      <c r="B221" s="110"/>
      <c r="C221" s="110">
        <f>C220/(C86-C76)</f>
        <v>1.1221997035887549E-3</v>
      </c>
      <c r="D221" s="110">
        <f>D220/(D86-D76)</f>
        <v>1.148732480463013E-2</v>
      </c>
      <c r="E221" s="110">
        <f>E220/(E86)</f>
        <v>9.4996146327225393E-3</v>
      </c>
      <c r="F221" s="110">
        <f>F220/(F86-F76)</f>
        <v>1.2910075672532328E-2</v>
      </c>
      <c r="G221" s="110">
        <f>G220/(G86-G76)</f>
        <v>1.1352918575841142E-2</v>
      </c>
    </row>
    <row r="222" spans="1:7" x14ac:dyDescent="0.25">
      <c r="B222" s="111"/>
      <c r="C222" s="111"/>
      <c r="D222" s="111"/>
      <c r="E222" s="111"/>
      <c r="F222" s="111"/>
      <c r="G222" s="111"/>
    </row>
    <row r="223" spans="1:7" x14ac:dyDescent="0.25">
      <c r="A223" s="112" t="str">
        <f>A1</f>
        <v>Pinecrest Academy of Nevada - Springs</v>
      </c>
      <c r="B223" s="112" t="str">
        <f>B1</f>
        <v xml:space="preserve"> FY 23</v>
      </c>
      <c r="C223" s="112" t="str">
        <f>C1</f>
        <v xml:space="preserve"> FY 24</v>
      </c>
      <c r="D223" s="112" t="str">
        <f>D1</f>
        <v xml:space="preserve"> FY 25</v>
      </c>
      <c r="E223" s="112" t="str">
        <f t="shared" ref="E223:G223" si="43">E1</f>
        <v xml:space="preserve"> FY 26</v>
      </c>
      <c r="F223" s="112" t="str">
        <f t="shared" si="43"/>
        <v xml:space="preserve"> FY 27</v>
      </c>
      <c r="G223" s="112" t="str">
        <f t="shared" si="43"/>
        <v xml:space="preserve"> FY 28</v>
      </c>
    </row>
    <row r="224" spans="1:7" x14ac:dyDescent="0.25">
      <c r="B224" s="109"/>
      <c r="C224" s="109"/>
      <c r="D224" s="109"/>
      <c r="E224" s="109"/>
      <c r="F224" s="109"/>
      <c r="G224" s="109"/>
    </row>
    <row r="225" spans="1:7" x14ac:dyDescent="0.25">
      <c r="A225" s="112"/>
      <c r="B225" s="71"/>
      <c r="C225" s="71" t="b">
        <f>C220='FY24'!AJ220</f>
        <v>1</v>
      </c>
      <c r="D225" s="71" t="b">
        <f>D220='FY25'!AJ220</f>
        <v>1</v>
      </c>
      <c r="E225" s="71" t="b">
        <f>E220='FY26'!AJ220</f>
        <v>1</v>
      </c>
      <c r="F225" s="71" t="b">
        <f>F220='FY27'!AJ220</f>
        <v>1</v>
      </c>
      <c r="G225" s="71" t="b">
        <f>G220='FY28'!AJ220</f>
        <v>1</v>
      </c>
    </row>
    <row r="226" spans="1:7" x14ac:dyDescent="0.25">
      <c r="B226" s="109"/>
      <c r="C226" s="109"/>
      <c r="D226" s="109"/>
      <c r="E226" s="109"/>
      <c r="F226" s="109"/>
      <c r="G226" s="109"/>
    </row>
    <row r="228" spans="1:7" x14ac:dyDescent="0.25">
      <c r="A228" s="266" t="s">
        <v>187</v>
      </c>
      <c r="B228" s="267">
        <f>B86-B207</f>
        <v>0</v>
      </c>
      <c r="C228" s="267">
        <f t="shared" ref="C228:G228" si="44">C86-C207</f>
        <v>1005402.8268875</v>
      </c>
      <c r="D228" s="267">
        <f t="shared" si="44"/>
        <v>1327225.4624995114</v>
      </c>
      <c r="E228" s="267">
        <f t="shared" si="44"/>
        <v>1580895.0468797842</v>
      </c>
      <c r="F228" s="267">
        <f t="shared" si="44"/>
        <v>1769408.1300250627</v>
      </c>
      <c r="G228" s="267">
        <f t="shared" si="44"/>
        <v>2268818.4066399857</v>
      </c>
    </row>
    <row r="229" spans="1:7" x14ac:dyDescent="0.25">
      <c r="B229" s="268"/>
      <c r="C229" s="268"/>
      <c r="D229" s="268"/>
      <c r="E229" s="268"/>
      <c r="F229" s="268"/>
      <c r="G229" s="268"/>
    </row>
    <row r="230" spans="1:7" x14ac:dyDescent="0.25">
      <c r="A230" t="str">
        <f>A209</f>
        <v>Scheduled Lease Payment</v>
      </c>
      <c r="B230" s="269">
        <f t="shared" ref="B230:G234" si="45">B213</f>
        <v>0</v>
      </c>
      <c r="C230" s="269">
        <f t="shared" ref="C230:G232" si="46">C209</f>
        <v>1000000</v>
      </c>
      <c r="D230" s="269">
        <f t="shared" si="46"/>
        <v>1250000</v>
      </c>
      <c r="E230" s="269">
        <f t="shared" si="46"/>
        <v>1500000</v>
      </c>
      <c r="F230" s="269">
        <f t="shared" si="46"/>
        <v>1650000</v>
      </c>
      <c r="G230" s="269">
        <f t="shared" si="46"/>
        <v>2150000</v>
      </c>
    </row>
    <row r="231" spans="1:7" x14ac:dyDescent="0.25">
      <c r="A231" t="s">
        <v>180</v>
      </c>
      <c r="B231" s="269">
        <f>B210</f>
        <v>0</v>
      </c>
      <c r="C231" s="269">
        <f t="shared" si="46"/>
        <v>0</v>
      </c>
      <c r="D231" s="269">
        <f t="shared" si="46"/>
        <v>0</v>
      </c>
      <c r="E231" s="269">
        <f t="shared" si="46"/>
        <v>0</v>
      </c>
      <c r="F231" s="269">
        <f t="shared" si="46"/>
        <v>0</v>
      </c>
      <c r="G231" s="269">
        <f t="shared" si="46"/>
        <v>0</v>
      </c>
    </row>
    <row r="232" spans="1:7" x14ac:dyDescent="0.25">
      <c r="A232" t="s">
        <v>180</v>
      </c>
      <c r="B232" s="269">
        <f>B211</f>
        <v>0</v>
      </c>
      <c r="C232" s="269">
        <f t="shared" si="46"/>
        <v>0</v>
      </c>
      <c r="D232" s="269">
        <f t="shared" si="46"/>
        <v>0</v>
      </c>
      <c r="E232" s="269">
        <f t="shared" si="46"/>
        <v>0</v>
      </c>
      <c r="F232" s="269">
        <f t="shared" si="46"/>
        <v>0</v>
      </c>
      <c r="G232" s="269">
        <f t="shared" si="46"/>
        <v>0</v>
      </c>
    </row>
    <row r="233" spans="1:7" x14ac:dyDescent="0.25">
      <c r="A233" t="s">
        <v>180</v>
      </c>
      <c r="B233" s="269">
        <f t="shared" si="45"/>
        <v>0</v>
      </c>
      <c r="C233" s="269">
        <f t="shared" si="45"/>
        <v>0</v>
      </c>
      <c r="D233" s="269">
        <f t="shared" si="45"/>
        <v>0</v>
      </c>
      <c r="E233" s="269">
        <f t="shared" si="45"/>
        <v>0</v>
      </c>
      <c r="F233" s="269">
        <f t="shared" si="45"/>
        <v>0</v>
      </c>
      <c r="G233" s="269">
        <f t="shared" si="45"/>
        <v>0</v>
      </c>
    </row>
    <row r="234" spans="1:7" x14ac:dyDescent="0.25">
      <c r="B234" s="269">
        <f>B217</f>
        <v>0</v>
      </c>
      <c r="C234" s="269">
        <f t="shared" si="45"/>
        <v>0</v>
      </c>
      <c r="D234" s="269">
        <f t="shared" si="45"/>
        <v>0</v>
      </c>
      <c r="E234" s="269">
        <f t="shared" si="45"/>
        <v>0</v>
      </c>
      <c r="F234" s="269">
        <f t="shared" si="45"/>
        <v>0</v>
      </c>
      <c r="G234" s="269">
        <f t="shared" si="45"/>
        <v>0</v>
      </c>
    </row>
    <row r="235" spans="1:7" x14ac:dyDescent="0.25">
      <c r="A235" s="270" t="s">
        <v>188</v>
      </c>
      <c r="B235" s="271">
        <f t="shared" ref="B235:G235" si="47">SUM(B230:B234)</f>
        <v>0</v>
      </c>
      <c r="C235" s="271">
        <f t="shared" si="47"/>
        <v>1000000</v>
      </c>
      <c r="D235" s="271">
        <f t="shared" si="47"/>
        <v>1250000</v>
      </c>
      <c r="E235" s="271">
        <f t="shared" si="47"/>
        <v>1500000</v>
      </c>
      <c r="F235" s="271">
        <f t="shared" si="47"/>
        <v>1650000</v>
      </c>
      <c r="G235" s="271">
        <f t="shared" si="47"/>
        <v>2150000</v>
      </c>
    </row>
    <row r="236" spans="1:7" x14ac:dyDescent="0.25">
      <c r="B236" s="268"/>
      <c r="C236" s="268"/>
      <c r="D236" s="268"/>
      <c r="E236" s="268"/>
      <c r="F236" s="268"/>
      <c r="G236" s="268"/>
    </row>
    <row r="237" spans="1:7" x14ac:dyDescent="0.25">
      <c r="A237" s="266" t="s">
        <v>189</v>
      </c>
      <c r="B237" s="272" t="e">
        <f t="shared" ref="B237:G237" si="48">B228/B235</f>
        <v>#DIV/0!</v>
      </c>
      <c r="C237" s="272">
        <f t="shared" si="48"/>
        <v>1.0054028268874999</v>
      </c>
      <c r="D237" s="272">
        <f t="shared" si="48"/>
        <v>1.0617803699996091</v>
      </c>
      <c r="E237" s="272">
        <f t="shared" si="48"/>
        <v>1.0539300312531894</v>
      </c>
      <c r="F237" s="272">
        <f t="shared" si="48"/>
        <v>1.0723685636515532</v>
      </c>
      <c r="G237" s="272">
        <f t="shared" si="48"/>
        <v>1.0552643751813888</v>
      </c>
    </row>
    <row r="238" spans="1:7" x14ac:dyDescent="0.25">
      <c r="B238" s="268"/>
      <c r="C238" s="268"/>
      <c r="D238" s="268"/>
      <c r="E238" s="268"/>
      <c r="F238" s="268"/>
      <c r="G238" s="268"/>
    </row>
    <row r="239" spans="1:7" x14ac:dyDescent="0.25">
      <c r="A239" s="273" t="s">
        <v>190</v>
      </c>
      <c r="B239" s="273"/>
      <c r="C239" s="273"/>
      <c r="D239" s="273"/>
      <c r="E239" s="273"/>
      <c r="F239" s="273"/>
      <c r="G239" s="273"/>
    </row>
    <row r="240" spans="1:7" x14ac:dyDescent="0.25">
      <c r="A240" t="s">
        <v>264</v>
      </c>
      <c r="B240" s="274">
        <v>16026053</v>
      </c>
      <c r="C240" s="274">
        <f t="shared" ref="C240:G240" si="49">B243</f>
        <v>16026053</v>
      </c>
      <c r="D240" s="274">
        <f t="shared" si="49"/>
        <v>16031455.8268875</v>
      </c>
      <c r="E240" s="274">
        <f t="shared" si="49"/>
        <v>16108681.28938701</v>
      </c>
      <c r="F240" s="274">
        <f t="shared" si="49"/>
        <v>16189576.336266793</v>
      </c>
      <c r="G240" s="274">
        <f t="shared" si="49"/>
        <v>16308984.466291856</v>
      </c>
    </row>
    <row r="241" spans="1:9" x14ac:dyDescent="0.25">
      <c r="A241" s="268" t="s">
        <v>192</v>
      </c>
      <c r="B241" s="275">
        <v>0</v>
      </c>
      <c r="C241" s="275">
        <v>0</v>
      </c>
      <c r="D241" s="275">
        <v>0</v>
      </c>
      <c r="E241" s="275">
        <v>0</v>
      </c>
      <c r="F241" s="275">
        <v>0</v>
      </c>
      <c r="G241" s="275">
        <v>0</v>
      </c>
    </row>
    <row r="242" spans="1:9" x14ac:dyDescent="0.25">
      <c r="A242" s="268" t="s">
        <v>193</v>
      </c>
      <c r="B242" s="275">
        <f t="shared" ref="B242:G242" si="50">B220</f>
        <v>0</v>
      </c>
      <c r="C242" s="275">
        <f t="shared" si="50"/>
        <v>5402.8268875000067</v>
      </c>
      <c r="D242" s="275">
        <f t="shared" si="50"/>
        <v>77225.462499511428</v>
      </c>
      <c r="E242" s="275">
        <f t="shared" si="50"/>
        <v>80895.046879784204</v>
      </c>
      <c r="F242" s="275">
        <f t="shared" si="50"/>
        <v>119408.13002506271</v>
      </c>
      <c r="G242" s="275">
        <f t="shared" si="50"/>
        <v>118818.40663998574</v>
      </c>
    </row>
    <row r="243" spans="1:9" x14ac:dyDescent="0.25">
      <c r="A243" s="276" t="s">
        <v>194</v>
      </c>
      <c r="B243" s="277">
        <f>B240+B241+B242</f>
        <v>16026053</v>
      </c>
      <c r="C243" s="277">
        <f t="shared" ref="C243:G243" si="51">C240+C241+C242</f>
        <v>16031455.8268875</v>
      </c>
      <c r="D243" s="277">
        <f t="shared" si="51"/>
        <v>16108681.28938701</v>
      </c>
      <c r="E243" s="277">
        <f t="shared" si="51"/>
        <v>16189576.336266793</v>
      </c>
      <c r="F243" s="277">
        <f t="shared" si="51"/>
        <v>16308984.466291856</v>
      </c>
      <c r="G243" s="277">
        <f t="shared" si="51"/>
        <v>16427802.872931842</v>
      </c>
    </row>
    <row r="244" spans="1:9" x14ac:dyDescent="0.25">
      <c r="A244" s="266" t="s">
        <v>195</v>
      </c>
      <c r="B244" s="272" t="e">
        <f t="shared" ref="B244:G244" si="52">B243/((SUM(B207:B218))/365)</f>
        <v>#DIV/0!</v>
      </c>
      <c r="C244" s="272">
        <f t="shared" si="52"/>
        <v>1150.1154348845848</v>
      </c>
      <c r="D244" s="272">
        <f t="shared" si="52"/>
        <v>839.68682132242975</v>
      </c>
      <c r="E244" s="272">
        <f t="shared" si="52"/>
        <v>700.58003426830567</v>
      </c>
      <c r="F244" s="272">
        <f t="shared" si="52"/>
        <v>618.71131064126939</v>
      </c>
      <c r="G244" s="272">
        <f t="shared" si="52"/>
        <v>549.75507392906025</v>
      </c>
    </row>
    <row r="245" spans="1:9" x14ac:dyDescent="0.25">
      <c r="B245" s="109"/>
      <c r="C245" s="109"/>
      <c r="D245" s="109"/>
      <c r="E245" s="109"/>
      <c r="F245" s="109"/>
      <c r="G245" s="109"/>
    </row>
    <row r="246" spans="1:9" x14ac:dyDescent="0.25">
      <c r="B246" s="109"/>
      <c r="C246" s="278"/>
      <c r="D246" s="278"/>
      <c r="E246" s="278"/>
      <c r="F246" s="278"/>
      <c r="G246" s="278"/>
      <c r="I246" s="112" t="s">
        <v>265</v>
      </c>
    </row>
    <row r="247" spans="1:9" x14ac:dyDescent="0.25">
      <c r="A247" s="137" t="s">
        <v>266</v>
      </c>
      <c r="B247" s="278" t="e">
        <f>B129/SUM(B207:B217)</f>
        <v>#DIV/0!</v>
      </c>
      <c r="C247" s="278">
        <f t="shared" ref="C247:G247" si="53">C129/SUM(C207:C217)</f>
        <v>0.37682001618945643</v>
      </c>
      <c r="D247" s="278">
        <f t="shared" si="53"/>
        <v>0.36264375795603293</v>
      </c>
      <c r="E247" s="278">
        <f t="shared" si="53"/>
        <v>0.36655852911045989</v>
      </c>
      <c r="F247" s="278">
        <f t="shared" si="53"/>
        <v>0.37325934468963218</v>
      </c>
      <c r="G247" s="278">
        <f t="shared" si="53"/>
        <v>0.36431489570279624</v>
      </c>
      <c r="I247" s="279" t="e">
        <f t="shared" ref="I247:I256" si="54">AVERAGE(B247:G247)</f>
        <v>#DIV/0!</v>
      </c>
    </row>
    <row r="248" spans="1:9" x14ac:dyDescent="0.25">
      <c r="A248" s="137" t="s">
        <v>267</v>
      </c>
      <c r="B248" s="278" t="e">
        <f>SUM(B130:B135)/SUM(B207:B217)</f>
        <v>#DIV/0!</v>
      </c>
      <c r="C248" s="278">
        <f t="shared" ref="C248:G248" si="55">SUM(C130:C135)/SUM(C207:C217)</f>
        <v>0.1814793980919856</v>
      </c>
      <c r="D248" s="278">
        <f t="shared" si="55"/>
        <v>0.18548067658314782</v>
      </c>
      <c r="E248" s="278">
        <f t="shared" si="55"/>
        <v>0.18947368409813031</v>
      </c>
      <c r="F248" s="278">
        <f t="shared" si="55"/>
        <v>0.1933221619604337</v>
      </c>
      <c r="G248" s="278">
        <f t="shared" si="55"/>
        <v>0.1892819886717772</v>
      </c>
      <c r="I248" s="279" t="e">
        <f t="shared" si="54"/>
        <v>#DIV/0!</v>
      </c>
    </row>
    <row r="249" spans="1:9" x14ac:dyDescent="0.25">
      <c r="A249" s="137" t="s">
        <v>129</v>
      </c>
      <c r="B249" s="278" t="e">
        <f t="shared" ref="B249" si="56">B158/SUM(B207:B217)</f>
        <v>#DIV/0!</v>
      </c>
      <c r="C249" s="278">
        <f t="shared" ref="C249:G249" si="57">C158/SUM(C207:C217)</f>
        <v>2.2328211437293837E-3</v>
      </c>
      <c r="D249" s="278">
        <f t="shared" si="57"/>
        <v>2.1021915863414886E-3</v>
      </c>
      <c r="E249" s="278">
        <f t="shared" si="57"/>
        <v>2.0297061529401385E-3</v>
      </c>
      <c r="F249" s="278">
        <f t="shared" si="57"/>
        <v>1.9664794120541253E-3</v>
      </c>
      <c r="G249" s="278">
        <f t="shared" si="57"/>
        <v>1.8667006242068167E-3</v>
      </c>
      <c r="I249" s="279" t="e">
        <f t="shared" si="54"/>
        <v>#DIV/0!</v>
      </c>
    </row>
    <row r="250" spans="1:9" x14ac:dyDescent="0.25">
      <c r="A250" s="137" t="s">
        <v>268</v>
      </c>
      <c r="B250" s="278" t="e">
        <f>(B142+B155+B156+B157+B164+B165)/SUM(B207:B217)</f>
        <v>#DIV/0!</v>
      </c>
      <c r="C250" s="278">
        <f t="shared" ref="C250:G250" si="58">(C142+C155+C156+C157+C164+C165)/SUM(C207:C217)</f>
        <v>4.1059805592960734E-2</v>
      </c>
      <c r="D250" s="278">
        <f t="shared" si="58"/>
        <v>6.1086857211377743E-2</v>
      </c>
      <c r="E250" s="278">
        <f t="shared" si="58"/>
        <v>5.9845381991266475E-2</v>
      </c>
      <c r="F250" s="278">
        <f t="shared" si="58"/>
        <v>5.9133731160083393E-2</v>
      </c>
      <c r="G250" s="278">
        <f t="shared" si="58"/>
        <v>5.8068910188798506E-2</v>
      </c>
      <c r="I250" s="279" t="e">
        <f t="shared" si="54"/>
        <v>#DIV/0!</v>
      </c>
    </row>
    <row r="251" spans="1:9" x14ac:dyDescent="0.25">
      <c r="A251" s="137" t="s">
        <v>269</v>
      </c>
      <c r="B251" s="278" t="e">
        <f>(B154+B153+B137)/SUM(B207:B217)</f>
        <v>#DIV/0!</v>
      </c>
      <c r="C251" s="278">
        <f t="shared" ref="C251:G251" si="59">(C154+C153+C137)/SUM(C207:C217)</f>
        <v>2.2087436269946258E-2</v>
      </c>
      <c r="D251" s="278">
        <f t="shared" si="59"/>
        <v>3.1150851886598992E-2</v>
      </c>
      <c r="E251" s="278">
        <f t="shared" si="59"/>
        <v>3.4311755708084431E-2</v>
      </c>
      <c r="F251" s="278">
        <f t="shared" si="59"/>
        <v>3.6232882062508354E-2</v>
      </c>
      <c r="G251" s="278">
        <f t="shared" si="59"/>
        <v>3.0643852799073855E-2</v>
      </c>
      <c r="I251" s="279" t="e">
        <f t="shared" si="54"/>
        <v>#DIV/0!</v>
      </c>
    </row>
    <row r="252" spans="1:9" x14ac:dyDescent="0.25">
      <c r="A252" s="137" t="s">
        <v>270</v>
      </c>
      <c r="B252" s="278" t="e">
        <f>(B174+B143+B144)/SUM(B207:B217)</f>
        <v>#DIV/0!</v>
      </c>
      <c r="C252" s="278">
        <f t="shared" ref="C252:G252" si="60">(C174+C143+C144)/SUM(C207:C217)</f>
        <v>3.16447362799675E-2</v>
      </c>
      <c r="D252" s="278">
        <f t="shared" si="60"/>
        <v>3.7259632124761841E-2</v>
      </c>
      <c r="E252" s="278">
        <f t="shared" si="60"/>
        <v>3.7006095780030557E-2</v>
      </c>
      <c r="F252" s="278">
        <f t="shared" si="60"/>
        <v>3.6421593409215643E-2</v>
      </c>
      <c r="G252" s="278">
        <f t="shared" si="60"/>
        <v>3.4359604521444202E-2</v>
      </c>
      <c r="I252" s="279" t="e">
        <f t="shared" si="54"/>
        <v>#DIV/0!</v>
      </c>
    </row>
    <row r="253" spans="1:9" x14ac:dyDescent="0.25">
      <c r="A253" s="137" t="s">
        <v>112</v>
      </c>
      <c r="B253" s="278" t="e">
        <f>(B141+B145+B146+B147+B148+B149)/SUM(B207:B217)</f>
        <v>#DIV/0!</v>
      </c>
      <c r="C253" s="278">
        <f t="shared" ref="C253:G253" si="61">(C141+C145+C146+C147+C148+C149)/SUM(C207:C217)</f>
        <v>1.4069544576809078E-2</v>
      </c>
      <c r="D253" s="278">
        <f t="shared" si="61"/>
        <v>2.4762460173782745E-2</v>
      </c>
      <c r="E253" s="278">
        <f t="shared" si="61"/>
        <v>2.4315713731579515E-2</v>
      </c>
      <c r="F253" s="278">
        <f t="shared" si="61"/>
        <v>2.4050999425626548E-2</v>
      </c>
      <c r="G253" s="278">
        <f t="shared" si="61"/>
        <v>2.3592161979366373E-2</v>
      </c>
      <c r="I253" s="279" t="e">
        <f t="shared" si="54"/>
        <v>#DIV/0!</v>
      </c>
    </row>
    <row r="254" spans="1:9" x14ac:dyDescent="0.25">
      <c r="A254" s="137" t="s">
        <v>271</v>
      </c>
      <c r="B254" s="278" t="e">
        <f>(B181)/SUM(B207:B217)</f>
        <v>#DIV/0!</v>
      </c>
      <c r="C254" s="278">
        <f t="shared" ref="C254:G254" si="62">(C181)/SUM(C207:C217)</f>
        <v>5.89653471055295E-3</v>
      </c>
      <c r="D254" s="278">
        <f t="shared" si="62"/>
        <v>4.5414193237540311E-3</v>
      </c>
      <c r="E254" s="278">
        <f t="shared" si="62"/>
        <v>3.9963396614080722E-3</v>
      </c>
      <c r="F254" s="278">
        <f t="shared" si="62"/>
        <v>3.7137026058568549E-3</v>
      </c>
      <c r="G254" s="278">
        <f t="shared" si="62"/>
        <v>3.4724948859706155E-3</v>
      </c>
      <c r="I254" s="279" t="e">
        <f t="shared" si="54"/>
        <v>#DIV/0!</v>
      </c>
    </row>
    <row r="255" spans="1:9" x14ac:dyDescent="0.25">
      <c r="A255" s="137" t="s">
        <v>272</v>
      </c>
      <c r="B255" s="278" t="e">
        <f>(B205+B209+B210+B211+B216+B217)/SUM(B207:B217)</f>
        <v>#DIV/0!</v>
      </c>
      <c r="C255" s="278">
        <f>(C205+C209+C210+C211+C216+C217)/SUM(C207:C217)</f>
        <v>0.24882197171591339</v>
      </c>
      <c r="D255" s="278">
        <f t="shared" ref="D255:G255" si="63">(D205+D209+D210+D211+D216+D217)/SUM(D207:D217)</f>
        <v>0.21969273071781387</v>
      </c>
      <c r="E255" s="278">
        <f t="shared" si="63"/>
        <v>0.21328763063862496</v>
      </c>
      <c r="F255" s="278">
        <f t="shared" si="63"/>
        <v>0.20355942437084762</v>
      </c>
      <c r="G255" s="278">
        <f t="shared" si="63"/>
        <v>0.22639914244664314</v>
      </c>
      <c r="I255" s="279" t="e">
        <f t="shared" si="54"/>
        <v>#DIV/0!</v>
      </c>
    </row>
    <row r="256" spans="1:9" x14ac:dyDescent="0.25">
      <c r="A256" s="137" t="s">
        <v>4</v>
      </c>
      <c r="B256" s="278" t="e">
        <f t="shared" ref="B256" si="64">(B183)/SUM(B207:B217)</f>
        <v>#DIV/0!</v>
      </c>
      <c r="C256" s="278">
        <f t="shared" ref="C256:G256" si="65">(C183)/SUM(C207:C217)</f>
        <v>4.5509926618824519E-2</v>
      </c>
      <c r="D256" s="278">
        <f t="shared" si="65"/>
        <v>4.2407602270901033E-2</v>
      </c>
      <c r="E256" s="278">
        <f t="shared" si="65"/>
        <v>4.2361371133873005E-2</v>
      </c>
      <c r="F256" s="278">
        <f t="shared" si="65"/>
        <v>4.2798241735934515E-2</v>
      </c>
      <c r="G256" s="278">
        <f t="shared" si="65"/>
        <v>4.3203300655021572E-2</v>
      </c>
      <c r="I256" s="279" t="e">
        <f t="shared" si="54"/>
        <v>#DIV/0!</v>
      </c>
    </row>
    <row r="257" spans="1:9" x14ac:dyDescent="0.25">
      <c r="A257" s="137" t="s">
        <v>273</v>
      </c>
      <c r="B257" s="278" t="e">
        <f>(B150)/SUM(B207:B217)</f>
        <v>#DIV/0!</v>
      </c>
      <c r="C257" s="278">
        <f t="shared" ref="C257:G257" si="66">(C150)/SUM(C207:C217)</f>
        <v>0</v>
      </c>
      <c r="D257" s="278">
        <f t="shared" si="66"/>
        <v>0</v>
      </c>
      <c r="E257" s="278">
        <f t="shared" si="66"/>
        <v>0</v>
      </c>
      <c r="F257" s="278">
        <f t="shared" si="66"/>
        <v>0</v>
      </c>
      <c r="G257" s="278">
        <f t="shared" si="66"/>
        <v>4.5842353246729293E-4</v>
      </c>
      <c r="I257" s="279" t="e">
        <f>AVERAGE(B257:G257)</f>
        <v>#DIV/0!</v>
      </c>
    </row>
    <row r="258" spans="1:9" x14ac:dyDescent="0.25">
      <c r="A258" s="137" t="s">
        <v>274</v>
      </c>
      <c r="B258" s="278" t="e">
        <f>B185/SUM(B207:B217)</f>
        <v>#DIV/0!</v>
      </c>
      <c r="C258" s="278">
        <f t="shared" ref="C258:G258" si="67">C185/SUM(C207:C217)</f>
        <v>3.9310231403686335E-4</v>
      </c>
      <c r="D258" s="278">
        <f t="shared" si="67"/>
        <v>2.1421789262990711E-4</v>
      </c>
      <c r="E258" s="278">
        <f t="shared" si="67"/>
        <v>3.5567280717408969E-4</v>
      </c>
      <c r="F258" s="278">
        <f t="shared" si="67"/>
        <v>3.118096319324723E-4</v>
      </c>
      <c r="G258" s="278">
        <f t="shared" si="67"/>
        <v>2.7505411948037573E-4</v>
      </c>
      <c r="I258" s="279" t="e">
        <f>AVERAGE(B258:G258)</f>
        <v>#DIV/0!</v>
      </c>
    </row>
    <row r="259" spans="1:9" x14ac:dyDescent="0.25">
      <c r="A259" s="137" t="s">
        <v>275</v>
      </c>
      <c r="B259" s="278" t="e">
        <f>(B159+B160)/SUM(B207:B217)</f>
        <v>#DIV/0!</v>
      </c>
      <c r="C259" s="278">
        <f t="shared" ref="C259:G259" si="68">(C159+C160)/SUM(C207:C217)</f>
        <v>1.17930694211059E-3</v>
      </c>
      <c r="D259" s="278">
        <f t="shared" si="68"/>
        <v>2.5991770972428729E-3</v>
      </c>
      <c r="E259" s="278">
        <f t="shared" si="68"/>
        <v>2.20114044599805E-3</v>
      </c>
      <c r="F259" s="278">
        <f t="shared" si="68"/>
        <v>1.9688699525656078E-3</v>
      </c>
      <c r="G259" s="278">
        <f t="shared" si="68"/>
        <v>1.7723836497899311E-3</v>
      </c>
      <c r="I259" s="279" t="e">
        <f>AVERAGE(B259:G259)</f>
        <v>#DIV/0!</v>
      </c>
    </row>
    <row r="260" spans="1:9" x14ac:dyDescent="0.25">
      <c r="A260" s="137" t="s">
        <v>276</v>
      </c>
      <c r="B260" s="278" t="e">
        <f>(B161+B162+B169+B170+B171+B173+B175)/SUM(B207:B217)</f>
        <v>#DIV/0!</v>
      </c>
      <c r="C260" s="278">
        <f t="shared" ref="C260:G260" si="69">(C161+C162+C169+C170+C171+C173+C175)/SUM(C207:C217)</f>
        <v>1.2641187663640432E-2</v>
      </c>
      <c r="D260" s="278">
        <f t="shared" si="69"/>
        <v>1.0407419283602988E-2</v>
      </c>
      <c r="E260" s="278">
        <f t="shared" si="69"/>
        <v>9.5174605029317069E-3</v>
      </c>
      <c r="F260" s="278">
        <f t="shared" si="69"/>
        <v>8.9927782218867328E-3</v>
      </c>
      <c r="G260" s="278">
        <f t="shared" si="69"/>
        <v>8.5069349967453259E-3</v>
      </c>
      <c r="I260" s="279" t="e">
        <f>AVERAGE(B260:G260)</f>
        <v>#DIV/0!</v>
      </c>
    </row>
    <row r="261" spans="1:9" x14ac:dyDescent="0.25">
      <c r="A261" s="137" t="s">
        <v>153</v>
      </c>
      <c r="B261" s="278" t="e">
        <f>(B163+B172+B184+B186+B187+B189+B191+B136+B190)/SUM(B207:B217)</f>
        <v>#DIV/0!</v>
      </c>
      <c r="C261" s="278">
        <f t="shared" ref="C261:G261" si="70">(C163+C172+C184+C186+C187+C189+C191+C136+C190)/SUM(C207:C217)</f>
        <v>1.6164211890066223E-2</v>
      </c>
      <c r="D261" s="278">
        <f t="shared" si="70"/>
        <v>1.5651005892011762E-2</v>
      </c>
      <c r="E261" s="278">
        <f t="shared" si="70"/>
        <v>1.4739518237498909E-2</v>
      </c>
      <c r="F261" s="278">
        <f t="shared" si="70"/>
        <v>1.4267981361422271E-2</v>
      </c>
      <c r="G261" s="278">
        <f t="shared" si="70"/>
        <v>1.378415122641847E-2</v>
      </c>
      <c r="I261" s="279" t="e">
        <f>AVERAGE(B261:G261)</f>
        <v>#DIV/0!</v>
      </c>
    </row>
    <row r="263" spans="1:9" x14ac:dyDescent="0.25">
      <c r="B263" s="279" t="e">
        <f>SUM(B247:B262)</f>
        <v>#DIV/0!</v>
      </c>
      <c r="C263" s="279">
        <f>SUM(C247:C262)</f>
        <v>0.99999999999999989</v>
      </c>
      <c r="D263" s="279">
        <f>SUM(D247:D262)</f>
        <v>0.99999999999999989</v>
      </c>
      <c r="E263" s="279">
        <f t="shared" ref="E263:G263" si="71">SUM(E247:E262)</f>
        <v>1</v>
      </c>
      <c r="F263" s="279">
        <f t="shared" si="71"/>
        <v>1</v>
      </c>
      <c r="G263" s="279">
        <f t="shared" si="71"/>
        <v>0.99999999999999989</v>
      </c>
      <c r="I263" s="279" t="e">
        <f t="shared" ref="I263" si="72">SUM(I247:I262)</f>
        <v>#DIV/0!</v>
      </c>
    </row>
    <row r="266" spans="1:9" x14ac:dyDescent="0.25">
      <c r="B266" s="155"/>
    </row>
  </sheetData>
  <pageMargins left="0.7" right="0.7" top="0.75" bottom="0.75" header="0.3" footer="0.3"/>
  <pageSetup scale="62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266"/>
  <sheetViews>
    <sheetView tabSelected="1" topLeftCell="A172" zoomScale="75" zoomScaleNormal="75" workbookViewId="0">
      <pane xSplit="1" topLeftCell="B1" activePane="topRight" state="frozen"/>
      <selection pane="topRight" activeCell="D201" sqref="D201"/>
    </sheetView>
  </sheetViews>
  <sheetFormatPr defaultRowHeight="15" x14ac:dyDescent="0.25"/>
  <cols>
    <col min="1" max="1" width="50.140625" bestFit="1" customWidth="1"/>
    <col min="2" max="2" width="16.42578125" customWidth="1"/>
    <col min="3" max="3" width="14.85546875" customWidth="1"/>
    <col min="4" max="4" width="16.42578125" customWidth="1"/>
    <col min="5" max="7" width="14.85546875" customWidth="1"/>
    <col min="10" max="10" width="9.5703125" customWidth="1"/>
  </cols>
  <sheetData>
    <row r="1" spans="1:14" x14ac:dyDescent="0.25">
      <c r="A1" s="1" t="s">
        <v>277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25">
      <c r="A2" s="6" t="s">
        <v>7</v>
      </c>
      <c r="B2" s="7">
        <f>'FY23'!AV2</f>
        <v>7290.4309978768579</v>
      </c>
      <c r="C2" s="7">
        <f>'FY24'!BB2</f>
        <v>7384.398955890887</v>
      </c>
      <c r="D2" s="7">
        <f>'FY25'!BB2</f>
        <v>7479.0075489909132</v>
      </c>
      <c r="E2" s="7">
        <f>'FY26'!BB2</f>
        <v>7575.0624069195055</v>
      </c>
      <c r="F2" s="7">
        <f>'FY27'!BB2</f>
        <v>7672.3339299125691</v>
      </c>
      <c r="G2" s="7">
        <f>'FY28'!BB2</f>
        <v>7771.8046693715287</v>
      </c>
      <c r="J2" s="157">
        <f>(C2-B2)/B2</f>
        <v>1.2889218489468562E-2</v>
      </c>
      <c r="K2" s="157">
        <f t="shared" ref="K2:N2" si="0">(D2-C2)/C2</f>
        <v>1.2811955809152533E-2</v>
      </c>
      <c r="L2" s="157">
        <f t="shared" si="0"/>
        <v>1.2843262598598703E-2</v>
      </c>
      <c r="M2" s="157">
        <f t="shared" si="0"/>
        <v>1.284101935638314E-2</v>
      </c>
      <c r="N2" s="157">
        <f t="shared" si="0"/>
        <v>1.2964860545387272E-2</v>
      </c>
    </row>
    <row r="3" spans="1:14" hidden="1" x14ac:dyDescent="0.25">
      <c r="A3" s="8"/>
      <c r="B3" s="7">
        <f>'FY23'!AV3</f>
        <v>0</v>
      </c>
      <c r="C3" s="7">
        <f>'FY24'!BB3</f>
        <v>0</v>
      </c>
      <c r="D3" s="7">
        <f>'FY25'!BB3</f>
        <v>0</v>
      </c>
      <c r="E3" s="7">
        <f>'FY26'!BB3</f>
        <v>0</v>
      </c>
      <c r="F3" s="7">
        <f>'FY27'!BB3</f>
        <v>0</v>
      </c>
      <c r="G3" s="7">
        <f>'FY27'!BC3</f>
        <v>0</v>
      </c>
    </row>
    <row r="4" spans="1:14" hidden="1" x14ac:dyDescent="0.25">
      <c r="A4" s="8"/>
      <c r="B4" s="7">
        <f>'FY23'!AV4</f>
        <v>0</v>
      </c>
      <c r="C4" s="7">
        <f>'FY24'!BB4</f>
        <v>0</v>
      </c>
      <c r="D4" s="7">
        <f>'FY25'!BB4</f>
        <v>0</v>
      </c>
      <c r="E4" s="7">
        <f>'FY26'!BB4</f>
        <v>0</v>
      </c>
      <c r="F4" s="7">
        <f>'FY27'!BB4</f>
        <v>0</v>
      </c>
      <c r="G4" s="7">
        <f>'FY27'!BC4</f>
        <v>0</v>
      </c>
    </row>
    <row r="5" spans="1:14" x14ac:dyDescent="0.25">
      <c r="A5" s="8" t="s">
        <v>8</v>
      </c>
      <c r="B5" s="9">
        <f>B6+B7+B8+B9+B10+B11+B12+B13+B14+B15+B16+B17+B18</f>
        <v>7536</v>
      </c>
      <c r="C5" s="9">
        <f t="shared" ref="C5:G5" si="1">C6+C7+C8+C9+C10+C11+C12+C13+C14+C15+C16+C17+C18</f>
        <v>8615</v>
      </c>
      <c r="D5" s="9">
        <f t="shared" si="1"/>
        <v>9026</v>
      </c>
      <c r="E5" s="9">
        <f t="shared" si="1"/>
        <v>9326</v>
      </c>
      <c r="F5" s="9">
        <f t="shared" si="1"/>
        <v>9520</v>
      </c>
      <c r="G5" s="9">
        <f t="shared" si="1"/>
        <v>9659</v>
      </c>
    </row>
    <row r="6" spans="1:14" x14ac:dyDescent="0.25">
      <c r="A6" s="10" t="s">
        <v>9</v>
      </c>
      <c r="B6" s="11">
        <f>'FY23'!AV6</f>
        <v>625</v>
      </c>
      <c r="C6" s="11">
        <f>'FY24'!BB6</f>
        <v>725</v>
      </c>
      <c r="D6" s="11">
        <f>'FY25'!BB6</f>
        <v>725</v>
      </c>
      <c r="E6" s="11">
        <f>'FY26'!BB6</f>
        <v>725</v>
      </c>
      <c r="F6" s="94">
        <f>'FY27'!BB6</f>
        <v>725</v>
      </c>
      <c r="G6" s="94">
        <f>'FY28'!BB6</f>
        <v>725</v>
      </c>
      <c r="I6" s="155">
        <f>'FY23'!G6+'FY23'!M6+'FY23'!S6+'FY23'!Y6+'FY23'!AE6</f>
        <v>25</v>
      </c>
      <c r="J6" s="327">
        <f>'FY24'!G6+'FY24'!M6+'FY24'!S6+'FY24'!Y6+'FY24'!AE6+'FY24'!AK6</f>
        <v>29</v>
      </c>
      <c r="K6" s="327">
        <f>'FY25'!G6+'FY25'!M6+'FY25'!S6+'FY25'!Y6+'FY25'!AE6+'FY25'!AK6</f>
        <v>29</v>
      </c>
      <c r="L6" s="327">
        <f>'FY26'!G6+'FY26'!M6+'FY26'!S6+'FY26'!Y6+'FY26'!AE6+'FY26'!AK6</f>
        <v>29</v>
      </c>
      <c r="M6" s="327">
        <f>'FY27'!G6+'FY27'!M6+'FY27'!S6+'FY27'!Y6+'FY27'!AE6+'FY27'!AK6</f>
        <v>29</v>
      </c>
      <c r="N6" s="327">
        <f>'FY28'!G6+'FY28'!M6+'FY28'!S6+'FY28'!Y6+'FY28'!AE6+'FY28'!AK6</f>
        <v>29</v>
      </c>
    </row>
    <row r="7" spans="1:14" x14ac:dyDescent="0.25">
      <c r="A7" s="12" t="s">
        <v>10</v>
      </c>
      <c r="B7" s="11">
        <f>'FY23'!AV7</f>
        <v>630</v>
      </c>
      <c r="C7" s="11">
        <f>'FY24'!BB7</f>
        <v>730</v>
      </c>
      <c r="D7" s="11">
        <f>'FY25'!BB7</f>
        <v>730</v>
      </c>
      <c r="E7" s="11">
        <f>'FY26'!BB7</f>
        <v>730</v>
      </c>
      <c r="F7" s="94">
        <f>'FY27'!BB7</f>
        <v>730</v>
      </c>
      <c r="G7" s="94">
        <f>'FY28'!BB7</f>
        <v>730</v>
      </c>
      <c r="I7" s="155">
        <f>'FY23'!G7+'FY23'!M7+'FY23'!S7+'FY23'!Y7+'FY23'!AE7</f>
        <v>25</v>
      </c>
      <c r="J7" s="327">
        <f>'FY24'!G7+'FY24'!M7+'FY24'!S7+'FY24'!Y7+'FY24'!AE7+'FY24'!AK7</f>
        <v>29</v>
      </c>
      <c r="K7" s="327">
        <f>'FY25'!G7+'FY25'!M7+'FY25'!S7+'FY25'!Y7+'FY25'!AE7+'FY25'!AK7</f>
        <v>29</v>
      </c>
      <c r="L7" s="327">
        <f>'FY26'!G7+'FY26'!M7+'FY26'!S7+'FY26'!Y7+'FY26'!AE7+'FY26'!AK7</f>
        <v>29</v>
      </c>
      <c r="M7" s="327">
        <f>'FY27'!G7+'FY27'!M7+'FY27'!S7+'FY27'!Y7+'FY27'!AE7+'FY27'!AK7</f>
        <v>29</v>
      </c>
      <c r="N7" s="327">
        <f>'FY28'!G7+'FY28'!M7+'FY28'!S7+'FY28'!Y7+'FY28'!AE7+'FY28'!AK7</f>
        <v>29</v>
      </c>
    </row>
    <row r="8" spans="1:14" x14ac:dyDescent="0.25">
      <c r="A8" s="12" t="s">
        <v>11</v>
      </c>
      <c r="B8" s="11">
        <f>'FY23'!AV8</f>
        <v>650</v>
      </c>
      <c r="C8" s="11">
        <f>'FY24'!BB8</f>
        <v>750</v>
      </c>
      <c r="D8" s="11">
        <f>'FY25'!BB8</f>
        <v>750</v>
      </c>
      <c r="E8" s="11">
        <f>'FY26'!BB8</f>
        <v>750</v>
      </c>
      <c r="F8" s="94">
        <f>'FY27'!BB8</f>
        <v>750</v>
      </c>
      <c r="G8" s="94">
        <f>'FY28'!BB8</f>
        <v>750</v>
      </c>
      <c r="I8" s="155">
        <f>'FY23'!G8+'FY23'!M8+'FY23'!S8+'FY23'!Y8+'FY23'!AE8</f>
        <v>25</v>
      </c>
      <c r="J8" s="327">
        <f>'FY24'!G8+'FY24'!M8+'FY24'!S8+'FY24'!Y8+'FY24'!AE8+'FY24'!AK8</f>
        <v>29</v>
      </c>
      <c r="K8" s="327">
        <f>'FY25'!G8+'FY25'!M8+'FY25'!S8+'FY25'!Y8+'FY25'!AE8+'FY25'!AK8</f>
        <v>29</v>
      </c>
      <c r="L8" s="327">
        <f>'FY26'!G8+'FY26'!M8+'FY26'!S8+'FY26'!Y8+'FY26'!AE8+'FY26'!AK8</f>
        <v>29</v>
      </c>
      <c r="M8" s="327">
        <f>'FY27'!G8+'FY27'!M8+'FY27'!S8+'FY27'!Y8+'FY27'!AE8+'FY27'!AK8</f>
        <v>29</v>
      </c>
      <c r="N8" s="327">
        <f>'FY28'!G8+'FY28'!M8+'FY28'!S8+'FY28'!Y8+'FY28'!AE8+'FY28'!AK8</f>
        <v>29</v>
      </c>
    </row>
    <row r="9" spans="1:14" x14ac:dyDescent="0.25">
      <c r="A9" s="13" t="s">
        <v>12</v>
      </c>
      <c r="B9" s="11">
        <f>'FY23'!AV9</f>
        <v>711</v>
      </c>
      <c r="C9" s="11">
        <f>'FY24'!BB9</f>
        <v>785</v>
      </c>
      <c r="D9" s="11">
        <f>'FY25'!BB9</f>
        <v>785</v>
      </c>
      <c r="E9" s="11">
        <f>'FY26'!BB9</f>
        <v>785</v>
      </c>
      <c r="F9" s="94">
        <f>'FY27'!BB9</f>
        <v>785</v>
      </c>
      <c r="G9" s="94">
        <f>'FY28'!BB9</f>
        <v>785</v>
      </c>
      <c r="I9" s="155">
        <f>'FY23'!G9+'FY23'!M9+'FY23'!S9+'FY23'!Y9+'FY23'!AE9</f>
        <v>27</v>
      </c>
      <c r="J9" s="327">
        <f>'FY24'!G9+'FY24'!M9+'FY24'!S9+'FY24'!Y9+'FY24'!AE9+'FY24'!AK9</f>
        <v>30</v>
      </c>
      <c r="K9" s="327">
        <f>'FY25'!G9+'FY25'!M9+'FY25'!S9+'FY25'!Y9+'FY25'!AE9+'FY25'!AK9</f>
        <v>30</v>
      </c>
      <c r="L9" s="327">
        <f>'FY26'!G9+'FY26'!M9+'FY26'!S9+'FY26'!Y9+'FY26'!AE9+'FY26'!AK9</f>
        <v>30</v>
      </c>
      <c r="M9" s="327">
        <f>'FY27'!G9+'FY27'!M9+'FY27'!S9+'FY27'!Y9+'FY27'!AE9+'FY27'!AK9</f>
        <v>30</v>
      </c>
      <c r="N9" s="327">
        <f>'FY28'!G9+'FY28'!M9+'FY28'!S9+'FY28'!Y9+'FY28'!AE9+'FY28'!AK9</f>
        <v>30</v>
      </c>
    </row>
    <row r="10" spans="1:14" x14ac:dyDescent="0.25">
      <c r="A10" s="13" t="s">
        <v>13</v>
      </c>
      <c r="B10" s="11">
        <f>'FY23'!AV10</f>
        <v>701</v>
      </c>
      <c r="C10" s="11">
        <f>'FY24'!BB10</f>
        <v>776</v>
      </c>
      <c r="D10" s="11">
        <f>'FY25'!BB10</f>
        <v>801</v>
      </c>
      <c r="E10" s="11">
        <f>'FY26'!BB10</f>
        <v>801</v>
      </c>
      <c r="F10" s="94">
        <f>'FY27'!BB10</f>
        <v>801</v>
      </c>
      <c r="G10" s="94">
        <f>'FY28'!BB10</f>
        <v>801</v>
      </c>
      <c r="I10" s="155">
        <f>'FY23'!G10+'FY23'!M10+'FY23'!S10+'FY23'!Y10+'FY23'!AE10</f>
        <v>26</v>
      </c>
      <c r="J10" s="327">
        <f>'FY24'!G10+'FY24'!M10+'FY24'!S10+'FY24'!Y10+'FY24'!AE10+'FY24'!AK10</f>
        <v>29</v>
      </c>
      <c r="K10" s="327">
        <f>'FY25'!G10+'FY25'!M10+'FY25'!S10+'FY25'!Y10+'FY25'!AE10+'FY25'!AK10</f>
        <v>30</v>
      </c>
      <c r="L10" s="327">
        <f>'FY26'!G10+'FY26'!M10+'FY26'!S10+'FY26'!Y10+'FY26'!AE10+'FY26'!AK10</f>
        <v>30</v>
      </c>
      <c r="M10" s="327">
        <f>'FY27'!G10+'FY27'!M10+'FY27'!S10+'FY27'!Y10+'FY27'!AE10+'FY27'!AK10</f>
        <v>30</v>
      </c>
      <c r="N10" s="327">
        <f>'FY28'!G10+'FY28'!M10+'FY28'!S10+'FY28'!Y10+'FY28'!AE10+'FY28'!AK10</f>
        <v>30</v>
      </c>
    </row>
    <row r="11" spans="1:14" x14ac:dyDescent="0.25">
      <c r="A11" s="13" t="s">
        <v>14</v>
      </c>
      <c r="B11" s="11">
        <f>'FY23'!AV11</f>
        <v>685</v>
      </c>
      <c r="C11" s="11">
        <f>'FY24'!BB11</f>
        <v>772</v>
      </c>
      <c r="D11" s="11">
        <f>'FY25'!BB11</f>
        <v>797</v>
      </c>
      <c r="E11" s="11">
        <f>'FY26'!BB11</f>
        <v>822</v>
      </c>
      <c r="F11" s="94">
        <f>'FY27'!BB11</f>
        <v>822</v>
      </c>
      <c r="G11" s="94">
        <f>'FY28'!BB11</f>
        <v>822</v>
      </c>
      <c r="I11" s="155">
        <f>'FY23'!G11+'FY23'!M11+'FY23'!S11+'FY23'!Y11+'FY23'!AE11</f>
        <v>25</v>
      </c>
      <c r="J11" s="327">
        <f>'FY24'!G11+'FY24'!M11+'FY24'!S11+'FY24'!Y11+'FY24'!AE11+'FY24'!AK11</f>
        <v>28</v>
      </c>
      <c r="K11" s="327">
        <f>'FY25'!G11+'FY25'!M11+'FY25'!S11+'FY25'!Y11+'FY25'!AE11+'FY25'!AK11</f>
        <v>29</v>
      </c>
      <c r="L11" s="327">
        <f>'FY26'!G11+'FY26'!M11+'FY26'!S11+'FY26'!Y11+'FY26'!AE11+'FY26'!AK11</f>
        <v>30</v>
      </c>
      <c r="M11" s="327">
        <f>'FY27'!G11+'FY27'!M11+'FY27'!S11+'FY27'!Y11+'FY27'!AE11+'FY27'!AK11</f>
        <v>30</v>
      </c>
      <c r="N11" s="327">
        <f>'FY28'!G11+'FY28'!M11+'FY28'!S11+'FY28'!Y11+'FY28'!AE11+'FY28'!AK11</f>
        <v>30</v>
      </c>
    </row>
    <row r="12" spans="1:14" x14ac:dyDescent="0.25">
      <c r="A12" s="13" t="s">
        <v>15</v>
      </c>
      <c r="B12" s="11">
        <f>'FY23'!AV12</f>
        <v>770</v>
      </c>
      <c r="C12" s="11">
        <f>'FY24'!BB12</f>
        <v>863</v>
      </c>
      <c r="D12" s="11">
        <f>'FY25'!BB12</f>
        <v>873</v>
      </c>
      <c r="E12" s="11">
        <f>'FY26'!BB12</f>
        <v>883</v>
      </c>
      <c r="F12" s="94">
        <f>'FY27'!BB12</f>
        <v>862</v>
      </c>
      <c r="G12" s="94">
        <f>'FY28'!BB12</f>
        <v>862</v>
      </c>
      <c r="I12" s="155">
        <f>'FY23'!G12+'FY23'!M12+'FY23'!S12+'FY23'!Y12+'FY23'!AE12</f>
        <v>24</v>
      </c>
      <c r="J12" s="327">
        <f>'FY24'!G12+'FY24'!M12+'FY24'!S12+'FY24'!Y12+'FY24'!AE12+'FY24'!AK12</f>
        <v>27</v>
      </c>
      <c r="K12" s="327">
        <f>'FY25'!G12+'FY25'!M12+'FY25'!S12+'FY25'!Y12+'FY25'!AE12+'FY25'!AK12</f>
        <v>27</v>
      </c>
      <c r="L12" s="327">
        <f>'FY26'!G12+'FY26'!M12+'FY26'!S12+'FY26'!Y12+'FY26'!AE12+'FY26'!AK12</f>
        <v>27</v>
      </c>
      <c r="M12" s="327">
        <f>'FY27'!G12+'FY27'!M12+'FY27'!S12+'FY27'!Y12+'FY27'!AE12+'FY27'!AK12</f>
        <v>26</v>
      </c>
      <c r="N12" s="327">
        <f>'FY28'!G12+'FY28'!M12+'FY28'!S12+'FY28'!Y12+'FY28'!AE12+'FY28'!AK12</f>
        <v>26</v>
      </c>
    </row>
    <row r="13" spans="1:14" x14ac:dyDescent="0.25">
      <c r="A13" s="13" t="s">
        <v>16</v>
      </c>
      <c r="B13" s="11">
        <f>'FY23'!AV13</f>
        <v>730</v>
      </c>
      <c r="C13" s="11">
        <f>'FY24'!BB13</f>
        <v>743</v>
      </c>
      <c r="D13" s="11">
        <f>'FY25'!BB13</f>
        <v>873</v>
      </c>
      <c r="E13" s="11">
        <f>'FY26'!BB13</f>
        <v>883</v>
      </c>
      <c r="F13" s="94">
        <f>'FY27'!BB13</f>
        <v>893</v>
      </c>
      <c r="G13" s="94">
        <f>'FY28'!BB13</f>
        <v>862</v>
      </c>
      <c r="I13" s="155">
        <f>'FY23'!G13+'FY23'!M13+'FY23'!S13+'FY23'!Y13+'FY23'!AE13</f>
        <v>23</v>
      </c>
      <c r="J13" s="327">
        <f>'FY24'!G13+'FY24'!M13+'FY24'!S13+'FY24'!Y13+'FY24'!AE13+'FY24'!AK13</f>
        <v>23</v>
      </c>
      <c r="K13" s="327">
        <f>'FY25'!G13+'FY25'!M13+'FY25'!S13+'FY25'!Y13+'FY25'!AE13+'FY25'!AK13</f>
        <v>27</v>
      </c>
      <c r="L13" s="327">
        <f>'FY26'!G13+'FY26'!M13+'FY26'!S13+'FY26'!Y13+'FY26'!AE13+'FY26'!AK13</f>
        <v>27</v>
      </c>
      <c r="M13" s="327">
        <f>'FY27'!G13+'FY27'!M13+'FY27'!S13+'FY27'!Y13+'FY27'!AE13+'FY27'!AK13</f>
        <v>27</v>
      </c>
      <c r="N13" s="327">
        <f>'FY28'!G13+'FY28'!M13+'FY28'!S13+'FY28'!Y13+'FY28'!AE13+'FY28'!AK13</f>
        <v>26</v>
      </c>
    </row>
    <row r="14" spans="1:14" x14ac:dyDescent="0.25">
      <c r="A14" s="13" t="s">
        <v>17</v>
      </c>
      <c r="B14" s="11">
        <f>'FY23'!AV14</f>
        <v>653</v>
      </c>
      <c r="C14" s="11">
        <f>'FY24'!BB14</f>
        <v>743</v>
      </c>
      <c r="D14" s="11">
        <f>'FY25'!BB14</f>
        <v>753</v>
      </c>
      <c r="E14" s="11">
        <f>'FY26'!BB14</f>
        <v>883</v>
      </c>
      <c r="F14" s="94">
        <f>'FY27'!BB14</f>
        <v>893</v>
      </c>
      <c r="G14" s="94">
        <f>'FY28'!BB14</f>
        <v>893</v>
      </c>
      <c r="I14" s="155">
        <f>'FY23'!G14+'FY23'!M14+'FY23'!S14+'FY23'!Y14+'FY23'!AE14</f>
        <v>21</v>
      </c>
      <c r="J14" s="327">
        <f>'FY24'!G14+'FY24'!M14+'FY24'!S14+'FY24'!Y14+'FY24'!AE14+'FY24'!AK14</f>
        <v>23</v>
      </c>
      <c r="K14" s="327">
        <f>'FY25'!G14+'FY25'!M14+'FY25'!S14+'FY25'!Y14+'FY25'!AE14+'FY25'!AK14</f>
        <v>23</v>
      </c>
      <c r="L14" s="327">
        <f>'FY26'!G14+'FY26'!M14+'FY26'!S14+'FY26'!Y14+'FY26'!AE14+'FY26'!AK14</f>
        <v>27</v>
      </c>
      <c r="M14" s="327">
        <f>'FY27'!G14+'FY27'!M14+'FY27'!S14+'FY27'!Y14+'FY27'!AE14+'FY27'!AK14</f>
        <v>27</v>
      </c>
      <c r="N14" s="327">
        <f>'FY28'!G14+'FY28'!M14+'FY28'!S14+'FY28'!Y14+'FY28'!AE14+'FY28'!AK14</f>
        <v>27</v>
      </c>
    </row>
    <row r="15" spans="1:14" x14ac:dyDescent="0.25">
      <c r="A15" s="13" t="s">
        <v>18</v>
      </c>
      <c r="B15" s="11">
        <f>'FY23'!AV15</f>
        <v>489</v>
      </c>
      <c r="C15" s="11">
        <f>'FY24'!BB15</f>
        <v>518</v>
      </c>
      <c r="D15" s="11">
        <f>'FY25'!BB15</f>
        <v>559</v>
      </c>
      <c r="E15" s="11">
        <f>'FY26'!BB15</f>
        <v>569</v>
      </c>
      <c r="F15" s="94">
        <f>'FY27'!BB15</f>
        <v>699</v>
      </c>
      <c r="G15" s="94">
        <f>'FY28'!BB15</f>
        <v>699</v>
      </c>
      <c r="I15" s="155">
        <f>'FY23'!G15+'FY23'!M15+'FY23'!S15+'FY23'!Y15+'FY23'!AE15</f>
        <v>15</v>
      </c>
      <c r="J15" s="327">
        <f>'FY24'!G15+'FY24'!M15+'FY24'!S15+'FY24'!Y15+'FY24'!AE15+'FY24'!AK15</f>
        <v>16</v>
      </c>
      <c r="K15" s="327">
        <f>'FY25'!G15+'FY25'!M15+'FY25'!S15+'FY25'!Y15+'FY25'!AE15+'FY25'!AK15</f>
        <v>17</v>
      </c>
      <c r="L15" s="327">
        <f>'FY26'!G15+'FY26'!M15+'FY26'!S15+'FY26'!Y15+'FY26'!AE15+'FY26'!AK15</f>
        <v>17</v>
      </c>
      <c r="M15" s="327">
        <f>'FY27'!G15+'FY27'!M15+'FY27'!S15+'FY27'!Y15+'FY27'!AE15+'FY27'!AK15</f>
        <v>21</v>
      </c>
      <c r="N15" s="327">
        <f>'FY28'!G15+'FY28'!M15+'FY28'!S15+'FY28'!Y15+'FY28'!AE15+'FY28'!AK15</f>
        <v>21</v>
      </c>
    </row>
    <row r="16" spans="1:14" x14ac:dyDescent="0.25">
      <c r="A16" s="13" t="s">
        <v>19</v>
      </c>
      <c r="B16" s="11">
        <f>'FY23'!AV16</f>
        <v>392</v>
      </c>
      <c r="C16" s="11">
        <f>'FY24'!BB16</f>
        <v>490</v>
      </c>
      <c r="D16" s="11">
        <f>'FY25'!BB16</f>
        <v>510</v>
      </c>
      <c r="E16" s="11">
        <f>'FY26'!BB16</f>
        <v>550</v>
      </c>
      <c r="F16" s="94">
        <f>'FY27'!BB16</f>
        <v>560</v>
      </c>
      <c r="G16" s="94">
        <f>'FY28'!BB16</f>
        <v>680</v>
      </c>
      <c r="I16" s="155">
        <f>'FY23'!G16+'FY23'!M16+'FY23'!S16+'FY23'!Y16+'FY23'!AE16</f>
        <v>13</v>
      </c>
      <c r="J16" s="327">
        <f>'FY24'!G16+'FY24'!M16+'FY24'!S16+'FY24'!Y16+'FY24'!AE16+'FY24'!AK16</f>
        <v>15</v>
      </c>
      <c r="K16" s="327">
        <f>'FY25'!G16+'FY25'!M16+'FY25'!S16+'FY25'!Y16+'FY25'!AE16+'FY25'!AK16</f>
        <v>16</v>
      </c>
      <c r="L16" s="327">
        <f>'FY26'!G16+'FY26'!M16+'FY26'!S16+'FY26'!Y16+'FY26'!AE16+'FY26'!AK16</f>
        <v>17</v>
      </c>
      <c r="M16" s="327">
        <f>'FY27'!G16+'FY27'!M16+'FY27'!S16+'FY27'!Y16+'FY27'!AE16+'FY27'!AK16</f>
        <v>17</v>
      </c>
      <c r="N16" s="327">
        <f>'FY28'!G16+'FY28'!M16+'FY28'!S16+'FY28'!Y16+'FY28'!AE16+'FY28'!AK16</f>
        <v>21</v>
      </c>
    </row>
    <row r="17" spans="1:14" x14ac:dyDescent="0.25">
      <c r="A17" s="13" t="s">
        <v>20</v>
      </c>
      <c r="B17" s="11">
        <f>'FY23'!AV17</f>
        <v>306</v>
      </c>
      <c r="C17" s="11">
        <f>'FY24'!BB17</f>
        <v>415</v>
      </c>
      <c r="D17" s="11">
        <f>'FY25'!BB17</f>
        <v>475</v>
      </c>
      <c r="E17" s="11">
        <f>'FY26'!BB17</f>
        <v>495</v>
      </c>
      <c r="F17" s="94">
        <f>'FY27'!BB17</f>
        <v>530</v>
      </c>
      <c r="G17" s="94">
        <f>'FY28'!BB17</f>
        <v>540</v>
      </c>
      <c r="I17" s="155">
        <f>'FY23'!G17+'FY23'!M17+'FY23'!S17+'FY23'!Y17+'FY23'!AE17</f>
        <v>10</v>
      </c>
      <c r="J17" s="327">
        <f>'FY24'!G17+'FY24'!M17+'FY24'!S17+'FY24'!Y17+'FY24'!AE17+'FY24'!AK17</f>
        <v>14</v>
      </c>
      <c r="K17" s="327">
        <f>'FY25'!G17+'FY25'!M17+'FY25'!S17+'FY25'!Y17+'FY25'!AE17+'FY25'!AK17</f>
        <v>15</v>
      </c>
      <c r="L17" s="327">
        <f>'FY26'!G17+'FY26'!M17+'FY26'!S17+'FY26'!Y17+'FY26'!AE17+'FY26'!AK17</f>
        <v>16</v>
      </c>
      <c r="M17" s="327">
        <f>'FY27'!G17+'FY27'!M17+'FY27'!S17+'FY27'!Y17+'FY27'!AE17+'FY27'!AK17</f>
        <v>17</v>
      </c>
      <c r="N17" s="327">
        <f>'FY28'!G17+'FY28'!M17+'FY28'!S17+'FY28'!Y17+'FY28'!AE17+'FY28'!AK17</f>
        <v>17</v>
      </c>
    </row>
    <row r="18" spans="1:14" x14ac:dyDescent="0.25">
      <c r="A18" s="13" t="s">
        <v>21</v>
      </c>
      <c r="B18" s="11">
        <f>'FY23'!AV18</f>
        <v>194</v>
      </c>
      <c r="C18" s="11">
        <f>'FY24'!BB18</f>
        <v>305</v>
      </c>
      <c r="D18" s="11">
        <f>'FY25'!BB18</f>
        <v>395</v>
      </c>
      <c r="E18" s="11">
        <f>'FY26'!BB18</f>
        <v>450</v>
      </c>
      <c r="F18" s="94">
        <f>'FY27'!BB18</f>
        <v>470</v>
      </c>
      <c r="G18" s="94">
        <f>'FY28'!BB18</f>
        <v>510</v>
      </c>
      <c r="I18" s="155">
        <f>'FY23'!G18+'FY23'!M18+'FY23'!S18+'FY23'!Y18+'FY23'!AE18</f>
        <v>6</v>
      </c>
      <c r="J18" s="327">
        <f>'FY24'!G18+'FY24'!M18+'FY24'!S18+'FY24'!Y18+'FY24'!AE18+'FY24'!AK18</f>
        <v>12</v>
      </c>
      <c r="K18" s="327">
        <f>'FY25'!G18+'FY25'!M18+'FY25'!S18+'FY25'!Y18+'FY25'!AE18+'FY25'!AK18</f>
        <v>14</v>
      </c>
      <c r="L18" s="327">
        <f>'FY26'!G18+'FY26'!M18+'FY26'!S18+'FY26'!Y18+'FY26'!AE18+'FY26'!AK18</f>
        <v>15</v>
      </c>
      <c r="M18" s="327">
        <f>'FY27'!G18+'FY27'!M18+'FY27'!S18+'FY27'!Y18+'FY27'!AE18+'FY27'!AK18</f>
        <v>16</v>
      </c>
      <c r="N18" s="327">
        <f>'FY28'!G18+'FY28'!M18+'FY28'!S18+'FY28'!Y18+'FY28'!AE18+'FY28'!AK18</f>
        <v>17</v>
      </c>
    </row>
    <row r="19" spans="1:14" x14ac:dyDescent="0.25">
      <c r="A19" s="13" t="s">
        <v>8</v>
      </c>
      <c r="B19" s="9">
        <f>SUM(B6:B18)</f>
        <v>7536</v>
      </c>
      <c r="C19" s="9">
        <f t="shared" ref="C19:G19" si="2">SUM(C6:C18)</f>
        <v>8615</v>
      </c>
      <c r="D19" s="9">
        <f t="shared" si="2"/>
        <v>9026</v>
      </c>
      <c r="E19" s="9">
        <f t="shared" si="2"/>
        <v>9326</v>
      </c>
      <c r="F19" s="9">
        <f t="shared" si="2"/>
        <v>9520</v>
      </c>
      <c r="G19" s="9">
        <f t="shared" si="2"/>
        <v>9659</v>
      </c>
      <c r="I19" s="155">
        <f>SUM(I6:I18)</f>
        <v>265</v>
      </c>
      <c r="J19" s="155">
        <f>SUM(J6:J18)</f>
        <v>304</v>
      </c>
      <c r="K19" s="155">
        <f>SUM(K6:K18)</f>
        <v>315</v>
      </c>
      <c r="L19" s="155">
        <f t="shared" ref="L19" si="3">SUM(L6:L18)</f>
        <v>323</v>
      </c>
      <c r="M19" s="155">
        <f t="shared" ref="M19" si="4">SUM(M6:M18)</f>
        <v>328</v>
      </c>
      <c r="N19" s="155">
        <f t="shared" ref="N19" si="5">SUM(N6:N18)</f>
        <v>332</v>
      </c>
    </row>
    <row r="20" spans="1:14" x14ac:dyDescent="0.25">
      <c r="A20" s="16"/>
      <c r="B20" s="7"/>
      <c r="C20" s="7"/>
      <c r="D20" s="7"/>
      <c r="E20" s="7"/>
      <c r="F20" s="7"/>
      <c r="G20" s="7"/>
    </row>
    <row r="21" spans="1:14" x14ac:dyDescent="0.25">
      <c r="A21" s="17" t="s">
        <v>22</v>
      </c>
      <c r="B21" s="18"/>
      <c r="C21" s="18"/>
      <c r="D21" s="18"/>
      <c r="E21" s="18"/>
      <c r="F21" s="18"/>
      <c r="G21" s="18"/>
    </row>
    <row r="22" spans="1:14" x14ac:dyDescent="0.25">
      <c r="A22" s="140" t="s">
        <v>23</v>
      </c>
      <c r="B22" s="7">
        <f>'FY23'!AV22</f>
        <v>745</v>
      </c>
      <c r="C22" s="7">
        <f>'FY24'!BB22</f>
        <v>858.39731831478355</v>
      </c>
      <c r="D22" s="7">
        <f>'FY25'!BB22</f>
        <v>880.37753221852688</v>
      </c>
      <c r="E22" s="7">
        <f>'FY26'!BB22</f>
        <v>916.86175681745738</v>
      </c>
      <c r="F22" s="7">
        <f>'FY27'!BB22</f>
        <v>942.04090120248406</v>
      </c>
      <c r="G22" s="7">
        <f>'FY28'!BB22</f>
        <v>956.35908302066593</v>
      </c>
      <c r="I22" s="278">
        <f>B22/B19</f>
        <v>9.8858811040339709E-2</v>
      </c>
    </row>
    <row r="23" spans="1:14" x14ac:dyDescent="0.25">
      <c r="A23" s="140" t="s">
        <v>24</v>
      </c>
      <c r="B23" s="7">
        <f>'FY23'!AV23</f>
        <v>97</v>
      </c>
      <c r="C23" s="7">
        <f>'FY24'!BB23</f>
        <v>101.51418705034925</v>
      </c>
      <c r="D23" s="7">
        <f>'FY25'!BB23</f>
        <v>103.43400129183532</v>
      </c>
      <c r="E23" s="7">
        <f>'FY26'!BB23</f>
        <v>104.46193543199857</v>
      </c>
      <c r="F23" s="7">
        <f>'FY27'!BB23</f>
        <v>104.542965547394</v>
      </c>
      <c r="G23" s="7">
        <f>'FY28'!BB23</f>
        <v>104.53196076270501</v>
      </c>
      <c r="I23" s="278">
        <f>B23/B19</f>
        <v>1.2871549893842888E-2</v>
      </c>
    </row>
    <row r="24" spans="1:14" x14ac:dyDescent="0.25">
      <c r="A24" s="140" t="s">
        <v>25</v>
      </c>
      <c r="B24" s="7">
        <f>'FY23'!AV24</f>
        <v>283</v>
      </c>
      <c r="C24" s="7">
        <f>'FY24'!BB24</f>
        <v>293.98877575225947</v>
      </c>
      <c r="D24" s="7">
        <f>'FY25'!BB24</f>
        <v>298.62095513118805</v>
      </c>
      <c r="E24" s="7">
        <f>'FY26'!BB24</f>
        <v>301.03759834349694</v>
      </c>
      <c r="F24" s="7">
        <f>'FY27'!BB24</f>
        <v>301.08559534133911</v>
      </c>
      <c r="G24" s="7">
        <f>'FY28'!BB24</f>
        <v>301.0549733317697</v>
      </c>
      <c r="I24" s="278">
        <f>B24/B19</f>
        <v>3.7553078556263268E-2</v>
      </c>
    </row>
    <row r="25" spans="1:14" x14ac:dyDescent="0.25">
      <c r="A25" s="140" t="s">
        <v>26</v>
      </c>
      <c r="B25" s="226">
        <f>'FY23'!AV25</f>
        <v>0.24224288747346073</v>
      </c>
      <c r="C25" s="226">
        <f>'FY24'!BB25</f>
        <v>0.31898897272199656</v>
      </c>
      <c r="D25" s="226">
        <f>'FY25'!BB25</f>
        <v>0.3215078661644139</v>
      </c>
      <c r="E25" s="226">
        <f>'FY26'!BB25</f>
        <v>0.32373257559511048</v>
      </c>
      <c r="F25" s="226">
        <f>'FY27'!BB25</f>
        <v>0.32547163865546214</v>
      </c>
      <c r="G25" s="226">
        <f>'FY28'!BB25</f>
        <v>0.32871415260378922</v>
      </c>
    </row>
    <row r="26" spans="1:14" x14ac:dyDescent="0.25">
      <c r="A26" s="140" t="s">
        <v>27</v>
      </c>
      <c r="B26" s="7">
        <f>'FY23'!AV26</f>
        <v>1366</v>
      </c>
      <c r="C26" s="7">
        <f>'FY24'!BB26</f>
        <v>1467.6243320922169</v>
      </c>
      <c r="D26" s="7">
        <f>'FY25'!BB26</f>
        <v>1519.0242288930422</v>
      </c>
      <c r="E26" s="7">
        <f>'FY26'!BB26</f>
        <v>1563.8175256375773</v>
      </c>
      <c r="F26" s="7">
        <f>'FY27'!BB26</f>
        <v>1593.4180979239084</v>
      </c>
      <c r="G26" s="7">
        <f>'FY28'!BB26</f>
        <v>1595.3008730435256</v>
      </c>
    </row>
    <row r="27" spans="1:14" x14ac:dyDescent="0.25">
      <c r="A27" s="20"/>
      <c r="B27" s="7"/>
      <c r="C27" s="7"/>
      <c r="D27" s="7"/>
      <c r="E27" s="7"/>
      <c r="F27" s="7">
        <f t="shared" ref="F27:G27" si="6">SUM(B27:E27)</f>
        <v>0</v>
      </c>
      <c r="G27" s="7">
        <f t="shared" si="6"/>
        <v>0</v>
      </c>
    </row>
    <row r="28" spans="1:14" x14ac:dyDescent="0.25">
      <c r="A28" s="17" t="s">
        <v>28</v>
      </c>
      <c r="B28" s="18"/>
      <c r="C28" s="18"/>
      <c r="D28" s="18"/>
      <c r="E28" s="18"/>
      <c r="F28" s="18"/>
      <c r="G28" s="18"/>
    </row>
    <row r="29" spans="1:14" x14ac:dyDescent="0.25">
      <c r="A29" s="21" t="s">
        <v>29</v>
      </c>
      <c r="B29" s="23">
        <f>'FY23'!AV29</f>
        <v>265</v>
      </c>
      <c r="C29" s="23">
        <f>'FY24'!BB29</f>
        <v>304</v>
      </c>
      <c r="D29" s="23">
        <f>'FY25'!BB29</f>
        <v>315</v>
      </c>
      <c r="E29" s="23">
        <f>'FY26'!BB29</f>
        <v>323</v>
      </c>
      <c r="F29" s="23">
        <f>'FY27'!BB29</f>
        <v>328</v>
      </c>
      <c r="G29" s="23">
        <f>'FY28'!BB29</f>
        <v>332</v>
      </c>
      <c r="I29" t="b">
        <f>B29=I19</f>
        <v>1</v>
      </c>
      <c r="J29" t="b">
        <f t="shared" ref="J29:N29" si="7">C29=J19</f>
        <v>1</v>
      </c>
      <c r="K29" t="b">
        <f t="shared" si="7"/>
        <v>1</v>
      </c>
      <c r="L29" t="b">
        <f t="shared" si="7"/>
        <v>1</v>
      </c>
      <c r="M29" t="b">
        <f t="shared" si="7"/>
        <v>1</v>
      </c>
      <c r="N29" t="b">
        <f t="shared" si="7"/>
        <v>1</v>
      </c>
    </row>
    <row r="30" spans="1:14" x14ac:dyDescent="0.25">
      <c r="A30" s="21" t="s">
        <v>30</v>
      </c>
      <c r="B30" s="23">
        <f>'FY23'!AV30</f>
        <v>36</v>
      </c>
      <c r="C30" s="23">
        <f>'FY24'!BB30</f>
        <v>39</v>
      </c>
      <c r="D30" s="23">
        <f>'FY25'!BB30</f>
        <v>40.5</v>
      </c>
      <c r="E30" s="23">
        <f>'FY26'!BB30</f>
        <v>41</v>
      </c>
      <c r="F30" s="23">
        <f>'FY27'!BB30</f>
        <v>42</v>
      </c>
      <c r="G30" s="23">
        <f>'FY28'!BB30</f>
        <v>42.5</v>
      </c>
    </row>
    <row r="31" spans="1:14" x14ac:dyDescent="0.25">
      <c r="A31" s="21" t="s">
        <v>31</v>
      </c>
      <c r="B31" s="23">
        <f>'FY23'!AV31</f>
        <v>7</v>
      </c>
      <c r="C31" s="23">
        <f>'FY24'!BB31</f>
        <v>8</v>
      </c>
      <c r="D31" s="23">
        <f>'FY25'!BB31</f>
        <v>8</v>
      </c>
      <c r="E31" s="23">
        <f>'FY26'!BB31</f>
        <v>8</v>
      </c>
      <c r="F31" s="23">
        <f>'FY27'!BB31</f>
        <v>8</v>
      </c>
      <c r="G31" s="23">
        <f>'FY28'!BB31</f>
        <v>8</v>
      </c>
    </row>
    <row r="32" spans="1:14" x14ac:dyDescent="0.25">
      <c r="A32" s="21" t="s">
        <v>32</v>
      </c>
      <c r="B32" s="23">
        <f>'FY23'!AV32</f>
        <v>7</v>
      </c>
      <c r="C32" s="23">
        <f>'FY24'!BB32</f>
        <v>8</v>
      </c>
      <c r="D32" s="23">
        <f>'FY25'!BB32</f>
        <v>8</v>
      </c>
      <c r="E32" s="23">
        <f>'FY26'!BB32</f>
        <v>8</v>
      </c>
      <c r="F32" s="23">
        <f>'FY27'!BB32</f>
        <v>8</v>
      </c>
      <c r="G32" s="23">
        <f>'FY28'!BB32</f>
        <v>8</v>
      </c>
    </row>
    <row r="33" spans="1:7" x14ac:dyDescent="0.25">
      <c r="A33" s="21" t="s">
        <v>33</v>
      </c>
      <c r="B33" s="23">
        <f>'FY23'!AV33</f>
        <v>8</v>
      </c>
      <c r="C33" s="23">
        <f>'FY24'!BB33</f>
        <v>9</v>
      </c>
      <c r="D33" s="23">
        <f>'FY25'!BB33</f>
        <v>9</v>
      </c>
      <c r="E33" s="23">
        <f>'FY26'!BB33</f>
        <v>9</v>
      </c>
      <c r="F33" s="23">
        <f>'FY27'!BB33</f>
        <v>9</v>
      </c>
      <c r="G33" s="23">
        <f>'FY28'!BB33</f>
        <v>9</v>
      </c>
    </row>
    <row r="34" spans="1:7" x14ac:dyDescent="0.25">
      <c r="A34" s="24" t="s">
        <v>34</v>
      </c>
      <c r="B34" s="23">
        <f>'FY23'!AV34</f>
        <v>0</v>
      </c>
      <c r="C34" s="23">
        <f>'FY24'!BB34</f>
        <v>0</v>
      </c>
      <c r="D34" s="23">
        <f>'FY25'!BB34</f>
        <v>0</v>
      </c>
      <c r="E34" s="23">
        <f>'FY26'!BB34</f>
        <v>0</v>
      </c>
      <c r="F34" s="23">
        <f>'FY27'!BB34</f>
        <v>0</v>
      </c>
      <c r="G34" s="23">
        <f>'FY28'!BB34</f>
        <v>0</v>
      </c>
    </row>
    <row r="35" spans="1:7" x14ac:dyDescent="0.25">
      <c r="A35" s="27" t="s">
        <v>35</v>
      </c>
      <c r="B35" s="23">
        <f>'FY23'!AV35</f>
        <v>5</v>
      </c>
      <c r="C35" s="23">
        <f>'FY24'!BB35</f>
        <v>7</v>
      </c>
      <c r="D35" s="23">
        <f>'FY25'!BB35</f>
        <v>7</v>
      </c>
      <c r="E35" s="23">
        <f>'FY26'!BB35</f>
        <v>8</v>
      </c>
      <c r="F35" s="23">
        <f>'FY27'!BB35</f>
        <v>8</v>
      </c>
      <c r="G35" s="23">
        <f>'FY28'!BB35</f>
        <v>8</v>
      </c>
    </row>
    <row r="36" spans="1:7" x14ac:dyDescent="0.25">
      <c r="A36" s="28" t="s">
        <v>36</v>
      </c>
      <c r="B36" s="23">
        <f>'FY23'!AV36</f>
        <v>0</v>
      </c>
      <c r="C36" s="23">
        <f>'FY24'!BB36</f>
        <v>0</v>
      </c>
      <c r="D36" s="23">
        <f>'FY25'!BB36</f>
        <v>0</v>
      </c>
      <c r="E36" s="23">
        <f>'FY26'!BB36</f>
        <v>0</v>
      </c>
      <c r="F36" s="23">
        <f>'FY27'!BB36</f>
        <v>0</v>
      </c>
      <c r="G36" s="23">
        <f>'FY28'!BB36</f>
        <v>0</v>
      </c>
    </row>
    <row r="37" spans="1:7" x14ac:dyDescent="0.25">
      <c r="A37" s="27" t="s">
        <v>37</v>
      </c>
      <c r="B37" s="23">
        <f>'FY23'!AV37</f>
        <v>7</v>
      </c>
      <c r="C37" s="23">
        <f>'FY24'!BB37</f>
        <v>6</v>
      </c>
      <c r="D37" s="23">
        <f>'FY25'!BB37</f>
        <v>6</v>
      </c>
      <c r="E37" s="23">
        <f>'FY26'!BB37</f>
        <v>7</v>
      </c>
      <c r="F37" s="23">
        <f>'FY27'!BB37</f>
        <v>7</v>
      </c>
      <c r="G37" s="23">
        <f>'FY28'!BB37</f>
        <v>7</v>
      </c>
    </row>
    <row r="38" spans="1:7" x14ac:dyDescent="0.25">
      <c r="A38" s="27" t="s">
        <v>38</v>
      </c>
      <c r="B38" s="23">
        <f>'FY23'!AV38</f>
        <v>12.5</v>
      </c>
      <c r="C38" s="23">
        <f>'FY24'!BB38</f>
        <v>12</v>
      </c>
      <c r="D38" s="23">
        <f>'FY25'!BB38</f>
        <v>12</v>
      </c>
      <c r="E38" s="23">
        <f>'FY26'!BB38</f>
        <v>12</v>
      </c>
      <c r="F38" s="23">
        <f>'FY27'!BB38</f>
        <v>12.5</v>
      </c>
      <c r="G38" s="23">
        <f>'FY28'!BB38</f>
        <v>13.5</v>
      </c>
    </row>
    <row r="39" spans="1:7" x14ac:dyDescent="0.25">
      <c r="A39" s="29" t="s">
        <v>39</v>
      </c>
      <c r="B39" s="30">
        <f>SUM(B29:B38)</f>
        <v>347.5</v>
      </c>
      <c r="C39" s="30">
        <f t="shared" ref="C39:F39" si="8">SUM(C29:C38)</f>
        <v>393</v>
      </c>
      <c r="D39" s="30">
        <f t="shared" si="8"/>
        <v>405.5</v>
      </c>
      <c r="E39" s="30">
        <f t="shared" si="8"/>
        <v>416</v>
      </c>
      <c r="F39" s="30">
        <f t="shared" si="8"/>
        <v>422.5</v>
      </c>
      <c r="G39" s="30">
        <f t="shared" ref="G39" si="9">SUM(G29:G38)</f>
        <v>428</v>
      </c>
    </row>
    <row r="40" spans="1:7" x14ac:dyDescent="0.25">
      <c r="A40" s="31"/>
      <c r="B40" s="23"/>
      <c r="C40" s="23"/>
      <c r="D40" s="23"/>
      <c r="E40" s="23"/>
      <c r="F40" s="23"/>
      <c r="G40" s="23"/>
    </row>
    <row r="41" spans="1:7" x14ac:dyDescent="0.25">
      <c r="A41" s="17" t="s">
        <v>40</v>
      </c>
      <c r="B41" s="32" t="str">
        <f>B1</f>
        <v xml:space="preserve"> FY 23</v>
      </c>
      <c r="C41" s="32" t="str">
        <f t="shared" ref="C41:F41" si="10">C1</f>
        <v xml:space="preserve"> FY 24</v>
      </c>
      <c r="D41" s="32" t="str">
        <f t="shared" si="10"/>
        <v xml:space="preserve"> FY 25</v>
      </c>
      <c r="E41" s="32" t="str">
        <f t="shared" si="10"/>
        <v xml:space="preserve"> FY 26</v>
      </c>
      <c r="F41" s="32" t="str">
        <f t="shared" si="10"/>
        <v xml:space="preserve"> FY 27</v>
      </c>
      <c r="G41" s="32" t="str">
        <f t="shared" ref="G41" si="11">G1</f>
        <v xml:space="preserve"> FY 28</v>
      </c>
    </row>
    <row r="42" spans="1:7" x14ac:dyDescent="0.25">
      <c r="A42" s="21" t="s">
        <v>41</v>
      </c>
      <c r="B42" s="23">
        <f>'FY23'!AV42</f>
        <v>5</v>
      </c>
      <c r="C42" s="23">
        <f>'FY24'!BB42</f>
        <v>6</v>
      </c>
      <c r="D42" s="23">
        <f>'FY25'!BB42</f>
        <v>6</v>
      </c>
      <c r="E42" s="23">
        <f>'FY26'!BB42</f>
        <v>6</v>
      </c>
      <c r="F42" s="23">
        <f>'FY27'!BB42</f>
        <v>6</v>
      </c>
      <c r="G42" s="23">
        <f>'FY28'!BB42</f>
        <v>6</v>
      </c>
    </row>
    <row r="43" spans="1:7" x14ac:dyDescent="0.25">
      <c r="A43" s="21" t="s">
        <v>42</v>
      </c>
      <c r="B43" s="23">
        <f>'FY23'!AV43</f>
        <v>15</v>
      </c>
      <c r="C43" s="23">
        <f>'FY24'!BB43</f>
        <v>16</v>
      </c>
      <c r="D43" s="23">
        <f>'FY25'!BB43</f>
        <v>17</v>
      </c>
      <c r="E43" s="23">
        <f>'FY26'!BB43</f>
        <v>17</v>
      </c>
      <c r="F43" s="23">
        <f>'FY27'!BB43</f>
        <v>18</v>
      </c>
      <c r="G43" s="23">
        <f>'FY28'!BB43</f>
        <v>18</v>
      </c>
    </row>
    <row r="44" spans="1:7" x14ac:dyDescent="0.25">
      <c r="A44" s="34" t="s">
        <v>43</v>
      </c>
      <c r="B44" s="23">
        <f>'FY23'!AV44</f>
        <v>0</v>
      </c>
      <c r="C44" s="23">
        <f>'FY24'!BB44</f>
        <v>1</v>
      </c>
      <c r="D44" s="23">
        <f>'FY25'!BB44</f>
        <v>1</v>
      </c>
      <c r="E44" s="23">
        <f>'FY26'!BB44</f>
        <v>1.5</v>
      </c>
      <c r="F44" s="23">
        <f>'FY27'!BB44</f>
        <v>1.5</v>
      </c>
      <c r="G44" s="23">
        <f>'FY28'!BB44</f>
        <v>2</v>
      </c>
    </row>
    <row r="45" spans="1:7" x14ac:dyDescent="0.25">
      <c r="A45" s="33" t="s">
        <v>44</v>
      </c>
      <c r="B45" s="23">
        <f>'FY23'!AV45</f>
        <v>10</v>
      </c>
      <c r="C45" s="23">
        <f>'FY24'!BB45</f>
        <v>10</v>
      </c>
      <c r="D45" s="23">
        <f>'FY25'!BB45</f>
        <v>10</v>
      </c>
      <c r="E45" s="23">
        <f>'FY26'!BB45</f>
        <v>11</v>
      </c>
      <c r="F45" s="23">
        <f>'FY27'!BB45</f>
        <v>11</v>
      </c>
      <c r="G45" s="23">
        <f>'FY28'!BB45</f>
        <v>11</v>
      </c>
    </row>
    <row r="46" spans="1:7" x14ac:dyDescent="0.25">
      <c r="A46" s="33" t="s">
        <v>45</v>
      </c>
      <c r="B46" s="23">
        <f>'FY23'!AV46</f>
        <v>8</v>
      </c>
      <c r="C46" s="23">
        <f>'FY24'!BB46</f>
        <v>8</v>
      </c>
      <c r="D46" s="23">
        <f>'FY25'!BB46</f>
        <v>8</v>
      </c>
      <c r="E46" s="23">
        <f>'FY26'!BB46</f>
        <v>8</v>
      </c>
      <c r="F46" s="23">
        <f>'FY27'!BB46</f>
        <v>9</v>
      </c>
      <c r="G46" s="23">
        <f>'FY28'!BB46</f>
        <v>9</v>
      </c>
    </row>
    <row r="47" spans="1:7" x14ac:dyDescent="0.25">
      <c r="A47" s="21" t="s">
        <v>200</v>
      </c>
      <c r="B47" s="23">
        <f>'FY23'!AV47</f>
        <v>8</v>
      </c>
      <c r="C47" s="23">
        <f>'FY24'!BB47</f>
        <v>9</v>
      </c>
      <c r="D47" s="23">
        <f>'FY25'!BB47</f>
        <v>9</v>
      </c>
      <c r="E47" s="23">
        <f>'FY26'!BB47</f>
        <v>9</v>
      </c>
      <c r="F47" s="23">
        <f>'FY27'!BB47</f>
        <v>9</v>
      </c>
      <c r="G47" s="23">
        <f>'FY28'!BB47</f>
        <v>9</v>
      </c>
    </row>
    <row r="48" spans="1:7" x14ac:dyDescent="0.25">
      <c r="A48" s="21" t="s">
        <v>47</v>
      </c>
      <c r="B48" s="23">
        <f>'FY23'!AV48</f>
        <v>6.5</v>
      </c>
      <c r="C48" s="23">
        <f>'FY24'!BB48</f>
        <v>6.5</v>
      </c>
      <c r="D48" s="23">
        <f>'FY25'!BB48</f>
        <v>7.5</v>
      </c>
      <c r="E48" s="23">
        <f>'FY26'!BB48</f>
        <v>7.5</v>
      </c>
      <c r="F48" s="23">
        <f>'FY27'!BB48</f>
        <v>7.5</v>
      </c>
      <c r="G48" s="23">
        <f>'FY28'!BB48</f>
        <v>7.5</v>
      </c>
    </row>
    <row r="49" spans="1:7" x14ac:dyDescent="0.25">
      <c r="A49" s="21" t="s">
        <v>48</v>
      </c>
      <c r="B49" s="23">
        <f>'FY23'!AV49</f>
        <v>7</v>
      </c>
      <c r="C49" s="23">
        <f>'FY24'!BB49</f>
        <v>7</v>
      </c>
      <c r="D49" s="23">
        <f>'FY25'!BB49</f>
        <v>8</v>
      </c>
      <c r="E49" s="23">
        <f>'FY26'!BB49</f>
        <v>8</v>
      </c>
      <c r="F49" s="23">
        <f>'FY27'!BB49</f>
        <v>8</v>
      </c>
      <c r="G49" s="23">
        <f>'FY28'!BB49</f>
        <v>8</v>
      </c>
    </row>
    <row r="50" spans="1:7" x14ac:dyDescent="0.25">
      <c r="A50" s="21" t="s">
        <v>49</v>
      </c>
      <c r="B50" s="23">
        <f>'FY23'!AV50</f>
        <v>7</v>
      </c>
      <c r="C50" s="23">
        <f>'FY24'!BB50</f>
        <v>8</v>
      </c>
      <c r="D50" s="23">
        <f>'FY25'!BB50</f>
        <v>8</v>
      </c>
      <c r="E50" s="23">
        <f>'FY26'!BB50</f>
        <v>8</v>
      </c>
      <c r="F50" s="23">
        <f>'FY27'!BB50</f>
        <v>8</v>
      </c>
      <c r="G50" s="23">
        <f>'FY28'!BB50</f>
        <v>8</v>
      </c>
    </row>
    <row r="51" spans="1:7" x14ac:dyDescent="0.25">
      <c r="A51" s="21" t="s">
        <v>50</v>
      </c>
      <c r="B51" s="23">
        <f>'FY23'!AV51</f>
        <v>53.5</v>
      </c>
      <c r="C51" s="23">
        <f>'FY24'!BB51</f>
        <v>56.5</v>
      </c>
      <c r="D51" s="23">
        <f>'FY25'!BB51</f>
        <v>62.5</v>
      </c>
      <c r="E51" s="23">
        <f>'FY26'!BB51</f>
        <v>64.5</v>
      </c>
      <c r="F51" s="23">
        <f>'FY27'!BB51</f>
        <v>66.5</v>
      </c>
      <c r="G51" s="23">
        <f>'FY28'!BB51</f>
        <v>66.5</v>
      </c>
    </row>
    <row r="52" spans="1:7" x14ac:dyDescent="0.25">
      <c r="A52" s="21" t="s">
        <v>51</v>
      </c>
      <c r="B52" s="23">
        <f>'FY23'!AV52</f>
        <v>14</v>
      </c>
      <c r="C52" s="23">
        <f>'FY24'!BB52</f>
        <v>15</v>
      </c>
      <c r="D52" s="23">
        <f>'FY25'!BB52</f>
        <v>15</v>
      </c>
      <c r="E52" s="23">
        <f>'FY26'!BB52</f>
        <v>16</v>
      </c>
      <c r="F52" s="23">
        <f>'FY27'!BB52</f>
        <v>16</v>
      </c>
      <c r="G52" s="23">
        <f>'FY28'!BB52</f>
        <v>16</v>
      </c>
    </row>
    <row r="53" spans="1:7" x14ac:dyDescent="0.25">
      <c r="A53" s="21" t="s">
        <v>52</v>
      </c>
      <c r="B53" s="23">
        <f>'FY23'!AV53</f>
        <v>8</v>
      </c>
      <c r="C53" s="23">
        <f>'FY24'!BB53</f>
        <v>9</v>
      </c>
      <c r="D53" s="23">
        <f>'FY25'!BB53</f>
        <v>9</v>
      </c>
      <c r="E53" s="23">
        <f>'FY26'!BB53</f>
        <v>9</v>
      </c>
      <c r="F53" s="23">
        <f>'FY27'!BB53</f>
        <v>9</v>
      </c>
      <c r="G53" s="23">
        <f>'FY28'!BB53</f>
        <v>9</v>
      </c>
    </row>
    <row r="54" spans="1:7" x14ac:dyDescent="0.25">
      <c r="A54" s="21" t="s">
        <v>244</v>
      </c>
      <c r="B54" s="23">
        <f>'FY23'!AV54</f>
        <v>0</v>
      </c>
      <c r="C54" s="23">
        <f>'FY24'!BB54</f>
        <v>0</v>
      </c>
      <c r="D54" s="23">
        <f>'FY25'!BB54</f>
        <v>0</v>
      </c>
      <c r="E54" s="23">
        <f>'FY26'!BB54</f>
        <v>0</v>
      </c>
      <c r="F54" s="23">
        <f>'FY27'!BB54</f>
        <v>0</v>
      </c>
      <c r="G54" s="23">
        <f>'FY28'!BB54</f>
        <v>0</v>
      </c>
    </row>
    <row r="55" spans="1:7" x14ac:dyDescent="0.25">
      <c r="A55" s="34" t="s">
        <v>54</v>
      </c>
      <c r="B55" s="23">
        <f>'FY23'!AV55</f>
        <v>3.33</v>
      </c>
      <c r="C55" s="23">
        <f>'FY24'!BB55</f>
        <v>3.33</v>
      </c>
      <c r="D55" s="23">
        <f>'FY25'!BB55</f>
        <v>3.33</v>
      </c>
      <c r="E55" s="23">
        <f>'FY26'!BB55</f>
        <v>3.33</v>
      </c>
      <c r="F55" s="23">
        <f>'FY27'!BB55</f>
        <v>3.33</v>
      </c>
      <c r="G55" s="23">
        <f>'FY28'!BB55</f>
        <v>3.33</v>
      </c>
    </row>
    <row r="56" spans="1:7" x14ac:dyDescent="0.25">
      <c r="A56" s="34" t="s">
        <v>55</v>
      </c>
      <c r="B56" s="23">
        <f>'FY23'!AV56</f>
        <v>2</v>
      </c>
      <c r="C56" s="23">
        <f>'FY24'!BB56</f>
        <v>2</v>
      </c>
      <c r="D56" s="23">
        <f>'FY25'!BB56</f>
        <v>2</v>
      </c>
      <c r="E56" s="23">
        <f>'FY26'!BB56</f>
        <v>2</v>
      </c>
      <c r="F56" s="23">
        <f>'FY27'!BB56</f>
        <v>2</v>
      </c>
      <c r="G56" s="23">
        <f>'FY28'!BB56</f>
        <v>2</v>
      </c>
    </row>
    <row r="57" spans="1:7" x14ac:dyDescent="0.25">
      <c r="A57" s="34" t="s">
        <v>56</v>
      </c>
      <c r="B57" s="23">
        <f>'FY23'!AV57</f>
        <v>1.5</v>
      </c>
      <c r="C57" s="23">
        <f>'FY24'!BB57</f>
        <v>1.5</v>
      </c>
      <c r="D57" s="23">
        <f>'FY25'!BB57</f>
        <v>1.5</v>
      </c>
      <c r="E57" s="23">
        <f>'FY26'!BB57</f>
        <v>1.5</v>
      </c>
      <c r="F57" s="23">
        <f>'FY27'!BB57</f>
        <v>1.5</v>
      </c>
      <c r="G57" s="23">
        <f>'FY28'!BB57</f>
        <v>1.5</v>
      </c>
    </row>
    <row r="58" spans="1:7" x14ac:dyDescent="0.25">
      <c r="A58" s="34" t="s">
        <v>57</v>
      </c>
      <c r="B58" s="23">
        <f>'FY23'!AV58</f>
        <v>0.67</v>
      </c>
      <c r="C58" s="23">
        <f>'FY24'!BB58</f>
        <v>0.67</v>
      </c>
      <c r="D58" s="23">
        <f>'FY25'!BB58</f>
        <v>0.67</v>
      </c>
      <c r="E58" s="23">
        <f>'FY26'!BB58</f>
        <v>0.67</v>
      </c>
      <c r="F58" s="23">
        <f>'FY27'!BB58</f>
        <v>0.67</v>
      </c>
      <c r="G58" s="23">
        <f>'FY28'!BB58</f>
        <v>0.67</v>
      </c>
    </row>
    <row r="59" spans="1:7" x14ac:dyDescent="0.25">
      <c r="A59" s="34" t="s">
        <v>58</v>
      </c>
      <c r="B59" s="23">
        <f>'FY23'!AV59</f>
        <v>2</v>
      </c>
      <c r="C59" s="23">
        <f>'FY24'!BB59</f>
        <v>2</v>
      </c>
      <c r="D59" s="23">
        <f>'FY25'!BB59</f>
        <v>2</v>
      </c>
      <c r="E59" s="23">
        <f>'FY26'!BB59</f>
        <v>2</v>
      </c>
      <c r="F59" s="23">
        <f>'FY27'!BB59</f>
        <v>2</v>
      </c>
      <c r="G59" s="23">
        <f>'FY28'!BB59</f>
        <v>2</v>
      </c>
    </row>
    <row r="60" spans="1:7" x14ac:dyDescent="0.25">
      <c r="A60" s="34" t="s">
        <v>59</v>
      </c>
      <c r="B60" s="23">
        <f>'FY23'!AV60</f>
        <v>5.5</v>
      </c>
      <c r="C60" s="23">
        <f>'FY24'!BB60</f>
        <v>5.5</v>
      </c>
      <c r="D60" s="23">
        <f>'FY25'!BB60</f>
        <v>6</v>
      </c>
      <c r="E60" s="23">
        <f>'FY26'!BB60</f>
        <v>6</v>
      </c>
      <c r="F60" s="23">
        <f>'FY27'!BB60</f>
        <v>6</v>
      </c>
      <c r="G60" s="23">
        <f>'FY28'!BB60</f>
        <v>6</v>
      </c>
    </row>
    <row r="61" spans="1:7" x14ac:dyDescent="0.25">
      <c r="A61" s="35" t="s">
        <v>245</v>
      </c>
      <c r="B61" s="23">
        <f>'FY23'!AV61</f>
        <v>1</v>
      </c>
      <c r="C61" s="23">
        <f>'FY24'!BB61</f>
        <v>1</v>
      </c>
      <c r="D61" s="23">
        <f>'FY25'!BB61</f>
        <v>1</v>
      </c>
      <c r="E61" s="23">
        <f>'FY26'!BB61</f>
        <v>1</v>
      </c>
      <c r="F61" s="23">
        <f>'FY27'!BB61</f>
        <v>1</v>
      </c>
      <c r="G61" s="23">
        <f>'FY28'!BB61</f>
        <v>1</v>
      </c>
    </row>
    <row r="62" spans="1:7" x14ac:dyDescent="0.25">
      <c r="A62" s="29" t="s">
        <v>60</v>
      </c>
      <c r="B62" s="30">
        <f>SUM(B42:B61)</f>
        <v>158</v>
      </c>
      <c r="C62" s="30">
        <f t="shared" ref="C62:F62" si="12">SUM(C42:C61)</f>
        <v>168</v>
      </c>
      <c r="D62" s="30">
        <f t="shared" si="12"/>
        <v>177.5</v>
      </c>
      <c r="E62" s="30">
        <f t="shared" si="12"/>
        <v>182</v>
      </c>
      <c r="F62" s="30">
        <f t="shared" si="12"/>
        <v>186</v>
      </c>
      <c r="G62" s="30">
        <f t="shared" ref="G62" si="13">SUM(G42:G61)</f>
        <v>186.5</v>
      </c>
    </row>
    <row r="63" spans="1:7" ht="15.75" thickBot="1" x14ac:dyDescent="0.3">
      <c r="A63" s="36"/>
      <c r="B63" s="38"/>
      <c r="C63" s="38"/>
      <c r="D63" s="38"/>
      <c r="E63" s="38"/>
      <c r="F63" s="38"/>
      <c r="G63" s="38"/>
    </row>
    <row r="64" spans="1:7" x14ac:dyDescent="0.25">
      <c r="A64" s="40" t="s">
        <v>61</v>
      </c>
      <c r="B64" s="39">
        <f>B39</f>
        <v>347.5</v>
      </c>
      <c r="C64" s="39">
        <f>C39</f>
        <v>393</v>
      </c>
      <c r="D64" s="39">
        <f>D39</f>
        <v>405.5</v>
      </c>
      <c r="E64" s="39">
        <f t="shared" ref="E64" si="14">E39</f>
        <v>416</v>
      </c>
      <c r="F64" s="39">
        <f>F39</f>
        <v>422.5</v>
      </c>
      <c r="G64" s="39">
        <f>G39</f>
        <v>428</v>
      </c>
    </row>
    <row r="65" spans="1:7" ht="15.75" thickBot="1" x14ac:dyDescent="0.3">
      <c r="A65" s="42" t="s">
        <v>62</v>
      </c>
      <c r="B65" s="41">
        <f>B62</f>
        <v>158</v>
      </c>
      <c r="C65" s="41">
        <f>C62</f>
        <v>168</v>
      </c>
      <c r="D65" s="41">
        <f>D62</f>
        <v>177.5</v>
      </c>
      <c r="E65" s="41">
        <f t="shared" ref="E65:F65" si="15">E62</f>
        <v>182</v>
      </c>
      <c r="F65" s="41">
        <f t="shared" si="15"/>
        <v>186</v>
      </c>
      <c r="G65" s="41">
        <f t="shared" ref="G65" si="16">G62</f>
        <v>186.5</v>
      </c>
    </row>
    <row r="66" spans="1:7" ht="15.75" thickBot="1" x14ac:dyDescent="0.3">
      <c r="A66" s="44" t="s">
        <v>63</v>
      </c>
      <c r="B66" s="43">
        <f>SUM(B64:B65)</f>
        <v>505.5</v>
      </c>
      <c r="C66" s="43">
        <f>SUM(C64:C65)</f>
        <v>561</v>
      </c>
      <c r="D66" s="43">
        <f>SUM(D64:D65)</f>
        <v>583</v>
      </c>
      <c r="E66" s="43">
        <f t="shared" ref="E66:F66" si="17">SUM(E64:E65)</f>
        <v>598</v>
      </c>
      <c r="F66" s="43">
        <f t="shared" si="17"/>
        <v>608.5</v>
      </c>
      <c r="G66" s="43">
        <f t="shared" ref="G66" si="18">SUM(G64:G65)</f>
        <v>614.5</v>
      </c>
    </row>
    <row r="67" spans="1:7" ht="15.75" thickBot="1" x14ac:dyDescent="0.3">
      <c r="A67" s="34"/>
      <c r="B67" s="45"/>
      <c r="C67" s="45"/>
      <c r="D67" s="45"/>
      <c r="E67" s="45"/>
      <c r="F67" s="45"/>
      <c r="G67" s="45"/>
    </row>
    <row r="68" spans="1:7" x14ac:dyDescent="0.25">
      <c r="A68" s="47" t="s">
        <v>64</v>
      </c>
      <c r="B68" s="46">
        <f t="shared" ref="B68:E68" si="19">B139/(SUM(B207:B217))</f>
        <v>0.62155748551434775</v>
      </c>
      <c r="C68" s="46">
        <f t="shared" si="19"/>
        <v>0.61311104619087475</v>
      </c>
      <c r="D68" s="46">
        <f t="shared" si="19"/>
        <v>0.6092334373860343</v>
      </c>
      <c r="E68" s="46">
        <f t="shared" si="19"/>
        <v>0.60742617018550993</v>
      </c>
      <c r="F68" s="46">
        <f>F139/(SUM(F207:F217))</f>
        <v>0.60782127387109652</v>
      </c>
      <c r="G68" s="46">
        <f>G139/(SUM(G207:G217))</f>
        <v>0.60855470927617117</v>
      </c>
    </row>
    <row r="69" spans="1:7" x14ac:dyDescent="0.25">
      <c r="A69" s="49" t="s">
        <v>65</v>
      </c>
      <c r="B69" s="48">
        <f t="shared" ref="B69:E69" si="20">(B108+B109+B110+B113)/B129</f>
        <v>0.75477369912462755</v>
      </c>
      <c r="C69" s="48">
        <f t="shared" si="20"/>
        <v>0.76388654769186848</v>
      </c>
      <c r="D69" s="48">
        <f t="shared" si="20"/>
        <v>0.76619661139185546</v>
      </c>
      <c r="E69" s="48">
        <f t="shared" si="20"/>
        <v>0.76834899502342069</v>
      </c>
      <c r="F69" s="48">
        <f t="shared" ref="F69" si="21">(F108+F109+F110+F113)/F129</f>
        <v>0.76858812071732996</v>
      </c>
      <c r="G69" s="48">
        <f t="shared" ref="G69" si="22">(G108+G109+G110+G113)/G129</f>
        <v>0.77006155188778114</v>
      </c>
    </row>
    <row r="70" spans="1:7" x14ac:dyDescent="0.25">
      <c r="A70" s="51" t="s">
        <v>66</v>
      </c>
      <c r="B70" s="48">
        <f t="shared" ref="B70:E70" si="23">(B103+B104+B106+B107+B111+B112+B114+B115+B118+B119+B120+B121+B122+B105+B123+B124+B125+B126+B127)/B129</f>
        <v>0.24522630087537242</v>
      </c>
      <c r="C70" s="48">
        <f t="shared" si="23"/>
        <v>0.23611345230813144</v>
      </c>
      <c r="D70" s="48">
        <f t="shared" si="23"/>
        <v>0.23380338860814442</v>
      </c>
      <c r="E70" s="48">
        <f t="shared" si="23"/>
        <v>0.23165100497657945</v>
      </c>
      <c r="F70" s="48">
        <f t="shared" ref="F70" si="24">(F103+F104+F106+F107+F111+F112+F114+F115+F118+F119+F120+F121+F122+F105+F123+F124+F125+F126+F127)/F129</f>
        <v>0.23141187928267018</v>
      </c>
      <c r="G70" s="48">
        <f t="shared" ref="G70" si="25">(G103+G104+G106+G107+G111+G112+G114+G115+G118+G119+G120+G121+G122+G105+G123+G124+G125+G126+G127)/G129</f>
        <v>0.22993844811221878</v>
      </c>
    </row>
    <row r="71" spans="1:7" ht="15.75" thickBot="1" x14ac:dyDescent="0.3">
      <c r="A71" s="53" t="s">
        <v>67</v>
      </c>
      <c r="B71" s="52">
        <f t="shared" ref="B71:E71" si="26">SUM(B209:B217)/B86</f>
        <v>0.14141668363143126</v>
      </c>
      <c r="C71" s="52">
        <f t="shared" si="26"/>
        <v>0.14011782069444381</v>
      </c>
      <c r="D71" s="52">
        <f t="shared" si="26"/>
        <v>0.13805148205126352</v>
      </c>
      <c r="E71" s="52">
        <f t="shared" si="26"/>
        <v>0.1398173926693102</v>
      </c>
      <c r="F71" s="52">
        <f>SUM(F209:F217)/F86</f>
        <v>0.13846986254092186</v>
      </c>
      <c r="G71" s="52">
        <f>SUM(G209:G217)/G86</f>
        <v>0.14056960165722776</v>
      </c>
    </row>
    <row r="72" spans="1:7" x14ac:dyDescent="0.25">
      <c r="A72" s="54"/>
      <c r="B72" s="55"/>
      <c r="C72" s="55"/>
      <c r="D72" s="55"/>
      <c r="E72" s="55"/>
      <c r="F72" s="55"/>
      <c r="G72" s="55"/>
    </row>
    <row r="73" spans="1:7" x14ac:dyDescent="0.25">
      <c r="A73" s="57" t="s">
        <v>246</v>
      </c>
      <c r="B73" s="58" t="str">
        <f>B1</f>
        <v xml:space="preserve"> FY 23</v>
      </c>
      <c r="C73" s="58" t="str">
        <f>C1</f>
        <v xml:space="preserve"> FY 24</v>
      </c>
      <c r="D73" s="58" t="s">
        <v>3</v>
      </c>
      <c r="E73" s="58" t="str">
        <f t="shared" ref="E73" si="27">E1</f>
        <v xml:space="preserve"> FY 26</v>
      </c>
      <c r="F73" s="58" t="str">
        <f>F1</f>
        <v xml:space="preserve"> FY 27</v>
      </c>
      <c r="G73" s="58" t="str">
        <f>G1</f>
        <v xml:space="preserve"> FY 28</v>
      </c>
    </row>
    <row r="74" spans="1:7" x14ac:dyDescent="0.25">
      <c r="A74" s="60" t="s">
        <v>69</v>
      </c>
      <c r="B74" s="7">
        <f>'FY23'!AV74</f>
        <v>54940688</v>
      </c>
      <c r="C74" s="7">
        <f>'FY24'!BB74</f>
        <v>63616597.004999988</v>
      </c>
      <c r="D74" s="7">
        <f>'FY25'!BB74</f>
        <v>67505522.137191981</v>
      </c>
      <c r="E74" s="7">
        <f>'FY26'!BB74</f>
        <v>70645032.006931305</v>
      </c>
      <c r="F74" s="7">
        <f>'FY27'!BB74</f>
        <v>73040619.012767658</v>
      </c>
      <c r="G74" s="7">
        <f>'FY28'!BB74</f>
        <v>75067861.301459596</v>
      </c>
    </row>
    <row r="75" spans="1:7" x14ac:dyDescent="0.25">
      <c r="A75" s="62" t="s">
        <v>70</v>
      </c>
      <c r="B75" s="7">
        <f>'FY23'!AV75</f>
        <v>0</v>
      </c>
      <c r="C75" s="7">
        <f>'FY24'!BB75</f>
        <v>0</v>
      </c>
      <c r="D75" s="7">
        <f>'FY25'!BB75</f>
        <v>0</v>
      </c>
      <c r="E75" s="7">
        <f>'FY26'!BB75</f>
        <v>15000</v>
      </c>
      <c r="F75" s="7">
        <f>'FY27'!BB75</f>
        <v>15000</v>
      </c>
      <c r="G75" s="7">
        <f>'FY28'!BB75</f>
        <v>15000</v>
      </c>
    </row>
    <row r="76" spans="1:7" x14ac:dyDescent="0.25">
      <c r="A76" s="62" t="s">
        <v>71</v>
      </c>
      <c r="B76" s="7">
        <f>'FY23'!AV76</f>
        <v>1150091.7120000001</v>
      </c>
      <c r="C76" s="7">
        <f>'FY24'!BB76</f>
        <v>1789040.7</v>
      </c>
      <c r="D76" s="7">
        <f>'FY25'!BB76</f>
        <v>1914882.2999999998</v>
      </c>
      <c r="E76" s="7">
        <f>'FY26'!BB76</f>
        <v>2015639.0999999999</v>
      </c>
      <c r="F76" s="7">
        <f>'FY27'!BB76</f>
        <v>2100699.9</v>
      </c>
      <c r="G76" s="7">
        <f>'FY28'!BB76</f>
        <v>2173729.5</v>
      </c>
    </row>
    <row r="77" spans="1:7" x14ac:dyDescent="0.25">
      <c r="A77" s="62" t="s">
        <v>72</v>
      </c>
      <c r="B77" s="7">
        <f>'FY23'!AV77</f>
        <v>707750</v>
      </c>
      <c r="C77" s="7">
        <f>'FY24'!BB77</f>
        <v>779947.45239904441</v>
      </c>
      <c r="D77" s="7">
        <f>'FY25'!BB77</f>
        <v>836358.65560760058</v>
      </c>
      <c r="E77" s="7">
        <f>'FY26'!BB77</f>
        <v>871018.66897658445</v>
      </c>
      <c r="F77" s="7">
        <f>'FY27'!BB77</f>
        <v>894938.85614236002</v>
      </c>
      <c r="G77" s="7">
        <f>'FY28'!BB77</f>
        <v>908541.12886963272</v>
      </c>
    </row>
    <row r="78" spans="1:7" x14ac:dyDescent="0.25">
      <c r="A78" s="141" t="s">
        <v>73</v>
      </c>
      <c r="B78" s="7">
        <f>'FY23'!AV78</f>
        <v>2024925</v>
      </c>
      <c r="C78" s="7">
        <f>'FY24'!BB78</f>
        <v>1952493.2957869591</v>
      </c>
      <c r="D78" s="7">
        <f>'FY25'!BB78</f>
        <v>2200093.8305463172</v>
      </c>
      <c r="E78" s="7">
        <f>'FY26'!BB78</f>
        <v>2334247.4798845164</v>
      </c>
      <c r="F78" s="7">
        <f>'FY27'!BB78</f>
        <v>2400853.908744866</v>
      </c>
      <c r="G78" s="7">
        <f>'FY28'!BB78</f>
        <v>2430885.2723812298</v>
      </c>
    </row>
    <row r="79" spans="1:7" x14ac:dyDescent="0.25">
      <c r="A79" s="62" t="s">
        <v>74</v>
      </c>
      <c r="B79" s="7">
        <f>'FY23'!AV79</f>
        <v>158595</v>
      </c>
      <c r="C79" s="7">
        <f>'FY24'!BB79</f>
        <v>165975.69582732103</v>
      </c>
      <c r="D79" s="7">
        <f>'FY25'!BB79</f>
        <v>474941.34211215074</v>
      </c>
      <c r="E79" s="7">
        <f>'FY26'!BB79</f>
        <v>557227.51443131769</v>
      </c>
      <c r="F79" s="7">
        <f>'FY27'!BB79</f>
        <v>626111.74866998917</v>
      </c>
      <c r="G79" s="7">
        <f>'FY28'!BB79</f>
        <v>749770.33671841514</v>
      </c>
    </row>
    <row r="80" spans="1:7" x14ac:dyDescent="0.25">
      <c r="A80" s="62" t="s">
        <v>75</v>
      </c>
      <c r="B80" s="7">
        <f>'FY23'!AV80</f>
        <v>239984</v>
      </c>
      <c r="C80" s="7">
        <f>'FY24'!BB80</f>
        <v>249302.48183791601</v>
      </c>
      <c r="D80" s="7">
        <f>'FY25'!BB80</f>
        <v>253230.56995124745</v>
      </c>
      <c r="E80" s="7">
        <f>'FY26'!BB80</f>
        <v>272557.8833952854</v>
      </c>
      <c r="F80" s="7">
        <f>'FY27'!BB80</f>
        <v>275672.58484945551</v>
      </c>
      <c r="G80" s="7">
        <f>'FY28'!BB80</f>
        <v>305994.48638391442</v>
      </c>
    </row>
    <row r="81" spans="1:7" x14ac:dyDescent="0.25">
      <c r="A81" s="62" t="s">
        <v>76</v>
      </c>
      <c r="B81" s="7">
        <f>'FY23'!AV81</f>
        <v>329206</v>
      </c>
      <c r="C81" s="7">
        <f>'FY24'!BB81</f>
        <v>353697.46403422422</v>
      </c>
      <c r="D81" s="7">
        <f>'FY25'!BB81</f>
        <v>401837.18916322314</v>
      </c>
      <c r="E81" s="7">
        <f>'FY26'!BB81</f>
        <v>425689.1511786562</v>
      </c>
      <c r="F81" s="7">
        <f>'FY27'!BB81</f>
        <v>441506.72159966186</v>
      </c>
      <c r="G81" s="7">
        <f>'FY28'!BB81</f>
        <v>479030.45659479545</v>
      </c>
    </row>
    <row r="82" spans="1:7" x14ac:dyDescent="0.25">
      <c r="A82" s="62" t="s">
        <v>247</v>
      </c>
      <c r="B82" s="7">
        <f>'FY23'!AV82</f>
        <v>88000</v>
      </c>
      <c r="C82" s="7">
        <f>'FY24'!BB82</f>
        <v>170000</v>
      </c>
      <c r="D82" s="7">
        <f>'FY25'!BB82</f>
        <v>275000</v>
      </c>
      <c r="E82" s="7">
        <f>'FY26'!BB82</f>
        <v>368000</v>
      </c>
      <c r="F82" s="7">
        <f>'FY27'!BB82</f>
        <v>468000</v>
      </c>
      <c r="G82" s="7">
        <f>'FY28'!BB82</f>
        <v>492000</v>
      </c>
    </row>
    <row r="83" spans="1:7" x14ac:dyDescent="0.25">
      <c r="A83" s="154" t="s">
        <v>78</v>
      </c>
      <c r="B83" s="7">
        <f>'FY23'!AV83</f>
        <v>0</v>
      </c>
      <c r="C83" s="7">
        <f>'FY24'!BB83</f>
        <v>0</v>
      </c>
      <c r="D83" s="7">
        <f>'FY25'!BB83</f>
        <v>0</v>
      </c>
      <c r="E83" s="7">
        <f>'FY26'!BB83</f>
        <v>0</v>
      </c>
      <c r="F83" s="7">
        <f>'FY27'!BB83</f>
        <v>0</v>
      </c>
      <c r="G83" s="7">
        <f>'FY28'!BB83</f>
        <v>0</v>
      </c>
    </row>
    <row r="84" spans="1:7" x14ac:dyDescent="0.25">
      <c r="A84" s="62" t="s">
        <v>77</v>
      </c>
      <c r="B84" s="7">
        <f>'FY23'!AV84</f>
        <v>0</v>
      </c>
      <c r="C84" s="7">
        <f>'FY24'!BB84</f>
        <v>0</v>
      </c>
      <c r="D84" s="7">
        <f>'FY25'!BB84</f>
        <v>0</v>
      </c>
      <c r="E84" s="7">
        <f>'FY26'!BB84</f>
        <v>0</v>
      </c>
      <c r="F84" s="7">
        <f>'FY27'!BB84</f>
        <v>0</v>
      </c>
      <c r="G84" s="7">
        <f>'FY28'!BB84</f>
        <v>0</v>
      </c>
    </row>
    <row r="85" spans="1:7" ht="15.75" thickBot="1" x14ac:dyDescent="0.3">
      <c r="A85" s="65" t="s">
        <v>79</v>
      </c>
      <c r="B85" s="7">
        <f>'FY23'!AV85</f>
        <v>135320</v>
      </c>
      <c r="C85" s="7">
        <f>'FY24'!BB85</f>
        <v>150400</v>
      </c>
      <c r="D85" s="7">
        <f>'FY25'!BB85</f>
        <v>154000</v>
      </c>
      <c r="E85" s="7">
        <f>'FY26'!BB85</f>
        <v>157600</v>
      </c>
      <c r="F85" s="7">
        <f>'FY27'!BB85</f>
        <v>162040</v>
      </c>
      <c r="G85" s="7">
        <f>'FY28'!BB85</f>
        <v>161800</v>
      </c>
    </row>
    <row r="86" spans="1:7" ht="15.75" thickBot="1" x14ac:dyDescent="0.3">
      <c r="A86" s="67" t="s">
        <v>80</v>
      </c>
      <c r="B86" s="68">
        <f>SUM(B74:B85)</f>
        <v>59774559.711999997</v>
      </c>
      <c r="C86" s="68">
        <f>SUM(C74:C85)</f>
        <v>69227454.094885454</v>
      </c>
      <c r="D86" s="68">
        <f>SUM(D74:D85)</f>
        <v>74015866.024572521</v>
      </c>
      <c r="E86" s="68">
        <f t="shared" ref="E86:F86" si="28">SUM(E74:E85)</f>
        <v>77662011.804797664</v>
      </c>
      <c r="F86" s="68">
        <f t="shared" si="28"/>
        <v>80425442.732774004</v>
      </c>
      <c r="G86" s="68">
        <f t="shared" ref="G86" si="29">SUM(G74:G85)</f>
        <v>82784612.482407585</v>
      </c>
    </row>
    <row r="87" spans="1:7" hidden="1" x14ac:dyDescent="0.25">
      <c r="A87" s="60" t="s">
        <v>69</v>
      </c>
      <c r="B87" s="7">
        <f>'FY23'!AV87</f>
        <v>54940688</v>
      </c>
      <c r="C87" s="7">
        <f>'FY24'!BB87</f>
        <v>63616597.004999988</v>
      </c>
      <c r="D87" s="7">
        <f>'FY25'!BB87</f>
        <v>67505522.137191981</v>
      </c>
      <c r="E87" s="7">
        <f>'FY26'!BB87</f>
        <v>70645032.006931305</v>
      </c>
      <c r="F87" s="7">
        <f>'FY27'!BB87</f>
        <v>73040619.012767658</v>
      </c>
      <c r="G87" s="7">
        <f>'FY28'!BB87</f>
        <v>75067861.301459596</v>
      </c>
    </row>
    <row r="88" spans="1:7" hidden="1" x14ac:dyDescent="0.25">
      <c r="A88" s="62" t="s">
        <v>201</v>
      </c>
      <c r="B88" s="7">
        <f>'FY23'!AV88</f>
        <v>0</v>
      </c>
      <c r="C88" s="7">
        <f>'FY24'!BB88</f>
        <v>0</v>
      </c>
      <c r="D88" s="7">
        <f>'FY25'!BB88</f>
        <v>0</v>
      </c>
      <c r="E88" s="7">
        <f>'FY26'!BB88</f>
        <v>15000</v>
      </c>
      <c r="F88" s="7">
        <f>'FY27'!BB88</f>
        <v>15000</v>
      </c>
      <c r="G88" s="7">
        <f>'FY28'!BB88</f>
        <v>0</v>
      </c>
    </row>
    <row r="89" spans="1:7" hidden="1" x14ac:dyDescent="0.25">
      <c r="A89" s="62" t="s">
        <v>71</v>
      </c>
      <c r="B89" s="7">
        <f>'FY23'!AV89</f>
        <v>1150091.7120000001</v>
      </c>
      <c r="C89" s="7">
        <f>'FY24'!BB89</f>
        <v>1789040.7</v>
      </c>
      <c r="D89" s="7">
        <f>'FY25'!BB89</f>
        <v>1914882.2999999998</v>
      </c>
      <c r="E89" s="7">
        <f>'FY26'!BB89</f>
        <v>2015639.0999999999</v>
      </c>
      <c r="F89" s="7">
        <f>'FY27'!BB89</f>
        <v>2100699.9</v>
      </c>
      <c r="G89" s="7">
        <f>'FY28'!BB89</f>
        <v>2173729.5</v>
      </c>
    </row>
    <row r="90" spans="1:7" hidden="1" x14ac:dyDescent="0.25">
      <c r="A90" s="62" t="s">
        <v>72</v>
      </c>
      <c r="B90" s="7">
        <f>'FY23'!AV90</f>
        <v>707750</v>
      </c>
      <c r="C90" s="7">
        <f>'FY24'!BB90</f>
        <v>779947.45239904441</v>
      </c>
      <c r="D90" s="7">
        <f>'FY25'!BB90</f>
        <v>836358.65560760058</v>
      </c>
      <c r="E90" s="7">
        <f>'FY26'!BB90</f>
        <v>871018.66897658445</v>
      </c>
      <c r="F90" s="7">
        <f>'FY27'!BB90</f>
        <v>894938.85614236002</v>
      </c>
      <c r="G90" s="7">
        <f>'FY28'!BB90</f>
        <v>908541.12886963272</v>
      </c>
    </row>
    <row r="91" spans="1:7" hidden="1" x14ac:dyDescent="0.25">
      <c r="A91" s="141" t="s">
        <v>73</v>
      </c>
      <c r="B91" s="7">
        <f>'FY23'!AV91</f>
        <v>2024925</v>
      </c>
      <c r="C91" s="7">
        <f>'FY24'!BB91</f>
        <v>1952493.2957869591</v>
      </c>
      <c r="D91" s="7">
        <f>'FY25'!BB91</f>
        <v>2200093.8305463172</v>
      </c>
      <c r="E91" s="7">
        <f>'FY26'!BB91</f>
        <v>2334247.4798845164</v>
      </c>
      <c r="F91" s="7">
        <f>'FY27'!BB91</f>
        <v>2400853.908744866</v>
      </c>
      <c r="G91" s="7">
        <f>'FY28'!BB91</f>
        <v>2430885.2723812298</v>
      </c>
    </row>
    <row r="92" spans="1:7" hidden="1" x14ac:dyDescent="0.25">
      <c r="A92" s="62" t="s">
        <v>74</v>
      </c>
      <c r="B92" s="7">
        <f>'FY23'!AV92</f>
        <v>158595</v>
      </c>
      <c r="C92" s="7">
        <f>'FY24'!BB92</f>
        <v>165975.69582732103</v>
      </c>
      <c r="D92" s="7">
        <f>'FY25'!BB92</f>
        <v>474941.34211215074</v>
      </c>
      <c r="E92" s="7">
        <f>'FY26'!BB92</f>
        <v>557227.51443131769</v>
      </c>
      <c r="F92" s="7">
        <f>'FY27'!BB92</f>
        <v>626111.74866998917</v>
      </c>
      <c r="G92" s="7">
        <f>'FY28'!BB92</f>
        <v>749770.33671841514</v>
      </c>
    </row>
    <row r="93" spans="1:7" hidden="1" x14ac:dyDescent="0.25">
      <c r="A93" s="62" t="s">
        <v>75</v>
      </c>
      <c r="B93" s="7">
        <f>'FY23'!AV93</f>
        <v>239984</v>
      </c>
      <c r="C93" s="7">
        <f>'FY24'!BB93</f>
        <v>249302.48183791601</v>
      </c>
      <c r="D93" s="7">
        <f>'FY25'!BB93</f>
        <v>253230.56995124745</v>
      </c>
      <c r="E93" s="7">
        <f>'FY26'!BB93</f>
        <v>272557.8833952854</v>
      </c>
      <c r="F93" s="7">
        <f>'FY27'!BB93</f>
        <v>275672.58484945551</v>
      </c>
      <c r="G93" s="7">
        <f>'FY28'!BB93</f>
        <v>305994.48638391442</v>
      </c>
    </row>
    <row r="94" spans="1:7" hidden="1" x14ac:dyDescent="0.25">
      <c r="A94" s="62" t="s">
        <v>76</v>
      </c>
      <c r="B94" s="7">
        <f>'FY23'!AV94</f>
        <v>329206</v>
      </c>
      <c r="C94" s="7">
        <f>'FY24'!BB94</f>
        <v>353697.46403422422</v>
      </c>
      <c r="D94" s="7">
        <f>'FY25'!BB94</f>
        <v>401837.18916322314</v>
      </c>
      <c r="E94" s="7">
        <f>'FY26'!BB94</f>
        <v>425689.1511786562</v>
      </c>
      <c r="F94" s="7">
        <f>'FY27'!BB94</f>
        <v>441506.72159966186</v>
      </c>
      <c r="G94" s="7">
        <f>'FY28'!BB94</f>
        <v>479030.45659479545</v>
      </c>
    </row>
    <row r="95" spans="1:7" hidden="1" x14ac:dyDescent="0.25">
      <c r="A95" s="62" t="s">
        <v>202</v>
      </c>
      <c r="B95" s="7">
        <f>'FY23'!AV95</f>
        <v>88000</v>
      </c>
      <c r="C95" s="7">
        <f>'FY24'!BB95</f>
        <v>170000</v>
      </c>
      <c r="D95" s="7">
        <f>'FY25'!BB95</f>
        <v>275000</v>
      </c>
      <c r="E95" s="7">
        <f>'FY26'!BB95</f>
        <v>368000</v>
      </c>
      <c r="F95" s="7">
        <f>'FY27'!BB95</f>
        <v>468000</v>
      </c>
      <c r="G95" s="7">
        <f>'FY28'!BB95</f>
        <v>492000</v>
      </c>
    </row>
    <row r="96" spans="1:7" hidden="1" x14ac:dyDescent="0.25">
      <c r="A96" s="62" t="s">
        <v>203</v>
      </c>
      <c r="B96" s="7">
        <f>'FY23'!AV96</f>
        <v>0</v>
      </c>
      <c r="C96" s="7">
        <f>'FY24'!BB96</f>
        <v>0</v>
      </c>
      <c r="D96" s="7">
        <f>'FY25'!BB96</f>
        <v>0</v>
      </c>
      <c r="E96" s="7">
        <f>'FY26'!BB96</f>
        <v>0</v>
      </c>
      <c r="F96" s="7">
        <f>'FY27'!BB96</f>
        <v>0</v>
      </c>
      <c r="G96" s="7">
        <f>'FY28'!BB96</f>
        <v>0</v>
      </c>
    </row>
    <row r="97" spans="1:7" hidden="1" x14ac:dyDescent="0.25">
      <c r="A97" s="62" t="s">
        <v>77</v>
      </c>
      <c r="B97" s="7">
        <f>'FY23'!AV97</f>
        <v>0</v>
      </c>
      <c r="C97" s="7">
        <f>'FY24'!BB97</f>
        <v>0</v>
      </c>
      <c r="D97" s="7">
        <f>'FY25'!BB97</f>
        <v>0</v>
      </c>
      <c r="E97" s="7">
        <f>'FY26'!BB97</f>
        <v>0</v>
      </c>
      <c r="F97" s="7">
        <f>'FY27'!BB97</f>
        <v>0</v>
      </c>
      <c r="G97" s="7">
        <f>'FY28'!BB97</f>
        <v>0</v>
      </c>
    </row>
    <row r="98" spans="1:7" ht="15.75" hidden="1" thickBot="1" x14ac:dyDescent="0.3">
      <c r="A98" s="65" t="s">
        <v>204</v>
      </c>
      <c r="B98" s="7">
        <f>'FY23'!AV98</f>
        <v>135320</v>
      </c>
      <c r="C98" s="7">
        <f>'FY24'!BB98</f>
        <v>150400</v>
      </c>
      <c r="D98" s="7">
        <f>'FY25'!BB98</f>
        <v>154000</v>
      </c>
      <c r="E98" s="7">
        <f>'FY26'!BB98</f>
        <v>157600</v>
      </c>
      <c r="F98" s="7">
        <f>'FY27'!BB98</f>
        <v>162040</v>
      </c>
      <c r="G98" s="7">
        <f>'FY28'!BB98</f>
        <v>161800</v>
      </c>
    </row>
    <row r="99" spans="1:7" ht="15.75" hidden="1" thickBot="1" x14ac:dyDescent="0.3">
      <c r="A99" s="67" t="s">
        <v>81</v>
      </c>
      <c r="B99" s="68">
        <f>SUM(B87:B98)</f>
        <v>59774559.711999997</v>
      </c>
      <c r="C99" s="68">
        <f>SUM(C87:C98)</f>
        <v>69227454.094885454</v>
      </c>
      <c r="D99" s="68">
        <f>SUM(D87:D98)</f>
        <v>74015866.024572521</v>
      </c>
      <c r="E99" s="68">
        <f t="shared" ref="E99:F99" si="30">SUM(E87:E98)</f>
        <v>77662011.804797664</v>
      </c>
      <c r="F99" s="68">
        <f t="shared" si="30"/>
        <v>80425442.732774004</v>
      </c>
      <c r="G99" s="68">
        <f t="shared" ref="G99" si="31">SUM(G87:G98)</f>
        <v>82769612.482407585</v>
      </c>
    </row>
    <row r="100" spans="1:7" x14ac:dyDescent="0.25">
      <c r="A100" s="70"/>
      <c r="B100" s="55"/>
      <c r="C100" s="55"/>
      <c r="D100" s="55"/>
      <c r="E100" s="55"/>
      <c r="F100" s="55"/>
      <c r="G100" s="55"/>
    </row>
    <row r="101" spans="1:7" ht="15.75" thickBot="1" x14ac:dyDescent="0.3">
      <c r="A101" s="73" t="s">
        <v>82</v>
      </c>
      <c r="B101" s="74" t="str">
        <f>B1</f>
        <v xml:space="preserve"> FY 23</v>
      </c>
      <c r="C101" s="74" t="str">
        <f>C1</f>
        <v xml:space="preserve"> FY 24</v>
      </c>
      <c r="D101" s="74" t="str">
        <f>D1</f>
        <v xml:space="preserve"> FY 25</v>
      </c>
      <c r="E101" s="74" t="str">
        <f t="shared" ref="E101:F101" si="32">E1</f>
        <v xml:space="preserve"> FY 26</v>
      </c>
      <c r="F101" s="74" t="str">
        <f t="shared" si="32"/>
        <v xml:space="preserve"> FY 27</v>
      </c>
      <c r="G101" s="74" t="str">
        <f t="shared" ref="G101" si="33">G1</f>
        <v xml:space="preserve"> FY 28</v>
      </c>
    </row>
    <row r="102" spans="1:7" x14ac:dyDescent="0.25">
      <c r="A102" s="76" t="s">
        <v>83</v>
      </c>
      <c r="B102" s="77"/>
      <c r="C102" s="77"/>
      <c r="D102" s="77"/>
      <c r="E102" s="77"/>
      <c r="F102" s="77"/>
      <c r="G102" s="77"/>
    </row>
    <row r="103" spans="1:7" x14ac:dyDescent="0.25">
      <c r="A103" s="62" t="s">
        <v>41</v>
      </c>
      <c r="B103" s="7">
        <f>'FY23'!AV103</f>
        <v>653882.02</v>
      </c>
      <c r="C103" s="7">
        <f>'FY24'!BB103</f>
        <v>776959.66040000005</v>
      </c>
      <c r="D103" s="7">
        <f>'FY25'!BB103</f>
        <v>792498.85360799998</v>
      </c>
      <c r="E103" s="7">
        <f>'FY26'!BB103</f>
        <v>808348.83068016008</v>
      </c>
      <c r="F103" s="7">
        <f>'FY27'!BB103</f>
        <v>824515.80729376327</v>
      </c>
      <c r="G103" s="7">
        <f>'FY28'!BB103</f>
        <v>841006.12343963853</v>
      </c>
    </row>
    <row r="104" spans="1:7" x14ac:dyDescent="0.25">
      <c r="A104" s="62" t="s">
        <v>84</v>
      </c>
      <c r="B104" s="7">
        <f>'FY23'!AV104</f>
        <v>1214854.9391999999</v>
      </c>
      <c r="C104" s="7">
        <f>'FY24'!BB104</f>
        <v>1314152.0379840001</v>
      </c>
      <c r="D104" s="7">
        <f>'FY25'!BB104</f>
        <v>1415435.0787436799</v>
      </c>
      <c r="E104" s="7">
        <f>'FY26'!BB104</f>
        <v>1443743.7803185538</v>
      </c>
      <c r="F104" s="7">
        <f>'FY27'!BB104</f>
        <v>1547618.6559249251</v>
      </c>
      <c r="G104" s="7">
        <f>'FY28'!BB104</f>
        <v>1578571.0290434232</v>
      </c>
    </row>
    <row r="105" spans="1:7" x14ac:dyDescent="0.25">
      <c r="A105" s="62" t="s">
        <v>45</v>
      </c>
      <c r="B105" s="7">
        <f>'FY23'!AV105</f>
        <v>272241.46799999999</v>
      </c>
      <c r="C105" s="7">
        <f>'FY24'!BB105</f>
        <v>277686.29736000003</v>
      </c>
      <c r="D105" s="7">
        <f>'FY25'!BB105</f>
        <v>283240.02330720006</v>
      </c>
      <c r="E105" s="7">
        <f>'FY26'!BB105</f>
        <v>288904.82377334405</v>
      </c>
      <c r="F105" s="7">
        <f>'FY27'!BB105</f>
        <v>359682.9202488109</v>
      </c>
      <c r="G105" s="7">
        <f>'FY28'!BB105</f>
        <v>366876.57865378709</v>
      </c>
    </row>
    <row r="106" spans="1:7" x14ac:dyDescent="0.25">
      <c r="A106" s="62" t="s">
        <v>210</v>
      </c>
      <c r="B106" s="7">
        <f>'FY23'!AV106</f>
        <v>57222</v>
      </c>
      <c r="C106" s="7">
        <f>'FY24'!BB106</f>
        <v>123366.44</v>
      </c>
      <c r="D106" s="7">
        <f>'FY25'!BB106</f>
        <v>125833.76880000001</v>
      </c>
      <c r="E106" s="7">
        <f>'FY26'!BB106</f>
        <v>160850.44417600002</v>
      </c>
      <c r="F106" s="7">
        <f>'FY27'!BB106</f>
        <v>164067.45305952002</v>
      </c>
      <c r="G106" s="7">
        <f>'FY28'!BB106</f>
        <v>199848.8021207104</v>
      </c>
    </row>
    <row r="107" spans="1:7" x14ac:dyDescent="0.25">
      <c r="A107" s="62" t="s">
        <v>87</v>
      </c>
      <c r="B107" s="7">
        <f>'FY23'!AV107</f>
        <v>610119.17099999997</v>
      </c>
      <c r="C107" s="7">
        <f>'FY24'!BB107</f>
        <v>622321.55442000006</v>
      </c>
      <c r="D107" s="7">
        <f>'FY25'!BB107</f>
        <v>634767.98550840013</v>
      </c>
      <c r="E107" s="7">
        <f>'FY26'!BB107</f>
        <v>708963.34521856811</v>
      </c>
      <c r="F107" s="7">
        <f>'FY27'!BB107</f>
        <v>723142.61212293955</v>
      </c>
      <c r="G107" s="7">
        <f>'FY28'!BB107</f>
        <v>737605.46436539828</v>
      </c>
    </row>
    <row r="108" spans="1:7" x14ac:dyDescent="0.25">
      <c r="A108" s="62" t="s">
        <v>89</v>
      </c>
      <c r="B108" s="7">
        <f>'FY23'!AV108</f>
        <v>14907137.5</v>
      </c>
      <c r="C108" s="7">
        <f>'FY24'!BB108</f>
        <v>17346900</v>
      </c>
      <c r="D108" s="7">
        <f>'FY25'!BB108</f>
        <v>18305500</v>
      </c>
      <c r="E108" s="7">
        <f>'FY26'!BB108</f>
        <v>19233300</v>
      </c>
      <c r="F108" s="7">
        <f>'FY27'!BB108</f>
        <v>19971675</v>
      </c>
      <c r="G108" s="7">
        <f>'FY28'!BB108</f>
        <v>20661900</v>
      </c>
    </row>
    <row r="109" spans="1:7" x14ac:dyDescent="0.25">
      <c r="A109" s="62" t="s">
        <v>90</v>
      </c>
      <c r="B109" s="7">
        <f>'FY23'!AV109</f>
        <v>0</v>
      </c>
      <c r="C109" s="7">
        <f>'FY24'!BB109</f>
        <v>0</v>
      </c>
      <c r="D109" s="7">
        <f>'FY25'!BB109</f>
        <v>0</v>
      </c>
      <c r="E109" s="7">
        <f>'FY26'!BB109</f>
        <v>0</v>
      </c>
      <c r="F109" s="7">
        <f>'FY27'!BB109</f>
        <v>0</v>
      </c>
      <c r="G109" s="7">
        <f>'FY28'!BB109</f>
        <v>0</v>
      </c>
    </row>
    <row r="110" spans="1:7" x14ac:dyDescent="0.25">
      <c r="A110" s="62" t="s">
        <v>30</v>
      </c>
      <c r="B110" s="7">
        <f>'FY23'!AV110</f>
        <v>1721600</v>
      </c>
      <c r="C110" s="7">
        <f>'FY24'!BB110</f>
        <v>1899300</v>
      </c>
      <c r="D110" s="7">
        <f>'FY25'!BB110</f>
        <v>2013150</v>
      </c>
      <c r="E110" s="7">
        <f>'FY26'!BB110</f>
        <v>2079000</v>
      </c>
      <c r="F110" s="7">
        <f>'FY27'!BB110</f>
        <v>2173750</v>
      </c>
      <c r="G110" s="7">
        <f>'FY28'!BB110</f>
        <v>2244200</v>
      </c>
    </row>
    <row r="111" spans="1:7" x14ac:dyDescent="0.25">
      <c r="A111" s="62" t="s">
        <v>91</v>
      </c>
      <c r="B111" s="7">
        <f>'FY23'!AV111</f>
        <v>733266.62852799997</v>
      </c>
      <c r="C111" s="7">
        <f>'FY24'!BB111</f>
        <v>792931.96109856013</v>
      </c>
      <c r="D111" s="7">
        <f>'FY25'!BB111</f>
        <v>853790.60032053129</v>
      </c>
      <c r="E111" s="7">
        <f>'FY26'!BB111</f>
        <v>870866.41232694197</v>
      </c>
      <c r="F111" s="7">
        <f>'FY27'!BB111</f>
        <v>888283.74057348073</v>
      </c>
      <c r="G111" s="7">
        <f>'FY28'!BB111</f>
        <v>906049.41538495047</v>
      </c>
    </row>
    <row r="112" spans="1:7" x14ac:dyDescent="0.25">
      <c r="A112" s="62" t="s">
        <v>92</v>
      </c>
      <c r="B112" s="7">
        <f>'FY23'!AV112</f>
        <v>450761.43963599997</v>
      </c>
      <c r="C112" s="7">
        <f>'FY24'!BB112</f>
        <v>472834.71697021998</v>
      </c>
      <c r="D112" s="7">
        <f>'FY25'!BB112</f>
        <v>497242.30460587435</v>
      </c>
      <c r="E112" s="7">
        <f>'FY26'!BB112</f>
        <v>499274.04399424186</v>
      </c>
      <c r="F112" s="7">
        <f>'FY27'!BB112</f>
        <v>501330.41817037668</v>
      </c>
      <c r="G112" s="7">
        <f>'FY28'!BB112</f>
        <v>510610.62653378421</v>
      </c>
    </row>
    <row r="113" spans="1:7" x14ac:dyDescent="0.25">
      <c r="A113" s="62" t="s">
        <v>93</v>
      </c>
      <c r="B113" s="7">
        <f>'FY23'!AV113</f>
        <v>1073520</v>
      </c>
      <c r="C113" s="7">
        <f>'FY24'!BB113</f>
        <v>1154700</v>
      </c>
      <c r="D113" s="7">
        <f>'FY25'!BB113</f>
        <v>1300320</v>
      </c>
      <c r="E113" s="7">
        <f>'FY26'!BB113</f>
        <v>1366020</v>
      </c>
      <c r="F113" s="7">
        <f>'FY27'!BB113</f>
        <v>1444960</v>
      </c>
      <c r="G113" s="7">
        <f>'FY28'!BB113</f>
        <v>1448820</v>
      </c>
    </row>
    <row r="114" spans="1:7" x14ac:dyDescent="0.25">
      <c r="A114" s="62" t="s">
        <v>94</v>
      </c>
      <c r="B114" s="7">
        <f>'FY23'!AV114</f>
        <v>407760</v>
      </c>
      <c r="C114" s="7">
        <f>'FY24'!BB114</f>
        <v>449760</v>
      </c>
      <c r="D114" s="7">
        <f>'FY25'!BB114</f>
        <v>456960</v>
      </c>
      <c r="E114" s="7">
        <f>'FY26'!BB114</f>
        <v>492000</v>
      </c>
      <c r="F114" s="7">
        <f>'FY27'!BB114</f>
        <v>499680</v>
      </c>
      <c r="G114" s="7">
        <f>'FY28'!BB114</f>
        <v>507360</v>
      </c>
    </row>
    <row r="115" spans="1:7" x14ac:dyDescent="0.25">
      <c r="A115" s="62" t="s">
        <v>248</v>
      </c>
      <c r="B115" s="7">
        <f>'FY23'!AV115</f>
        <v>60000</v>
      </c>
      <c r="C115" s="7">
        <f>'FY24'!BB115</f>
        <v>112200</v>
      </c>
      <c r="D115" s="7">
        <f>'FY25'!BB115</f>
        <v>114400</v>
      </c>
      <c r="E115" s="7">
        <f>'FY26'!BB115</f>
        <v>116600</v>
      </c>
      <c r="F115" s="7">
        <f>'FY27'!BB115</f>
        <v>121000.00000000001</v>
      </c>
      <c r="G115" s="7">
        <f>'FY28'!BB115</f>
        <v>125399.99999999999</v>
      </c>
    </row>
    <row r="116" spans="1:7" ht="15.75" thickBot="1" x14ac:dyDescent="0.3">
      <c r="A116" s="82" t="s">
        <v>95</v>
      </c>
      <c r="B116" s="83">
        <f>SUM(B103:B115)</f>
        <v>22162365.166363999</v>
      </c>
      <c r="C116" s="83">
        <f>SUM(C103:C115)</f>
        <v>25343112.66823278</v>
      </c>
      <c r="D116" s="83">
        <f t="shared" ref="D116:F116" si="34">SUM(D103:D115)</f>
        <v>26793138.61489369</v>
      </c>
      <c r="E116" s="83">
        <f t="shared" si="34"/>
        <v>28067871.680487808</v>
      </c>
      <c r="F116" s="83">
        <f t="shared" si="34"/>
        <v>29219706.607393816</v>
      </c>
      <c r="G116" s="83">
        <f t="shared" ref="G116" si="35">SUM(G103:G115)</f>
        <v>30128248.039541695</v>
      </c>
    </row>
    <row r="117" spans="1:7" x14ac:dyDescent="0.25">
      <c r="A117" s="84" t="s">
        <v>96</v>
      </c>
      <c r="B117" s="150" t="str">
        <f>B1</f>
        <v xml:space="preserve"> FY 23</v>
      </c>
      <c r="C117" s="150" t="str">
        <f>C1</f>
        <v xml:space="preserve"> FY 24</v>
      </c>
      <c r="D117" s="150" t="str">
        <f>D1</f>
        <v xml:space="preserve"> FY 25</v>
      </c>
      <c r="E117" s="150" t="str">
        <f t="shared" ref="E117:F117" si="36">E1</f>
        <v xml:space="preserve"> FY 26</v>
      </c>
      <c r="F117" s="150" t="str">
        <f t="shared" si="36"/>
        <v xml:space="preserve"> FY 27</v>
      </c>
      <c r="G117" s="150" t="str">
        <f t="shared" ref="G117" si="37">G1</f>
        <v xml:space="preserve"> FY 28</v>
      </c>
    </row>
    <row r="118" spans="1:7" x14ac:dyDescent="0.25">
      <c r="A118" s="62"/>
      <c r="B118" s="7">
        <f>'FY23'!AV118</f>
        <v>0</v>
      </c>
      <c r="C118" s="7">
        <f>'FY24'!BB118</f>
        <v>0</v>
      </c>
      <c r="D118" s="7">
        <f>'FY25'!BB118</f>
        <v>0</v>
      </c>
      <c r="E118" s="7">
        <f>'FY26'!BB118</f>
        <v>0</v>
      </c>
      <c r="F118" s="7">
        <f>'FY27'!BB118</f>
        <v>0</v>
      </c>
      <c r="G118" s="7">
        <f>'FY28'!BB118</f>
        <v>0</v>
      </c>
    </row>
    <row r="119" spans="1:7" x14ac:dyDescent="0.25">
      <c r="A119" s="62" t="s">
        <v>54</v>
      </c>
      <c r="B119" s="7">
        <f>'FY23'!AV119</f>
        <v>238838.38</v>
      </c>
      <c r="C119" s="7">
        <f>'FY24'!BB119</f>
        <v>243615.14760000003</v>
      </c>
      <c r="D119" s="7">
        <f>'FY25'!BB119</f>
        <v>248487.45055200002</v>
      </c>
      <c r="E119" s="7">
        <f>'FY26'!BB119</f>
        <v>253457.19956304002</v>
      </c>
      <c r="F119" s="7">
        <f>'FY27'!BB119</f>
        <v>258526.34355430081</v>
      </c>
      <c r="G119" s="7">
        <f>'FY28'!BB119</f>
        <v>263696.87042538682</v>
      </c>
    </row>
    <row r="120" spans="1:7" x14ac:dyDescent="0.25">
      <c r="A120" s="62" t="s">
        <v>55</v>
      </c>
      <c r="B120" s="7">
        <f>'FY23'!AV120</f>
        <v>138433.4</v>
      </c>
      <c r="C120" s="7">
        <f>'FY24'!BB120</f>
        <v>141202.068</v>
      </c>
      <c r="D120" s="7">
        <f>'FY25'!BB120</f>
        <v>144026.10936</v>
      </c>
      <c r="E120" s="7">
        <f>'FY26'!BB120</f>
        <v>146906.6315472</v>
      </c>
      <c r="F120" s="7">
        <f>'FY27'!BB120</f>
        <v>149844.76417814399</v>
      </c>
      <c r="G120" s="7">
        <f>'FY28'!BB120</f>
        <v>152841.65946170691</v>
      </c>
    </row>
    <row r="121" spans="1:7" x14ac:dyDescent="0.25">
      <c r="A121" s="62" t="s">
        <v>56</v>
      </c>
      <c r="B121" s="7">
        <f>'FY23'!AV121</f>
        <v>215000</v>
      </c>
      <c r="C121" s="7">
        <f>'FY24'!BB121</f>
        <v>219300</v>
      </c>
      <c r="D121" s="7">
        <f>'FY25'!BB121</f>
        <v>223686</v>
      </c>
      <c r="E121" s="7">
        <f>'FY26'!BB121</f>
        <v>228159.72000000003</v>
      </c>
      <c r="F121" s="7">
        <f>'FY27'!BB121</f>
        <v>232722.91440000001</v>
      </c>
      <c r="G121" s="7">
        <f>'FY28'!BB121</f>
        <v>237377.37268799997</v>
      </c>
    </row>
    <row r="122" spans="1:7" x14ac:dyDescent="0.25">
      <c r="A122" s="62" t="s">
        <v>97</v>
      </c>
      <c r="B122" s="7">
        <f>'FY23'!AV122</f>
        <v>17270.64</v>
      </c>
      <c r="C122" s="7">
        <f>'FY24'!BB122</f>
        <v>17616.052800000001</v>
      </c>
      <c r="D122" s="7">
        <f>'FY25'!BB122</f>
        <v>17968.373856000002</v>
      </c>
      <c r="E122" s="7">
        <f>'FY26'!BB122</f>
        <v>18327.741333120004</v>
      </c>
      <c r="F122" s="7">
        <f>'FY27'!BB122</f>
        <v>18694.296159782403</v>
      </c>
      <c r="G122" s="7">
        <f>'FY28'!BB122</f>
        <v>19068.182082978052</v>
      </c>
    </row>
    <row r="123" spans="1:7" x14ac:dyDescent="0.25">
      <c r="A123" s="62" t="s">
        <v>58</v>
      </c>
      <c r="B123" s="7">
        <f>'FY23'!AV123</f>
        <v>128626</v>
      </c>
      <c r="C123" s="7">
        <f>'FY24'!BB123</f>
        <v>131198.52000000002</v>
      </c>
      <c r="D123" s="7">
        <f>'FY25'!BB123</f>
        <v>133822.49040000001</v>
      </c>
      <c r="E123" s="7">
        <f>'FY26'!BB123</f>
        <v>136498.94020800001</v>
      </c>
      <c r="F123" s="7">
        <f>'FY27'!BB123</f>
        <v>139228.91901216001</v>
      </c>
      <c r="G123" s="7">
        <f>'FY28'!BB123</f>
        <v>142013.49739240319</v>
      </c>
    </row>
    <row r="124" spans="1:7" x14ac:dyDescent="0.25">
      <c r="A124" s="62" t="s">
        <v>98</v>
      </c>
      <c r="B124" s="7">
        <f>'FY23'!AV124</f>
        <v>254755.022</v>
      </c>
      <c r="C124" s="7">
        <f>'FY24'!BB124</f>
        <v>259850.12244000001</v>
      </c>
      <c r="D124" s="7">
        <f>'FY25'!BB124</f>
        <v>300047.12488880003</v>
      </c>
      <c r="E124" s="7">
        <f>'FY26'!BB124</f>
        <v>306048.06738657603</v>
      </c>
      <c r="F124" s="7">
        <f>'FY27'!BB124</f>
        <v>312169.0287343075</v>
      </c>
      <c r="G124" s="7">
        <f>'FY28'!BB124</f>
        <v>318412.40930899372</v>
      </c>
    </row>
    <row r="125" spans="1:7" x14ac:dyDescent="0.25">
      <c r="A125" s="62" t="s">
        <v>99</v>
      </c>
      <c r="B125" s="7">
        <f>'FY23'!AV125</f>
        <v>0</v>
      </c>
      <c r="C125" s="7">
        <f>'FY24'!BB125</f>
        <v>0</v>
      </c>
      <c r="D125" s="7">
        <f>'FY25'!BB125</f>
        <v>0</v>
      </c>
      <c r="E125" s="7">
        <f>'FY26'!BB125</f>
        <v>0</v>
      </c>
      <c r="F125" s="7">
        <f>'FY27'!BB125</f>
        <v>0</v>
      </c>
      <c r="G125" s="7">
        <f>'FY28'!BB125</f>
        <v>0</v>
      </c>
    </row>
    <row r="126" spans="1:7" x14ac:dyDescent="0.25">
      <c r="A126" s="62" t="s">
        <v>100</v>
      </c>
      <c r="B126" s="7">
        <f>'FY23'!AV126</f>
        <v>156240</v>
      </c>
      <c r="C126" s="7">
        <f>'FY24'!BB126</f>
        <v>186120</v>
      </c>
      <c r="D126" s="7">
        <f>'FY25'!BB126</f>
        <v>190080</v>
      </c>
      <c r="E126" s="7">
        <f>'FY26'!BB126</f>
        <v>193680</v>
      </c>
      <c r="F126" s="7">
        <f>'FY27'!BB126</f>
        <v>197550</v>
      </c>
      <c r="G126" s="7">
        <f>'FY28'!BB126</f>
        <v>200880</v>
      </c>
    </row>
    <row r="127" spans="1:7" x14ac:dyDescent="0.25">
      <c r="A127" s="62" t="s">
        <v>101</v>
      </c>
      <c r="B127" s="7">
        <f>'FY23'!AV127</f>
        <v>142200</v>
      </c>
      <c r="C127" s="7">
        <f>'FY24'!BB127</f>
        <v>164700</v>
      </c>
      <c r="D127" s="7">
        <f>'FY25'!BB127</f>
        <v>164700</v>
      </c>
      <c r="E127" s="7">
        <f>'FY26'!BB127</f>
        <v>164700</v>
      </c>
      <c r="F127" s="7">
        <f>'FY27'!BB127</f>
        <v>164700</v>
      </c>
      <c r="G127" s="7">
        <f>'FY28'!BB127</f>
        <v>164700</v>
      </c>
    </row>
    <row r="128" spans="1:7" ht="15.75" thickBot="1" x14ac:dyDescent="0.3">
      <c r="A128" s="82" t="s">
        <v>102</v>
      </c>
      <c r="B128" s="87">
        <f>SUM(B118:B127)</f>
        <v>1291363.442</v>
      </c>
      <c r="C128" s="87">
        <f>SUM(C118:C127)</f>
        <v>1363601.91084</v>
      </c>
      <c r="D128" s="87">
        <f>SUM(D118:D127)</f>
        <v>1422817.5490568001</v>
      </c>
      <c r="E128" s="87">
        <f t="shared" ref="E128:F128" si="38">SUM(E118:E127)</f>
        <v>1447778.3000379361</v>
      </c>
      <c r="F128" s="87">
        <f t="shared" si="38"/>
        <v>1473436.2660386949</v>
      </c>
      <c r="G128" s="87">
        <f t="shared" ref="G128" si="39">SUM(G118:G127)</f>
        <v>1498989.9913594685</v>
      </c>
    </row>
    <row r="129" spans="1:7" ht="15.75" thickBot="1" x14ac:dyDescent="0.3">
      <c r="A129" s="89" t="s">
        <v>103</v>
      </c>
      <c r="B129" s="90">
        <f>B116+B128</f>
        <v>23453728.608364001</v>
      </c>
      <c r="C129" s="90">
        <f>C116+C128</f>
        <v>26706714.579072781</v>
      </c>
      <c r="D129" s="90">
        <f>D116+D128</f>
        <v>28215956.163950488</v>
      </c>
      <c r="E129" s="90">
        <f t="shared" ref="E129" si="40">E116+E128</f>
        <v>29515649.980525743</v>
      </c>
      <c r="F129" s="90">
        <f>F116+F128</f>
        <v>30693142.87343251</v>
      </c>
      <c r="G129" s="90">
        <f>G116+G128</f>
        <v>31627238.030901164</v>
      </c>
    </row>
    <row r="130" spans="1:7" x14ac:dyDescent="0.25">
      <c r="A130" s="62" t="s">
        <v>104</v>
      </c>
      <c r="B130" s="7">
        <f>'FY23'!AV130</f>
        <v>6962484.2609882904</v>
      </c>
      <c r="C130" s="7">
        <f>'FY24'!BB130</f>
        <v>7945247.5872741528</v>
      </c>
      <c r="D130" s="7">
        <f>'FY25'!BB130</f>
        <v>8394246.9587752689</v>
      </c>
      <c r="E130" s="7">
        <f>'FY26'!BB130</f>
        <v>8780905.8692064099</v>
      </c>
      <c r="F130" s="7">
        <f>'FY27'!BB130</f>
        <v>9131210.0048461705</v>
      </c>
      <c r="G130" s="7">
        <f>'FY28'!BB130</f>
        <v>9409103.314193096</v>
      </c>
    </row>
    <row r="131" spans="1:7" x14ac:dyDescent="0.25">
      <c r="A131" s="62" t="s">
        <v>105</v>
      </c>
      <c r="B131" s="7">
        <f>'FY23'!AV131</f>
        <v>4079039.888288368</v>
      </c>
      <c r="C131" s="7">
        <f>'FY24'!BB131</f>
        <v>4807208.6242331006</v>
      </c>
      <c r="D131" s="7">
        <f>'FY25'!BB131</f>
        <v>5149411.9999209633</v>
      </c>
      <c r="E131" s="7">
        <f>'FY26'!BB131</f>
        <v>5460395.2463972624</v>
      </c>
      <c r="F131" s="7">
        <f>'FY27'!BB131</f>
        <v>5754964.2887685951</v>
      </c>
      <c r="G131" s="7">
        <f>'FY28'!BB131</f>
        <v>6009175.2258712221</v>
      </c>
    </row>
    <row r="132" spans="1:7" x14ac:dyDescent="0.25">
      <c r="A132" s="62" t="s">
        <v>249</v>
      </c>
      <c r="B132" s="7">
        <f>'FY23'!AV132</f>
        <v>409889.4</v>
      </c>
      <c r="C132" s="7">
        <f>'FY24'!BB132</f>
        <v>425586.9</v>
      </c>
      <c r="D132" s="7">
        <f>'FY25'!BB132</f>
        <v>474591.9</v>
      </c>
      <c r="E132" s="7">
        <f>'FY26'!BB132</f>
        <v>486239.9</v>
      </c>
      <c r="F132" s="7">
        <f>'FY27'!BB132</f>
        <v>494895.9</v>
      </c>
      <c r="G132" s="7">
        <f>'FY28'!BB132</f>
        <v>500263.9</v>
      </c>
    </row>
    <row r="133" spans="1:7" x14ac:dyDescent="0.25">
      <c r="A133" s="62" t="s">
        <v>250</v>
      </c>
      <c r="B133" s="7">
        <f>'FY23'!AV133</f>
        <v>76687.5</v>
      </c>
      <c r="C133" s="7">
        <f>'FY24'!BB133</f>
        <v>85937.5</v>
      </c>
      <c r="D133" s="7">
        <f>'FY25'!BB133</f>
        <v>88562.5</v>
      </c>
      <c r="E133" s="7">
        <f>'FY26'!BB133</f>
        <v>90437.5</v>
      </c>
      <c r="F133" s="7">
        <f>'FY27'!BB133</f>
        <v>91750</v>
      </c>
      <c r="G133" s="7">
        <f>'FY28'!BB133</f>
        <v>92500</v>
      </c>
    </row>
    <row r="134" spans="1:7" x14ac:dyDescent="0.25">
      <c r="A134" s="62" t="s">
        <v>107</v>
      </c>
      <c r="B134" s="7">
        <f>'FY23'!AV134</f>
        <v>123800</v>
      </c>
      <c r="C134" s="7">
        <f>'FY24'!BB134</f>
        <v>40000</v>
      </c>
      <c r="D134" s="7">
        <f>'FY25'!BB134</f>
        <v>43000</v>
      </c>
      <c r="E134" s="7">
        <f>'FY26'!BB134</f>
        <v>55000</v>
      </c>
      <c r="F134" s="7">
        <f>'FY27'!BB134</f>
        <v>55000</v>
      </c>
      <c r="G134" s="7">
        <f>'FY28'!BB134</f>
        <v>55000</v>
      </c>
    </row>
    <row r="135" spans="1:7" x14ac:dyDescent="0.25">
      <c r="A135" s="62" t="s">
        <v>251</v>
      </c>
      <c r="B135" s="7">
        <f>'FY23'!AV135</f>
        <v>244375</v>
      </c>
      <c r="C135" s="7">
        <f>'FY24'!BB135</f>
        <v>249875</v>
      </c>
      <c r="D135" s="7">
        <f>'FY25'!BB135</f>
        <v>277625</v>
      </c>
      <c r="E135" s="7">
        <f>'FY26'!BB135</f>
        <v>284875</v>
      </c>
      <c r="F135" s="7">
        <f>'FY27'!BB135</f>
        <v>290125</v>
      </c>
      <c r="G135" s="7">
        <f>'FY28'!BB135</f>
        <v>293125</v>
      </c>
    </row>
    <row r="136" spans="1:7" x14ac:dyDescent="0.25">
      <c r="A136" s="62" t="s">
        <v>108</v>
      </c>
      <c r="B136" s="7">
        <f>'FY23'!AV136</f>
        <v>45500</v>
      </c>
      <c r="C136" s="7">
        <f>'FY24'!BB136</f>
        <v>55500</v>
      </c>
      <c r="D136" s="7">
        <f>'FY25'!BB136</f>
        <v>67500</v>
      </c>
      <c r="E136" s="7">
        <f>'FY26'!BB136</f>
        <v>67500</v>
      </c>
      <c r="F136" s="7">
        <f>'FY27'!BB136</f>
        <v>67500</v>
      </c>
      <c r="G136" s="7">
        <f>'FY28'!BB136</f>
        <v>67500</v>
      </c>
    </row>
    <row r="137" spans="1:7" x14ac:dyDescent="0.25">
      <c r="A137" s="62" t="s">
        <v>109</v>
      </c>
      <c r="B137" s="7">
        <f>'FY23'!AV137</f>
        <v>476675</v>
      </c>
      <c r="C137" s="7">
        <f>'FY24'!BB137</f>
        <v>523050</v>
      </c>
      <c r="D137" s="7">
        <f>'FY25'!BB137</f>
        <v>544825</v>
      </c>
      <c r="E137" s="7">
        <f>'FY26'!BB137</f>
        <v>563200</v>
      </c>
      <c r="F137" s="7">
        <f>'FY27'!BB137</f>
        <v>574575</v>
      </c>
      <c r="G137" s="7">
        <f>'FY28'!BB137</f>
        <v>584200</v>
      </c>
    </row>
    <row r="138" spans="1:7" ht="15.75" thickBot="1" x14ac:dyDescent="0.3">
      <c r="A138" s="91" t="s">
        <v>110</v>
      </c>
      <c r="B138" s="87">
        <f>SUM(B130:B137)</f>
        <v>12418451.049276659</v>
      </c>
      <c r="C138" s="87">
        <f>SUM(C130:C137)</f>
        <v>14132405.611507254</v>
      </c>
      <c r="D138" s="87">
        <f>SUM(D130:D137)</f>
        <v>15039763.358696232</v>
      </c>
      <c r="E138" s="87">
        <f t="shared" ref="E138:F138" si="41">SUM(E130:E137)</f>
        <v>15788553.515603673</v>
      </c>
      <c r="F138" s="87">
        <f t="shared" si="41"/>
        <v>16460020.193614766</v>
      </c>
      <c r="G138" s="87">
        <f t="shared" ref="G138" si="42">SUM(G130:G137)</f>
        <v>17010867.440064318</v>
      </c>
    </row>
    <row r="139" spans="1:7" ht="15.75" thickBot="1" x14ac:dyDescent="0.3">
      <c r="A139" s="95" t="s">
        <v>111</v>
      </c>
      <c r="B139" s="90">
        <f>B129+B138</f>
        <v>35872179.657640658</v>
      </c>
      <c r="C139" s="90">
        <f>C129+C138</f>
        <v>40839120.190580033</v>
      </c>
      <c r="D139" s="90">
        <f>D129+D138</f>
        <v>43255719.522646718</v>
      </c>
      <c r="E139" s="90">
        <f t="shared" ref="E139:F139" si="43">E129+E138</f>
        <v>45304203.496129416</v>
      </c>
      <c r="F139" s="90">
        <f t="shared" si="43"/>
        <v>47153163.067047276</v>
      </c>
      <c r="G139" s="90">
        <f t="shared" ref="G139" si="44">G129+G138</f>
        <v>48638105.470965482</v>
      </c>
    </row>
    <row r="140" spans="1:7" x14ac:dyDescent="0.25">
      <c r="A140" s="97" t="s">
        <v>112</v>
      </c>
      <c r="B140" s="149" t="str">
        <f>B1</f>
        <v xml:space="preserve"> FY 23</v>
      </c>
      <c r="C140" s="149" t="str">
        <f>C1</f>
        <v xml:space="preserve"> FY 24</v>
      </c>
      <c r="D140" s="149" t="str">
        <f>D1</f>
        <v xml:space="preserve"> FY 25</v>
      </c>
      <c r="E140" s="149" t="str">
        <f t="shared" ref="E140:F140" si="45">E1</f>
        <v xml:space="preserve"> FY 26</v>
      </c>
      <c r="F140" s="149" t="str">
        <f t="shared" si="45"/>
        <v xml:space="preserve"> FY 27</v>
      </c>
      <c r="G140" s="149" t="str">
        <f t="shared" ref="G140" si="46">G1</f>
        <v xml:space="preserve"> FY 28</v>
      </c>
    </row>
    <row r="141" spans="1:7" x14ac:dyDescent="0.25">
      <c r="A141" s="98" t="s">
        <v>113</v>
      </c>
      <c r="B141" s="7">
        <f>'FY23'!AV141</f>
        <v>1064720</v>
      </c>
      <c r="C141" s="7">
        <f>'FY24'!BB141</f>
        <v>1254275</v>
      </c>
      <c r="D141" s="7">
        <f>'FY25'!BB141</f>
        <v>1403900</v>
      </c>
      <c r="E141" s="7">
        <f>'FY26'!BB141</f>
        <v>1470900</v>
      </c>
      <c r="F141" s="7">
        <f>'FY27'!BB141</f>
        <v>1525500</v>
      </c>
      <c r="G141" s="7">
        <f>'FY28'!BB141</f>
        <v>1551350</v>
      </c>
    </row>
    <row r="142" spans="1:7" x14ac:dyDescent="0.25">
      <c r="A142" s="99" t="s">
        <v>252</v>
      </c>
      <c r="B142" s="7">
        <f>'FY23'!AV142</f>
        <v>308000</v>
      </c>
      <c r="C142" s="7">
        <f>'FY24'!BB142</f>
        <v>434320</v>
      </c>
      <c r="D142" s="7">
        <f>'FY25'!BB142</f>
        <v>476840</v>
      </c>
      <c r="E142" s="7">
        <f>'FY26'!BB142</f>
        <v>531400</v>
      </c>
      <c r="F142" s="7">
        <f>'FY27'!BB142</f>
        <v>621200</v>
      </c>
      <c r="G142" s="7">
        <f>'FY28'!BB142</f>
        <v>651200</v>
      </c>
    </row>
    <row r="143" spans="1:7" x14ac:dyDescent="0.25">
      <c r="A143" s="62" t="s">
        <v>115</v>
      </c>
      <c r="B143" s="7">
        <f>'FY23'!AV143</f>
        <v>386400</v>
      </c>
      <c r="C143" s="7">
        <f>'FY24'!BB143</f>
        <v>330000</v>
      </c>
      <c r="D143" s="7">
        <f>'FY25'!BB143</f>
        <v>465000</v>
      </c>
      <c r="E143" s="7">
        <f>'FY26'!BB143</f>
        <v>470000</v>
      </c>
      <c r="F143" s="7">
        <f>'FY27'!BB143</f>
        <v>507000</v>
      </c>
      <c r="G143" s="7">
        <f>'FY28'!BB143</f>
        <v>455000</v>
      </c>
    </row>
    <row r="144" spans="1:7" x14ac:dyDescent="0.25">
      <c r="A144" s="62" t="s">
        <v>116</v>
      </c>
      <c r="B144" s="7">
        <f>'FY23'!AV144</f>
        <v>95000</v>
      </c>
      <c r="C144" s="7">
        <f>'FY24'!BB144</f>
        <v>94250</v>
      </c>
      <c r="D144" s="7">
        <f>'FY25'!BB144</f>
        <v>103000</v>
      </c>
      <c r="E144" s="7">
        <f>'FY26'!BB144</f>
        <v>105000</v>
      </c>
      <c r="F144" s="7">
        <f>'FY27'!BB144</f>
        <v>103000</v>
      </c>
      <c r="G144" s="7">
        <f>'FY28'!BB144</f>
        <v>103000</v>
      </c>
    </row>
    <row r="145" spans="1:16" x14ac:dyDescent="0.25">
      <c r="A145" s="62" t="s">
        <v>117</v>
      </c>
      <c r="B145" s="7">
        <f>'FY23'!AV145</f>
        <v>106604</v>
      </c>
      <c r="C145" s="7">
        <f>'FY24'!BB145</f>
        <v>121440</v>
      </c>
      <c r="D145" s="7">
        <f>'FY25'!BB145</f>
        <v>127114</v>
      </c>
      <c r="E145" s="7">
        <f>'FY26'!BB145</f>
        <v>131244</v>
      </c>
      <c r="F145" s="7">
        <f>'FY27'!BB145</f>
        <v>133890</v>
      </c>
      <c r="G145" s="7">
        <f>'FY28'!BB145</f>
        <v>135816</v>
      </c>
    </row>
    <row r="146" spans="1:16" x14ac:dyDescent="0.25">
      <c r="A146" s="62" t="s">
        <v>118</v>
      </c>
      <c r="B146" s="7">
        <f>'FY23'!AV146</f>
        <v>218544</v>
      </c>
      <c r="C146" s="7">
        <f>'FY24'!BB146</f>
        <v>249495</v>
      </c>
      <c r="D146" s="7">
        <f>'FY25'!BB146</f>
        <v>261254</v>
      </c>
      <c r="E146" s="7">
        <f>'FY26'!BB146</f>
        <v>269814</v>
      </c>
      <c r="F146" s="7">
        <f>'FY27'!BB146</f>
        <v>275300</v>
      </c>
      <c r="G146" s="7">
        <f>'FY28'!BB146</f>
        <v>279291</v>
      </c>
    </row>
    <row r="147" spans="1:16" x14ac:dyDescent="0.25">
      <c r="A147" s="62" t="s">
        <v>119</v>
      </c>
      <c r="B147" s="7">
        <f>'FY23'!AV147</f>
        <v>32028</v>
      </c>
      <c r="C147" s="7">
        <f>'FY24'!BB147</f>
        <v>35891.25</v>
      </c>
      <c r="D147" s="7">
        <f>'FY25'!BB147</f>
        <v>37298</v>
      </c>
      <c r="E147" s="7">
        <f>'FY26'!BB147</f>
        <v>38275.5</v>
      </c>
      <c r="F147" s="7">
        <f>'FY27'!BB147</f>
        <v>38802.5</v>
      </c>
      <c r="G147" s="7">
        <f>'FY28'!BB147</f>
        <v>39308.25</v>
      </c>
    </row>
    <row r="148" spans="1:16" x14ac:dyDescent="0.25">
      <c r="A148" s="62" t="s">
        <v>120</v>
      </c>
      <c r="B148" s="7">
        <f>'FY23'!AV148</f>
        <v>24492</v>
      </c>
      <c r="C148" s="7">
        <f>'FY24'!BB148</f>
        <v>27446.25</v>
      </c>
      <c r="D148" s="7">
        <f>'FY25'!BB148</f>
        <v>28522</v>
      </c>
      <c r="E148" s="7">
        <f>'FY26'!BB148</f>
        <v>29269.5</v>
      </c>
      <c r="F148" s="7">
        <f>'FY27'!BB148</f>
        <v>29672.5</v>
      </c>
      <c r="G148" s="7">
        <f>'FY28'!BB148</f>
        <v>30059.25</v>
      </c>
    </row>
    <row r="149" spans="1:16" x14ac:dyDescent="0.25">
      <c r="A149" s="62" t="s">
        <v>121</v>
      </c>
      <c r="B149" s="7">
        <f>'FY23'!AV149</f>
        <v>96105</v>
      </c>
      <c r="C149" s="7">
        <f>'FY24'!BB149</f>
        <v>110943.25406260707</v>
      </c>
      <c r="D149" s="7">
        <f>'FY25'!BB149</f>
        <v>113925.70165618998</v>
      </c>
      <c r="E149" s="7">
        <f>'FY26'!BB149</f>
        <v>118800.166629452</v>
      </c>
      <c r="F149" s="7">
        <f>'FY27'!BB149</f>
        <v>122195.27625512045</v>
      </c>
      <c r="G149" s="7">
        <f>'FY28'!BB149</f>
        <v>124042.32170966591</v>
      </c>
    </row>
    <row r="150" spans="1:16" ht="15.75" thickBot="1" x14ac:dyDescent="0.3">
      <c r="A150" s="62" t="s">
        <v>122</v>
      </c>
      <c r="B150" s="7">
        <f>'FY23'!AV150</f>
        <v>90000</v>
      </c>
      <c r="C150" s="7">
        <f>'FY24'!BB150</f>
        <v>100000</v>
      </c>
      <c r="D150" s="7">
        <f>'FY25'!BB150</f>
        <v>110000</v>
      </c>
      <c r="E150" s="7">
        <f>'FY26'!BB150</f>
        <v>120000</v>
      </c>
      <c r="F150" s="7">
        <f>'FY27'!BB150</f>
        <v>130000</v>
      </c>
      <c r="G150" s="7">
        <f>'FY28'!BB150</f>
        <v>145000</v>
      </c>
    </row>
    <row r="151" spans="1:16" ht="15.75" thickBot="1" x14ac:dyDescent="0.3">
      <c r="A151" s="95" t="s">
        <v>123</v>
      </c>
      <c r="B151" s="92">
        <f t="shared" ref="B151:G151" si="47">SUM(B141:B150)</f>
        <v>2421893</v>
      </c>
      <c r="C151" s="92">
        <f t="shared" si="47"/>
        <v>2758060.754062607</v>
      </c>
      <c r="D151" s="92">
        <f t="shared" si="47"/>
        <v>3126853.7016561897</v>
      </c>
      <c r="E151" s="92">
        <f t="shared" si="47"/>
        <v>3284703.1666294518</v>
      </c>
      <c r="F151" s="92">
        <f t="shared" si="47"/>
        <v>3486560.2762551205</v>
      </c>
      <c r="G151" s="92">
        <f t="shared" si="47"/>
        <v>3514066.8217096659</v>
      </c>
    </row>
    <row r="152" spans="1:16" x14ac:dyDescent="0.25">
      <c r="A152" s="101" t="s">
        <v>124</v>
      </c>
      <c r="B152" s="149" t="str">
        <f t="shared" ref="B152:G152" si="48">B1</f>
        <v xml:space="preserve"> FY 23</v>
      </c>
      <c r="C152" s="149" t="str">
        <f t="shared" si="48"/>
        <v xml:space="preserve"> FY 24</v>
      </c>
      <c r="D152" s="149" t="str">
        <f t="shared" si="48"/>
        <v xml:space="preserve"> FY 25</v>
      </c>
      <c r="E152" s="149" t="str">
        <f t="shared" si="48"/>
        <v xml:space="preserve"> FY 26</v>
      </c>
      <c r="F152" s="149" t="str">
        <f t="shared" si="48"/>
        <v xml:space="preserve"> FY 27</v>
      </c>
      <c r="G152" s="149" t="str">
        <f t="shared" si="48"/>
        <v xml:space="preserve"> FY 28</v>
      </c>
    </row>
    <row r="153" spans="1:16" x14ac:dyDescent="0.25">
      <c r="A153" s="62" t="s">
        <v>125</v>
      </c>
      <c r="B153" s="7">
        <f>'FY23'!AV153</f>
        <v>74500</v>
      </c>
      <c r="C153" s="7">
        <f>'FY24'!BB153</f>
        <v>78280</v>
      </c>
      <c r="D153" s="7">
        <f>'FY25'!BB153</f>
        <v>92621.650000000009</v>
      </c>
      <c r="E153" s="7">
        <f>'FY26'!BB153</f>
        <v>95400.299500000008</v>
      </c>
      <c r="F153" s="7">
        <f>'FY27'!BB153</f>
        <v>98262.308485000016</v>
      </c>
      <c r="G153" s="7">
        <f>'FY28'!BB153</f>
        <v>98515.333135000023</v>
      </c>
    </row>
    <row r="154" spans="1:16" x14ac:dyDescent="0.25">
      <c r="A154" s="62" t="s">
        <v>126</v>
      </c>
      <c r="B154" s="7">
        <f>'FY23'!AV154</f>
        <v>918563</v>
      </c>
      <c r="C154" s="7">
        <f>'FY24'!BB154</f>
        <v>1348425</v>
      </c>
      <c r="D154" s="7">
        <f>'FY25'!BB154</f>
        <v>1513410</v>
      </c>
      <c r="E154" s="7">
        <f>'FY26'!BB154</f>
        <v>1607760</v>
      </c>
      <c r="F154" s="7">
        <f>'FY27'!BB154</f>
        <v>1720350</v>
      </c>
      <c r="G154" s="7">
        <f>'FY28'!BB154</f>
        <v>1705735</v>
      </c>
      <c r="I154">
        <f>B154/B19</f>
        <v>121.88999469214437</v>
      </c>
      <c r="J154">
        <f t="shared" ref="J154:P154" si="49">C154/C19</f>
        <v>156.52060359837492</v>
      </c>
      <c r="K154">
        <f t="shared" si="49"/>
        <v>167.67228007976956</v>
      </c>
      <c r="L154">
        <f t="shared" si="49"/>
        <v>172.39545357066265</v>
      </c>
      <c r="M154">
        <f t="shared" si="49"/>
        <v>180.70903361344537</v>
      </c>
      <c r="N154">
        <f t="shared" si="49"/>
        <v>176.59540325085413</v>
      </c>
      <c r="O154" t="e">
        <f t="shared" si="49"/>
        <v>#DIV/0!</v>
      </c>
      <c r="P154">
        <f t="shared" si="49"/>
        <v>0.45996224412129949</v>
      </c>
    </row>
    <row r="155" spans="1:16" x14ac:dyDescent="0.25">
      <c r="A155" s="62" t="s">
        <v>253</v>
      </c>
      <c r="B155" s="7">
        <f>'FY23'!AV155</f>
        <v>79200</v>
      </c>
      <c r="C155" s="7">
        <f>'FY24'!BB155</f>
        <v>170000</v>
      </c>
      <c r="D155" s="7">
        <f>'FY25'!BB155</f>
        <v>275000</v>
      </c>
      <c r="E155" s="7">
        <f>'FY26'!BB155</f>
        <v>368000</v>
      </c>
      <c r="F155" s="7">
        <f>'FY27'!BB155</f>
        <v>468000</v>
      </c>
      <c r="G155" s="7">
        <f>'FY28'!BB155</f>
        <v>492000</v>
      </c>
    </row>
    <row r="156" spans="1:16" x14ac:dyDescent="0.25">
      <c r="A156" s="62" t="s">
        <v>254</v>
      </c>
      <c r="B156" s="7">
        <f>'FY23'!AV156</f>
        <v>88000</v>
      </c>
      <c r="C156" s="7">
        <f>'FY24'!BB156</f>
        <v>255000</v>
      </c>
      <c r="D156" s="7">
        <f>'FY25'!BB156</f>
        <v>375000</v>
      </c>
      <c r="E156" s="7">
        <f>'FY26'!BB156</f>
        <v>480000</v>
      </c>
      <c r="F156" s="7">
        <f>'FY27'!BB156</f>
        <v>585000</v>
      </c>
      <c r="G156" s="7">
        <f>'FY28'!BB156</f>
        <v>615000</v>
      </c>
    </row>
    <row r="157" spans="1:16" x14ac:dyDescent="0.25">
      <c r="A157" s="62" t="s">
        <v>128</v>
      </c>
      <c r="B157" s="7">
        <f>'FY23'!AV157</f>
        <v>3391200</v>
      </c>
      <c r="C157" s="7">
        <f>'FY24'!BB157</f>
        <v>3747750</v>
      </c>
      <c r="D157" s="7">
        <f>'FY25'!BB157</f>
        <v>4061700</v>
      </c>
      <c r="E157" s="7">
        <f>'FY26'!BB157</f>
        <v>4196700</v>
      </c>
      <c r="F157" s="7">
        <f>'FY27'!BB157</f>
        <v>4284000</v>
      </c>
      <c r="G157" s="7">
        <f>'FY28'!BB157</f>
        <v>4346550</v>
      </c>
    </row>
    <row r="158" spans="1:16" x14ac:dyDescent="0.25">
      <c r="A158" s="62" t="s">
        <v>129</v>
      </c>
      <c r="B158" s="7">
        <f>'FY23'!AV158</f>
        <v>135320</v>
      </c>
      <c r="C158" s="7">
        <f>'FY24'!BB158</f>
        <v>150640</v>
      </c>
      <c r="D158" s="7">
        <f>'FY25'!BB158</f>
        <v>155920</v>
      </c>
      <c r="E158" s="7">
        <f>'FY26'!BB158</f>
        <v>159520</v>
      </c>
      <c r="F158" s="7">
        <f>'FY27'!BB158</f>
        <v>162040</v>
      </c>
      <c r="G158" s="7">
        <f>'FY28'!BB158</f>
        <v>163480</v>
      </c>
    </row>
    <row r="159" spans="1:16" s="212" customFormat="1" x14ac:dyDescent="0.25">
      <c r="A159" s="62" t="s">
        <v>130</v>
      </c>
      <c r="B159" s="7">
        <f>'FY23'!AV159</f>
        <v>57500</v>
      </c>
      <c r="C159" s="7">
        <f>'FY24'!BB159</f>
        <v>72100</v>
      </c>
      <c r="D159" s="7">
        <f>'FY25'!BB159</f>
        <v>86451.75</v>
      </c>
      <c r="E159" s="7">
        <f>'FY26'!BB159</f>
        <v>89022.802500000005</v>
      </c>
      <c r="F159" s="7">
        <f>'FY27'!BB159</f>
        <v>91659.756575000007</v>
      </c>
      <c r="G159" s="7">
        <f>'FY28'!BB159</f>
        <v>94364.549272250006</v>
      </c>
    </row>
    <row r="160" spans="1:16" x14ac:dyDescent="0.25">
      <c r="A160" s="62" t="s">
        <v>131</v>
      </c>
      <c r="B160" s="7">
        <f>'FY23'!AV160</f>
        <v>28500</v>
      </c>
      <c r="C160" s="7">
        <f>'FY24'!BB160</f>
        <v>37500</v>
      </c>
      <c r="D160" s="7">
        <f>'FY25'!BB160</f>
        <v>37500</v>
      </c>
      <c r="E160" s="7">
        <f>'FY26'!BB160</f>
        <v>37500</v>
      </c>
      <c r="F160" s="7">
        <f>'FY27'!BB160</f>
        <v>37500</v>
      </c>
      <c r="G160" s="7">
        <f>'FY28'!BB160</f>
        <v>37500</v>
      </c>
    </row>
    <row r="161" spans="1:7" x14ac:dyDescent="0.25">
      <c r="A161" s="62" t="s">
        <v>132</v>
      </c>
      <c r="B161" s="7">
        <f>'FY23'!AV161</f>
        <v>339120</v>
      </c>
      <c r="C161" s="7">
        <f>'FY24'!BB161</f>
        <v>387165</v>
      </c>
      <c r="D161" s="7">
        <f>'FY25'!BB161</f>
        <v>405420</v>
      </c>
      <c r="E161" s="7">
        <f>'FY26'!BB161</f>
        <v>418710</v>
      </c>
      <c r="F161" s="7">
        <f>'FY27'!BB161</f>
        <v>427230</v>
      </c>
      <c r="G161" s="7">
        <f>'FY28'!BB161</f>
        <v>433425</v>
      </c>
    </row>
    <row r="162" spans="1:7" x14ac:dyDescent="0.25">
      <c r="A162" s="62" t="s">
        <v>133</v>
      </c>
      <c r="B162" s="7">
        <f>'FY23'!AV162</f>
        <v>46500</v>
      </c>
      <c r="C162" s="7">
        <f>'FY24'!BB162</f>
        <v>66500</v>
      </c>
      <c r="D162" s="7">
        <f>'FY25'!BB162</f>
        <v>67000</v>
      </c>
      <c r="E162" s="7">
        <f>'FY26'!BB162</f>
        <v>67000</v>
      </c>
      <c r="F162" s="7">
        <f>'FY27'!BB162</f>
        <v>67000</v>
      </c>
      <c r="G162" s="7">
        <f>'FY28'!BB162</f>
        <v>67000</v>
      </c>
    </row>
    <row r="163" spans="1:7" x14ac:dyDescent="0.25">
      <c r="A163" s="62" t="s">
        <v>134</v>
      </c>
      <c r="B163" s="7">
        <f>'FY23'!AV163</f>
        <v>695855.91250000009</v>
      </c>
      <c r="C163" s="7">
        <f>'FY24'!BB163</f>
        <v>795207.46256249992</v>
      </c>
      <c r="D163" s="7">
        <f>'FY25'!BB163</f>
        <v>843819.02671489993</v>
      </c>
      <c r="E163" s="7">
        <f>'FY26'!BB163</f>
        <v>883062.90008664143</v>
      </c>
      <c r="F163" s="7">
        <f>'FY27'!BB163</f>
        <v>913007.73765959567</v>
      </c>
      <c r="G163" s="7">
        <f>'FY28'!BB163</f>
        <v>938348.26626824494</v>
      </c>
    </row>
    <row r="164" spans="1:7" x14ac:dyDescent="0.25">
      <c r="A164" s="62" t="s">
        <v>135</v>
      </c>
      <c r="B164" s="7">
        <f>'FY23'!AV164</f>
        <v>274703.44</v>
      </c>
      <c r="C164" s="7">
        <f>'FY24'!BB164</f>
        <v>318082.985025</v>
      </c>
      <c r="D164" s="7">
        <f>'FY25'!BB164</f>
        <v>337527.61068595998</v>
      </c>
      <c r="E164" s="7">
        <f>'FY26'!BB164</f>
        <v>353225.16003465658</v>
      </c>
      <c r="F164" s="7">
        <f>'FY27'!BB164</f>
        <v>365203.09506383823</v>
      </c>
      <c r="G164" s="7">
        <f>'FY28'!BB164</f>
        <v>375339.30650729802</v>
      </c>
    </row>
    <row r="165" spans="1:7" x14ac:dyDescent="0.25">
      <c r="A165" s="62" t="s">
        <v>136</v>
      </c>
      <c r="B165" s="7">
        <f>'FY23'!AV165</f>
        <v>274703.44</v>
      </c>
      <c r="C165" s="7">
        <f>'FY24'!BB165</f>
        <v>318082.985025</v>
      </c>
      <c r="D165" s="7">
        <f>'FY25'!BB165</f>
        <v>337527.61068595998</v>
      </c>
      <c r="E165" s="7">
        <f>'FY26'!BB165</f>
        <v>353225.16003465658</v>
      </c>
      <c r="F165" s="7">
        <f>'FY27'!BB165</f>
        <v>365203.09506383823</v>
      </c>
      <c r="G165" s="7">
        <f>'FY28'!BB165</f>
        <v>375339.30650729802</v>
      </c>
    </row>
    <row r="166" spans="1:7" ht="15.75" thickBot="1" x14ac:dyDescent="0.3">
      <c r="A166" s="62" t="s">
        <v>137</v>
      </c>
      <c r="B166" s="7">
        <f>'FY23'!AV166</f>
        <v>0</v>
      </c>
      <c r="C166" s="7">
        <f>'FY24'!BB166</f>
        <v>0</v>
      </c>
      <c r="D166" s="7">
        <f>'FY25'!BB166</f>
        <v>0</v>
      </c>
      <c r="E166" s="7">
        <f>'FY26'!BB166</f>
        <v>0</v>
      </c>
      <c r="F166" s="7">
        <f>'FY27'!BB166</f>
        <v>0</v>
      </c>
      <c r="G166" s="7">
        <f>'FY28'!BB166</f>
        <v>0</v>
      </c>
    </row>
    <row r="167" spans="1:7" ht="15.75" thickBot="1" x14ac:dyDescent="0.3">
      <c r="A167" s="95" t="s">
        <v>138</v>
      </c>
      <c r="B167" s="92">
        <f>SUM(B153:B166)</f>
        <v>6403665.7925000004</v>
      </c>
      <c r="C167" s="92">
        <f>SUM(C153:C166)</f>
        <v>7744733.4326124992</v>
      </c>
      <c r="D167" s="92">
        <f>SUM(D153:D166)</f>
        <v>8588897.6480868198</v>
      </c>
      <c r="E167" s="92">
        <f t="shared" ref="E167:F167" si="50">SUM(E153:E166)</f>
        <v>9109126.3221559543</v>
      </c>
      <c r="F167" s="92">
        <f t="shared" si="50"/>
        <v>9584455.9928472731</v>
      </c>
      <c r="G167" s="92">
        <f t="shared" ref="G167" si="51">SUM(G153:G166)</f>
        <v>9742596.7616900913</v>
      </c>
    </row>
    <row r="168" spans="1:7" x14ac:dyDescent="0.25">
      <c r="A168" s="101" t="s">
        <v>139</v>
      </c>
      <c r="B168" s="149" t="str">
        <f>B152</f>
        <v xml:space="preserve"> FY 23</v>
      </c>
      <c r="C168" s="149" t="str">
        <f>C152</f>
        <v xml:space="preserve"> FY 24</v>
      </c>
      <c r="D168" s="149" t="str">
        <f>D152</f>
        <v xml:space="preserve"> FY 25</v>
      </c>
      <c r="E168" s="149" t="str">
        <f t="shared" ref="E168:F168" si="52">E152</f>
        <v xml:space="preserve"> FY 26</v>
      </c>
      <c r="F168" s="149" t="str">
        <f t="shared" si="52"/>
        <v xml:space="preserve"> FY 27</v>
      </c>
      <c r="G168" s="149" t="str">
        <f t="shared" ref="G168" si="53">G152</f>
        <v xml:space="preserve"> FY 28</v>
      </c>
    </row>
    <row r="169" spans="1:7" x14ac:dyDescent="0.25">
      <c r="A169" s="62" t="s">
        <v>140</v>
      </c>
      <c r="B169" s="7">
        <f>'FY23'!AV169</f>
        <v>27227.5</v>
      </c>
      <c r="C169" s="7">
        <f>'FY24'!BB169</f>
        <v>34044.324999999997</v>
      </c>
      <c r="D169" s="7">
        <f>'FY25'!BB169</f>
        <v>35065.654750000002</v>
      </c>
      <c r="E169" s="7">
        <f>'FY26'!BB169</f>
        <v>36117.624392500002</v>
      </c>
      <c r="F169" s="7">
        <f>'FY27'!BB169</f>
        <v>37201.153124275006</v>
      </c>
      <c r="G169" s="7">
        <f>'FY28'!BB169</f>
        <v>38317.187718003253</v>
      </c>
    </row>
    <row r="170" spans="1:7" x14ac:dyDescent="0.25">
      <c r="A170" s="62" t="s">
        <v>141</v>
      </c>
      <c r="B170" s="7">
        <f>'FY23'!AV170</f>
        <v>74484</v>
      </c>
      <c r="C170" s="7">
        <f>'FY24'!BB170</f>
        <v>85718.52</v>
      </c>
      <c r="D170" s="7">
        <f>'FY25'!BB170</f>
        <v>88290.075600000011</v>
      </c>
      <c r="E170" s="7">
        <f>'FY26'!BB170</f>
        <v>90938.777868000019</v>
      </c>
      <c r="F170" s="7">
        <f>'FY27'!BB170</f>
        <v>93666.94120404002</v>
      </c>
      <c r="G170" s="7">
        <f>'FY28'!BB170</f>
        <v>96476.949440161203</v>
      </c>
    </row>
    <row r="171" spans="1:7" x14ac:dyDescent="0.25">
      <c r="A171" s="62" t="s">
        <v>142</v>
      </c>
      <c r="B171" s="7">
        <f>'FY23'!AV171</f>
        <v>0</v>
      </c>
      <c r="C171" s="7">
        <f>'FY24'!BB171</f>
        <v>0</v>
      </c>
      <c r="D171" s="7">
        <f>'FY25'!BB171</f>
        <v>0</v>
      </c>
      <c r="E171" s="7">
        <f>'FY26'!BB171</f>
        <v>0</v>
      </c>
      <c r="F171" s="7">
        <f>'FY27'!BB171</f>
        <v>0</v>
      </c>
      <c r="G171" s="7">
        <f>'FY28'!BB171</f>
        <v>0</v>
      </c>
    </row>
    <row r="172" spans="1:7" x14ac:dyDescent="0.25">
      <c r="A172" s="62" t="s">
        <v>143</v>
      </c>
      <c r="B172" s="7">
        <f>'FY23'!AV172</f>
        <v>5950</v>
      </c>
      <c r="C172" s="7">
        <f>'FY24'!BB172</f>
        <v>8950</v>
      </c>
      <c r="D172" s="7">
        <f>'FY25'!BB172</f>
        <v>9700</v>
      </c>
      <c r="E172" s="7">
        <f>'FY26'!BB172</f>
        <v>9700</v>
      </c>
      <c r="F172" s="7">
        <f>'FY27'!BB172</f>
        <v>10050</v>
      </c>
      <c r="G172" s="7">
        <f>'FY28'!BB172</f>
        <v>10100</v>
      </c>
    </row>
    <row r="173" spans="1:7" x14ac:dyDescent="0.25">
      <c r="A173" s="62" t="s">
        <v>144</v>
      </c>
      <c r="B173" s="7">
        <f>'FY23'!AV173</f>
        <v>30000</v>
      </c>
      <c r="C173" s="7">
        <f>'FY24'!BB173</f>
        <v>34100</v>
      </c>
      <c r="D173" s="7">
        <f>'FY25'!BB173</f>
        <v>35142.5</v>
      </c>
      <c r="E173" s="7">
        <f>'FY26'!BB173</f>
        <v>36061.775000000001</v>
      </c>
      <c r="F173" s="7">
        <f>'FY27'!BB173</f>
        <v>37208.628250000002</v>
      </c>
      <c r="G173" s="7">
        <f>'FY28'!BB173</f>
        <v>38183.887097500003</v>
      </c>
    </row>
    <row r="174" spans="1:7" x14ac:dyDescent="0.25">
      <c r="A174" s="62" t="s">
        <v>145</v>
      </c>
      <c r="B174" s="7">
        <f>'FY23'!AV174</f>
        <v>210700</v>
      </c>
      <c r="C174" s="7">
        <f>'FY24'!BB174</f>
        <v>249128</v>
      </c>
      <c r="D174" s="7">
        <f>'FY25'!BB174</f>
        <v>258793.12000000002</v>
      </c>
      <c r="E174" s="7">
        <f>'FY26'!BB174</f>
        <v>269144.84480000002</v>
      </c>
      <c r="F174" s="7">
        <f>'FY27'!BB174</f>
        <v>279910.638592</v>
      </c>
      <c r="G174" s="7">
        <f>'FY28'!BB174</f>
        <v>291107.06413568003</v>
      </c>
    </row>
    <row r="175" spans="1:7" ht="15.75" thickBot="1" x14ac:dyDescent="0.3">
      <c r="A175" s="62" t="s">
        <v>146</v>
      </c>
      <c r="B175" s="7">
        <f>'FY23'!AV175</f>
        <v>15000</v>
      </c>
      <c r="C175" s="7">
        <f>'FY24'!BB175</f>
        <v>34640</v>
      </c>
      <c r="D175" s="7">
        <f>'FY25'!BB175</f>
        <v>35302</v>
      </c>
      <c r="E175" s="7">
        <f>'FY26'!BB175</f>
        <v>35762</v>
      </c>
      <c r="F175" s="7">
        <f>'FY27'!BB175</f>
        <v>36010</v>
      </c>
      <c r="G175" s="7">
        <f>'FY28'!BB175</f>
        <v>36248</v>
      </c>
    </row>
    <row r="176" spans="1:7" ht="15.75" thickBot="1" x14ac:dyDescent="0.3">
      <c r="A176" s="95" t="s">
        <v>147</v>
      </c>
      <c r="B176" s="92">
        <f>SUM(B169:B175)</f>
        <v>363361.5</v>
      </c>
      <c r="C176" s="92">
        <f>SUM(C169:C175)</f>
        <v>446580.84499999997</v>
      </c>
      <c r="D176" s="92">
        <f t="shared" ref="D176:F176" si="54">SUM(D169:D175)</f>
        <v>462293.35035000008</v>
      </c>
      <c r="E176" s="92">
        <f t="shared" si="54"/>
        <v>477725.02206049999</v>
      </c>
      <c r="F176" s="92">
        <f t="shared" si="54"/>
        <v>494047.36117031507</v>
      </c>
      <c r="G176" s="92">
        <f t="shared" ref="G176" si="55">SUM(G169:G175)</f>
        <v>510433.08839134453</v>
      </c>
    </row>
    <row r="177" spans="1:7" x14ac:dyDescent="0.25">
      <c r="A177" s="101" t="s">
        <v>148</v>
      </c>
      <c r="B177" s="96"/>
      <c r="C177" s="96"/>
      <c r="D177" s="96"/>
      <c r="E177" s="96"/>
      <c r="F177" s="96"/>
      <c r="G177" s="96"/>
    </row>
    <row r="178" spans="1:7" x14ac:dyDescent="0.25">
      <c r="A178" s="62" t="s">
        <v>149</v>
      </c>
      <c r="B178" s="7">
        <f>'FY23'!AV178</f>
        <v>81950</v>
      </c>
      <c r="C178" s="7">
        <f>'FY24'!BB178</f>
        <v>96867.000000000015</v>
      </c>
      <c r="D178" s="7">
        <f>'FY25'!BB178</f>
        <v>102679.02000000002</v>
      </c>
      <c r="E178" s="7">
        <f>'FY26'!BB178</f>
        <v>108839.76120000001</v>
      </c>
      <c r="F178" s="7">
        <f>'FY27'!BB178</f>
        <v>115370.14687200001</v>
      </c>
      <c r="G178" s="7">
        <f>'FY28'!BB178</f>
        <v>122292.35568432002</v>
      </c>
    </row>
    <row r="179" spans="1:7" x14ac:dyDescent="0.25">
      <c r="A179" s="62" t="s">
        <v>150</v>
      </c>
      <c r="B179" s="7">
        <f>'FY23'!AV179</f>
        <v>54800.000000000007</v>
      </c>
      <c r="C179" s="7">
        <f>'FY24'!BB179</f>
        <v>65013.000000000007</v>
      </c>
      <c r="D179" s="7">
        <f>'FY25'!BB179</f>
        <v>69228.780000000013</v>
      </c>
      <c r="E179" s="7">
        <f>'FY26'!BB179</f>
        <v>73729.006800000017</v>
      </c>
      <c r="F179" s="7">
        <f>'FY27'!BB179</f>
        <v>78533.897208000024</v>
      </c>
      <c r="G179" s="7">
        <f>'FY28'!BB179</f>
        <v>83665.196040480034</v>
      </c>
    </row>
    <row r="180" spans="1:7" ht="15.75" thickBot="1" x14ac:dyDescent="0.3">
      <c r="A180" s="62" t="s">
        <v>151</v>
      </c>
      <c r="B180" s="7">
        <f>'FY23'!AV180</f>
        <v>127050</v>
      </c>
      <c r="C180" s="7">
        <f>'FY24'!BB180</f>
        <v>147618</v>
      </c>
      <c r="D180" s="7">
        <f>'FY25'!BB180</f>
        <v>156706.08000000002</v>
      </c>
      <c r="E180" s="7">
        <f>'FY26'!BB180</f>
        <v>166362.54480000003</v>
      </c>
      <c r="F180" s="7">
        <f>'FY27'!BB180</f>
        <v>176623.80748800005</v>
      </c>
      <c r="G180" s="7">
        <f>'FY28'!BB180</f>
        <v>187528.69693728004</v>
      </c>
    </row>
    <row r="181" spans="1:7" ht="15.75" thickBot="1" x14ac:dyDescent="0.3">
      <c r="A181" s="95" t="s">
        <v>152</v>
      </c>
      <c r="B181" s="92">
        <f>SUM(B178:B180)</f>
        <v>263800</v>
      </c>
      <c r="C181" s="92">
        <f>SUM(C178:C180)</f>
        <v>309498</v>
      </c>
      <c r="D181" s="92">
        <f t="shared" ref="D181:F181" si="56">SUM(D178:D180)</f>
        <v>328613.88000000006</v>
      </c>
      <c r="E181" s="92">
        <f t="shared" si="56"/>
        <v>348931.31280000007</v>
      </c>
      <c r="F181" s="92">
        <f t="shared" si="56"/>
        <v>370527.85156800004</v>
      </c>
      <c r="G181" s="92">
        <f t="shared" ref="G181" si="57">SUM(G178:G180)</f>
        <v>393486.24866208009</v>
      </c>
    </row>
    <row r="182" spans="1:7" x14ac:dyDescent="0.25">
      <c r="A182" s="101" t="s">
        <v>153</v>
      </c>
      <c r="B182" s="96" t="str">
        <f t="shared" ref="B182:G182" si="58">B1</f>
        <v xml:space="preserve"> FY 23</v>
      </c>
      <c r="C182" s="96" t="str">
        <f t="shared" si="58"/>
        <v xml:space="preserve"> FY 24</v>
      </c>
      <c r="D182" s="96" t="str">
        <f t="shared" si="58"/>
        <v xml:space="preserve"> FY 25</v>
      </c>
      <c r="E182" s="96" t="str">
        <f t="shared" si="58"/>
        <v xml:space="preserve"> FY 26</v>
      </c>
      <c r="F182" s="96" t="str">
        <f t="shared" si="58"/>
        <v xml:space="preserve"> FY 27</v>
      </c>
      <c r="G182" s="96" t="str">
        <f t="shared" si="58"/>
        <v xml:space="preserve"> FY 28</v>
      </c>
    </row>
    <row r="183" spans="1:7" x14ac:dyDescent="0.25">
      <c r="A183" s="62" t="s">
        <v>154</v>
      </c>
      <c r="B183" s="7">
        <f>'FY23'!AV183</f>
        <v>1072942.304</v>
      </c>
      <c r="C183" s="7">
        <f>'FY24'!BB183</f>
        <v>1584079.3400000003</v>
      </c>
      <c r="D183" s="7">
        <f>'FY25'!BB183</f>
        <v>1693572.4600000002</v>
      </c>
      <c r="E183" s="7">
        <f>'FY26'!BB183</f>
        <v>1784122.7</v>
      </c>
      <c r="F183" s="7">
        <f>'FY27'!BB183</f>
        <v>1857797.74</v>
      </c>
      <c r="G183" s="7">
        <f>'FY28'!BB183</f>
        <v>1921715.0200000003</v>
      </c>
    </row>
    <row r="184" spans="1:7" x14ac:dyDescent="0.25">
      <c r="A184" s="62" t="s">
        <v>155</v>
      </c>
      <c r="B184" s="7">
        <f>'FY23'!AV184</f>
        <v>43000</v>
      </c>
      <c r="C184" s="7">
        <f>'FY24'!BB184</f>
        <v>37500</v>
      </c>
      <c r="D184" s="7">
        <f>'FY25'!BB184</f>
        <v>37500</v>
      </c>
      <c r="E184" s="7">
        <f>'FY26'!BB184</f>
        <v>38500</v>
      </c>
      <c r="F184" s="7">
        <f>'FY27'!BB184</f>
        <v>31000</v>
      </c>
      <c r="G184" s="7">
        <f>'FY28'!BB184</f>
        <v>31000</v>
      </c>
    </row>
    <row r="185" spans="1:7" x14ac:dyDescent="0.25">
      <c r="A185" s="62" t="s">
        <v>156</v>
      </c>
      <c r="B185" s="7">
        <f>'FY23'!AV185</f>
        <v>12800</v>
      </c>
      <c r="C185" s="7">
        <f>'FY24'!BB185</f>
        <v>14200</v>
      </c>
      <c r="D185" s="7">
        <f>'FY25'!BB185</f>
        <v>13700</v>
      </c>
      <c r="E185" s="7">
        <f>'FY26'!BB185</f>
        <v>15200</v>
      </c>
      <c r="F185" s="7">
        <f>'FY27'!BB185</f>
        <v>15200</v>
      </c>
      <c r="G185" s="7">
        <f>'FY28'!BB185</f>
        <v>15200</v>
      </c>
    </row>
    <row r="186" spans="1:7" x14ac:dyDescent="0.25">
      <c r="A186" s="62" t="s">
        <v>157</v>
      </c>
      <c r="B186" s="7">
        <f>'FY23'!AV186</f>
        <v>9120</v>
      </c>
      <c r="C186" s="7">
        <f>'FY24'!BB186</f>
        <v>8265</v>
      </c>
      <c r="D186" s="7">
        <f>'FY25'!BB186</f>
        <v>6570</v>
      </c>
      <c r="E186" s="7">
        <f>'FY26'!BB186</f>
        <v>6990</v>
      </c>
      <c r="F186" s="7">
        <f>'FY27'!BB186</f>
        <v>6990</v>
      </c>
      <c r="G186" s="7">
        <f>'FY28'!BB186</f>
        <v>6990</v>
      </c>
    </row>
    <row r="187" spans="1:7" x14ac:dyDescent="0.25">
      <c r="A187" s="62" t="s">
        <v>158</v>
      </c>
      <c r="B187" s="7">
        <f>'FY23'!AV187</f>
        <v>69000</v>
      </c>
      <c r="C187" s="7">
        <f>'FY24'!BB187</f>
        <v>80200</v>
      </c>
      <c r="D187" s="7">
        <f>'FY25'!BB187</f>
        <v>81200</v>
      </c>
      <c r="E187" s="7">
        <f>'FY26'!BB187</f>
        <v>81700</v>
      </c>
      <c r="F187" s="7">
        <f>'FY27'!BB187</f>
        <v>82700</v>
      </c>
      <c r="G187" s="7">
        <f>'FY28'!BB187</f>
        <v>85200</v>
      </c>
    </row>
    <row r="188" spans="1:7" x14ac:dyDescent="0.25">
      <c r="A188" s="62" t="s">
        <v>159</v>
      </c>
      <c r="B188" s="7">
        <f>'FY23'!AV188</f>
        <v>0</v>
      </c>
      <c r="C188" s="7">
        <f>'FY24'!BB188</f>
        <v>0</v>
      </c>
      <c r="D188" s="7">
        <f>'FY25'!BB188</f>
        <v>0</v>
      </c>
      <c r="E188" s="7">
        <f>'FY26'!BB188</f>
        <v>0</v>
      </c>
      <c r="F188" s="7">
        <f>'FY27'!BB188</f>
        <v>0</v>
      </c>
      <c r="G188" s="7">
        <f>'FY28'!BB188</f>
        <v>0</v>
      </c>
    </row>
    <row r="189" spans="1:7" x14ac:dyDescent="0.25">
      <c r="A189" s="62" t="s">
        <v>160</v>
      </c>
      <c r="B189" s="7">
        <f>'FY23'!AV189</f>
        <v>0</v>
      </c>
      <c r="C189" s="7">
        <f>'FY24'!BB189</f>
        <v>0</v>
      </c>
      <c r="D189" s="7">
        <f>'FY25'!BB189</f>
        <v>0</v>
      </c>
      <c r="E189" s="7">
        <f>'FY26'!BB189</f>
        <v>0</v>
      </c>
      <c r="F189" s="7">
        <f>'FY27'!BB189</f>
        <v>0</v>
      </c>
      <c r="G189" s="7">
        <f>'FY28'!BB189</f>
        <v>0</v>
      </c>
    </row>
    <row r="190" spans="1:7" x14ac:dyDescent="0.25">
      <c r="A190" s="62" t="s">
        <v>161</v>
      </c>
      <c r="B190" s="7">
        <f>'FY23'!AV190</f>
        <v>30000</v>
      </c>
      <c r="C190" s="7">
        <f>'FY24'!BB190</f>
        <v>32000</v>
      </c>
      <c r="D190" s="7">
        <f>'FY25'!BB190</f>
        <v>34000</v>
      </c>
      <c r="E190" s="7">
        <f>'FY26'!BB190</f>
        <v>36000</v>
      </c>
      <c r="F190" s="7">
        <f>'FY27'!BB190</f>
        <v>38000</v>
      </c>
      <c r="G190" s="7">
        <f>'FY28'!BB190</f>
        <v>40000</v>
      </c>
    </row>
    <row r="191" spans="1:7" ht="15.75" thickBot="1" x14ac:dyDescent="0.3">
      <c r="A191" s="62" t="s">
        <v>162</v>
      </c>
      <c r="B191" s="7">
        <f>'FY23'!AV191</f>
        <v>10000</v>
      </c>
      <c r="C191" s="7">
        <f>'FY24'!BB191</f>
        <v>14000</v>
      </c>
      <c r="D191" s="7">
        <f>'FY25'!BB191</f>
        <v>14500</v>
      </c>
      <c r="E191" s="7">
        <f>'FY26'!BB191</f>
        <v>14500</v>
      </c>
      <c r="F191" s="7">
        <f>'FY27'!BB191</f>
        <v>14500</v>
      </c>
      <c r="G191" s="7">
        <f>'FY28'!BB191</f>
        <v>14500</v>
      </c>
    </row>
    <row r="192" spans="1:7" ht="15.75" thickBot="1" x14ac:dyDescent="0.3">
      <c r="A192" s="95" t="s">
        <v>163</v>
      </c>
      <c r="B192" s="92">
        <f>SUM(B183:B191)</f>
        <v>1246862.304</v>
      </c>
      <c r="C192" s="92">
        <f>SUM(C183:C191)</f>
        <v>1770244.3400000003</v>
      </c>
      <c r="D192" s="92">
        <f t="shared" ref="D192:F192" si="59">SUM(D183:D191)</f>
        <v>1881042.4600000002</v>
      </c>
      <c r="E192" s="92">
        <f t="shared" si="59"/>
        <v>1977012.7</v>
      </c>
      <c r="F192" s="92">
        <f t="shared" si="59"/>
        <v>2046187.74</v>
      </c>
      <c r="G192" s="92">
        <f t="shared" ref="G192" si="60">SUM(G183:G191)</f>
        <v>2114605.0200000005</v>
      </c>
    </row>
    <row r="193" spans="1:7" x14ac:dyDescent="0.25">
      <c r="A193" s="101" t="s">
        <v>164</v>
      </c>
      <c r="B193" s="77" t="str">
        <f>B182</f>
        <v xml:space="preserve"> FY 23</v>
      </c>
      <c r="C193" s="77" t="str">
        <f>C182</f>
        <v xml:space="preserve"> FY 24</v>
      </c>
      <c r="D193" s="77" t="str">
        <f>D182</f>
        <v xml:space="preserve"> FY 25</v>
      </c>
      <c r="E193" s="77" t="str">
        <f t="shared" ref="E193:F193" si="61">E182</f>
        <v xml:space="preserve"> FY 26</v>
      </c>
      <c r="F193" s="77" t="str">
        <f t="shared" si="61"/>
        <v xml:space="preserve"> FY 27</v>
      </c>
      <c r="G193" s="77" t="str">
        <f t="shared" ref="G193" si="62">G182</f>
        <v xml:space="preserve"> FY 28</v>
      </c>
    </row>
    <row r="194" spans="1:7" x14ac:dyDescent="0.25">
      <c r="A194" s="62" t="s">
        <v>165</v>
      </c>
      <c r="B194" s="7">
        <f>'FY23'!AV194</f>
        <v>645900</v>
      </c>
      <c r="C194" s="7">
        <f>'FY24'!BB194</f>
        <v>743277</v>
      </c>
      <c r="D194" s="7">
        <f>'FY25'!BB194</f>
        <v>762580.81</v>
      </c>
      <c r="E194" s="7">
        <f>'FY26'!BB194</f>
        <v>782403.8443</v>
      </c>
      <c r="F194" s="7">
        <f>'FY27'!BB194</f>
        <v>802760.48182900005</v>
      </c>
      <c r="G194" s="7">
        <f>'FY28'!BB194</f>
        <v>826843.29628387012</v>
      </c>
    </row>
    <row r="195" spans="1:7" x14ac:dyDescent="0.25">
      <c r="A195" s="62" t="s">
        <v>166</v>
      </c>
      <c r="B195" s="7">
        <f>'FY23'!AV195</f>
        <v>5340</v>
      </c>
      <c r="C195" s="7">
        <f>'FY24'!BB195</f>
        <v>5500.2</v>
      </c>
      <c r="D195" s="7">
        <f>'FY25'!BB195</f>
        <v>5665.2060000000001</v>
      </c>
      <c r="E195" s="7">
        <f>'FY26'!BB195</f>
        <v>5835.1621800000003</v>
      </c>
      <c r="F195" s="7">
        <f>'FY27'!BB195</f>
        <v>6010.2170454000006</v>
      </c>
      <c r="G195" s="7">
        <f>'FY28'!BB195</f>
        <v>6190.5235567620011</v>
      </c>
    </row>
    <row r="196" spans="1:7" x14ac:dyDescent="0.25">
      <c r="A196" s="62" t="s">
        <v>167</v>
      </c>
      <c r="B196" s="7">
        <f>'FY23'!AV196</f>
        <v>131820</v>
      </c>
      <c r="C196" s="7">
        <f>'FY24'!BB196</f>
        <v>156174.6</v>
      </c>
      <c r="D196" s="7">
        <f>'FY25'!BB196</f>
        <v>160268.97</v>
      </c>
      <c r="E196" s="7">
        <f>'FY26'!BB196</f>
        <v>164474.35374000002</v>
      </c>
      <c r="F196" s="7">
        <f>'FY27'!BB196</f>
        <v>168793.84528499999</v>
      </c>
      <c r="G196" s="7">
        <f>'FY28'!BB196</f>
        <v>173857.66064355001</v>
      </c>
    </row>
    <row r="197" spans="1:7" x14ac:dyDescent="0.25">
      <c r="A197" s="62" t="s">
        <v>168</v>
      </c>
      <c r="B197" s="7">
        <f>'FY23'!AV197</f>
        <v>155220</v>
      </c>
      <c r="C197" s="7">
        <f>'FY24'!BB197</f>
        <v>171876.6</v>
      </c>
      <c r="D197" s="7">
        <f>'FY25'!BB197</f>
        <v>176418.49800000002</v>
      </c>
      <c r="E197" s="7">
        <f>'FY26'!BB197</f>
        <v>181084.36494</v>
      </c>
      <c r="F197" s="7">
        <f>'FY27'!BB197</f>
        <v>185877.67412820001</v>
      </c>
      <c r="G197" s="7">
        <f>'FY28'!BB197</f>
        <v>191454.00435204606</v>
      </c>
    </row>
    <row r="198" spans="1:7" x14ac:dyDescent="0.25">
      <c r="A198" s="62" t="s">
        <v>169</v>
      </c>
      <c r="B198" s="7">
        <f>'FY23'!AV198</f>
        <v>62500</v>
      </c>
      <c r="C198" s="7">
        <f>'FY24'!BB198</f>
        <v>70375</v>
      </c>
      <c r="D198" s="7">
        <f>'FY25'!BB198</f>
        <v>72220.25</v>
      </c>
      <c r="E198" s="7">
        <f>'FY26'!BB198</f>
        <v>74115.537499999991</v>
      </c>
      <c r="F198" s="7">
        <f>'FY27'!BB198</f>
        <v>76062.257225000008</v>
      </c>
      <c r="G198" s="7">
        <f>'FY28'!BB198</f>
        <v>78344.124941750008</v>
      </c>
    </row>
    <row r="199" spans="1:7" x14ac:dyDescent="0.25">
      <c r="A199" s="62" t="s">
        <v>170</v>
      </c>
      <c r="B199" s="7">
        <f>'FY23'!AV199</f>
        <v>862977.60000000009</v>
      </c>
      <c r="C199" s="7">
        <f>'FY24'!BB199</f>
        <v>970766.92800000007</v>
      </c>
      <c r="D199" s="7">
        <f>'FY25'!BB199</f>
        <v>996365.6620580001</v>
      </c>
      <c r="E199" s="7">
        <f>'FY26'!BB199</f>
        <v>1022661.8726621002</v>
      </c>
      <c r="F199" s="7">
        <f>'FY27'!BB199</f>
        <v>1049675.0743991705</v>
      </c>
      <c r="G199" s="7">
        <f>'FY28'!BB199</f>
        <v>1052505.1522330553</v>
      </c>
    </row>
    <row r="200" spans="1:7" x14ac:dyDescent="0.25">
      <c r="A200" s="62" t="s">
        <v>171</v>
      </c>
      <c r="B200" s="7">
        <f>'FY23'!AV200</f>
        <v>238336</v>
      </c>
      <c r="C200" s="7">
        <f>'FY24'!BB200</f>
        <v>270240</v>
      </c>
      <c r="D200" s="7">
        <f>'FY25'!BB200</f>
        <v>280832</v>
      </c>
      <c r="E200" s="7">
        <f>'FY26'!BB200</f>
        <v>288192</v>
      </c>
      <c r="F200" s="7">
        <f>'FY27'!BB200</f>
        <v>292160</v>
      </c>
      <c r="G200" s="7">
        <f>'FY28'!BB200</f>
        <v>295968</v>
      </c>
    </row>
    <row r="201" spans="1:7" x14ac:dyDescent="0.25">
      <c r="A201" s="62" t="s">
        <v>173</v>
      </c>
      <c r="B201" s="7">
        <f>'FY23'!AV201</f>
        <v>342500</v>
      </c>
      <c r="C201" s="7">
        <f>'FY24'!BB201</f>
        <v>377500</v>
      </c>
      <c r="D201" s="7">
        <f>'FY25'!BB201</f>
        <v>401500</v>
      </c>
      <c r="E201" s="7">
        <f>'FY26'!BB201</f>
        <v>414500</v>
      </c>
      <c r="F201" s="7">
        <f>'FY27'!BB201</f>
        <v>426500</v>
      </c>
      <c r="G201" s="7">
        <f>'FY28'!BB201</f>
        <v>441500</v>
      </c>
    </row>
    <row r="202" spans="1:7" x14ac:dyDescent="0.25">
      <c r="A202" s="62" t="s">
        <v>174</v>
      </c>
      <c r="B202" s="7">
        <f>'FY23'!AV202</f>
        <v>100842</v>
      </c>
      <c r="C202" s="7">
        <f>'FY24'!BB202</f>
        <v>115867.26000000001</v>
      </c>
      <c r="D202" s="7">
        <f>'FY25'!BB202</f>
        <v>118942.73670000001</v>
      </c>
      <c r="E202" s="7">
        <f>'FY26'!BB202</f>
        <v>122102.46687900001</v>
      </c>
      <c r="F202" s="7">
        <f>'FY27'!BB202</f>
        <v>125348.81792493002</v>
      </c>
      <c r="G202" s="7">
        <f>'FY28'!BB202</f>
        <v>129109.28246267792</v>
      </c>
    </row>
    <row r="203" spans="1:7" x14ac:dyDescent="0.25">
      <c r="A203" s="62" t="s">
        <v>175</v>
      </c>
      <c r="B203" s="7">
        <f>'FY23'!AV203</f>
        <v>0</v>
      </c>
      <c r="C203" s="7">
        <f>'FY24'!BB203</f>
        <v>0</v>
      </c>
      <c r="D203" s="7">
        <f>'FY25'!BB203</f>
        <v>0</v>
      </c>
      <c r="E203" s="7">
        <f>'FY26'!BB203</f>
        <v>0</v>
      </c>
      <c r="F203" s="7">
        <f>'FY27'!BB203</f>
        <v>0</v>
      </c>
      <c r="G203" s="7">
        <f>'FY28'!BB203</f>
        <v>0</v>
      </c>
    </row>
    <row r="204" spans="1:7" ht="15.75" thickBot="1" x14ac:dyDescent="0.3">
      <c r="A204" s="62" t="s">
        <v>176</v>
      </c>
      <c r="B204" s="7">
        <f>'FY23'!AV204</f>
        <v>143056.20000000001</v>
      </c>
      <c r="C204" s="7">
        <f>'FY24'!BB204</f>
        <v>159847.886</v>
      </c>
      <c r="D204" s="7">
        <f>'FY25'!BB204</f>
        <v>164024.07708000002</v>
      </c>
      <c r="E204" s="7">
        <f>'FY26'!BB204</f>
        <v>168313.16898240001</v>
      </c>
      <c r="F204" s="7">
        <f>'FY27'!BB204</f>
        <v>172718.30103367203</v>
      </c>
      <c r="G204" s="7">
        <f>'FY28'!BB204</f>
        <v>177899.85006468219</v>
      </c>
    </row>
    <row r="205" spans="1:7" ht="15.75" thickBot="1" x14ac:dyDescent="0.3">
      <c r="A205" s="95" t="s">
        <v>177</v>
      </c>
      <c r="B205" s="90">
        <f>SUM(B194:B204)</f>
        <v>2688491.8000000003</v>
      </c>
      <c r="C205" s="90">
        <f>SUM(C194:C204)</f>
        <v>3041425.4739999995</v>
      </c>
      <c r="D205" s="90">
        <f>SUM(D194:D204)</f>
        <v>3138818.2098380001</v>
      </c>
      <c r="E205" s="90">
        <f t="shared" ref="E205:F205" si="63">SUM(E194:E204)</f>
        <v>3223682.7711835005</v>
      </c>
      <c r="F205" s="90">
        <f t="shared" si="63"/>
        <v>3305906.6688703727</v>
      </c>
      <c r="G205" s="90">
        <f t="shared" ref="G205" si="64">SUM(G194:G204)</f>
        <v>3373671.8945383937</v>
      </c>
    </row>
    <row r="206" spans="1:7" ht="15.75" thickBot="1" x14ac:dyDescent="0.3">
      <c r="A206" s="102"/>
      <c r="B206" s="103"/>
      <c r="C206" s="103"/>
      <c r="D206" s="103"/>
      <c r="E206" s="103"/>
      <c r="F206" s="103"/>
      <c r="G206" s="103"/>
    </row>
    <row r="207" spans="1:7" ht="15.75" thickBot="1" x14ac:dyDescent="0.3">
      <c r="A207" s="95" t="s">
        <v>178</v>
      </c>
      <c r="B207" s="104">
        <f t="shared" ref="B207:G207" si="65">B139+B151+B167+B176+B181+B192+B205</f>
        <v>49260254.05414065</v>
      </c>
      <c r="C207" s="104">
        <f t="shared" si="65"/>
        <v>56909663.036255144</v>
      </c>
      <c r="D207" s="104">
        <f t="shared" si="65"/>
        <v>60782238.77257774</v>
      </c>
      <c r="E207" s="104">
        <f t="shared" si="65"/>
        <v>63725384.790958814</v>
      </c>
      <c r="F207" s="104">
        <f t="shared" si="65"/>
        <v>66440848.95775836</v>
      </c>
      <c r="G207" s="104">
        <f t="shared" si="65"/>
        <v>68286965.305957049</v>
      </c>
    </row>
    <row r="208" spans="1:7" x14ac:dyDescent="0.25">
      <c r="A208" s="105"/>
      <c r="B208" s="61"/>
      <c r="C208" s="61"/>
      <c r="D208" s="61"/>
      <c r="E208" s="61"/>
      <c r="F208" s="61"/>
      <c r="G208" s="61"/>
    </row>
    <row r="209" spans="1:7" x14ac:dyDescent="0.25">
      <c r="A209" s="106" t="s">
        <v>179</v>
      </c>
      <c r="B209" s="7">
        <f>'FY23'!AV209</f>
        <v>0</v>
      </c>
      <c r="C209" s="7">
        <f>'FY24'!BB209</f>
        <v>1000000</v>
      </c>
      <c r="D209" s="7">
        <f>'FY25'!BB209</f>
        <v>1250000</v>
      </c>
      <c r="E209" s="7">
        <f>'FY26'!BB209</f>
        <v>1500000</v>
      </c>
      <c r="F209" s="7">
        <f>'FY27'!BB209</f>
        <v>1650000</v>
      </c>
      <c r="G209" s="7">
        <f>'FY28'!BB209</f>
        <v>2150000</v>
      </c>
    </row>
    <row r="210" spans="1:7" s="212" customFormat="1" x14ac:dyDescent="0.25">
      <c r="A210" s="210" t="s">
        <v>180</v>
      </c>
      <c r="B210" s="7">
        <f>'FY23'!AV210</f>
        <v>2967220</v>
      </c>
      <c r="C210" s="7">
        <f>'FY24'!BB210</f>
        <v>3045000</v>
      </c>
      <c r="D210" s="7">
        <f>'FY25'!BB210</f>
        <v>3053000</v>
      </c>
      <c r="E210" s="7">
        <f>'FY26'!BB210</f>
        <v>3057500</v>
      </c>
      <c r="F210" s="7">
        <f>'FY27'!BB210</f>
        <v>3055500</v>
      </c>
      <c r="G210" s="7">
        <f>'FY28'!BB210</f>
        <v>3056500</v>
      </c>
    </row>
    <row r="211" spans="1:7" x14ac:dyDescent="0.25">
      <c r="A211" s="210" t="s">
        <v>180</v>
      </c>
      <c r="B211" s="7">
        <f>'FY23'!AV211</f>
        <v>2492800</v>
      </c>
      <c r="C211" s="7">
        <f>'FY24'!BB211</f>
        <v>2495000</v>
      </c>
      <c r="D211" s="7">
        <f>'FY25'!BB211</f>
        <v>2495000</v>
      </c>
      <c r="E211" s="7">
        <f>'FY26'!BB211</f>
        <v>2494000</v>
      </c>
      <c r="F211" s="7">
        <f>'FY27'!BB211</f>
        <v>2497000</v>
      </c>
      <c r="G211" s="7">
        <f>'FY28'!BB211</f>
        <v>2493000</v>
      </c>
    </row>
    <row r="212" spans="1:7" hidden="1" x14ac:dyDescent="0.25">
      <c r="A212" s="210"/>
      <c r="B212" s="7">
        <f>'FY23'!AV212</f>
        <v>0</v>
      </c>
      <c r="C212" s="7">
        <f>'FY24'!BB212</f>
        <v>0</v>
      </c>
      <c r="D212" s="7">
        <f>'FY25'!BB212</f>
        <v>0</v>
      </c>
      <c r="E212" s="7">
        <f>'FY26'!BB212</f>
        <v>0</v>
      </c>
      <c r="F212" s="7">
        <f>'FY27'!BB212</f>
        <v>0</v>
      </c>
      <c r="G212" s="7">
        <f>'FY28'!BB212</f>
        <v>0</v>
      </c>
    </row>
    <row r="213" spans="1:7" hidden="1" x14ac:dyDescent="0.25">
      <c r="A213" s="106"/>
      <c r="B213" s="7">
        <f>'FY23'!AV213</f>
        <v>0</v>
      </c>
      <c r="C213" s="7">
        <f>'FY24'!BB213</f>
        <v>0</v>
      </c>
      <c r="D213" s="7">
        <f>'FY25'!BB213</f>
        <v>0</v>
      </c>
      <c r="E213" s="7">
        <f>'FY26'!BB213</f>
        <v>0</v>
      </c>
      <c r="F213" s="7">
        <f>'FY27'!BB213</f>
        <v>0</v>
      </c>
      <c r="G213" s="7">
        <f>'FY28'!BB213</f>
        <v>0</v>
      </c>
    </row>
    <row r="214" spans="1:7" hidden="1" x14ac:dyDescent="0.25">
      <c r="A214" s="106"/>
      <c r="B214" s="7">
        <f>'FY23'!AV214</f>
        <v>0</v>
      </c>
      <c r="C214" s="7">
        <f>'FY24'!BB214</f>
        <v>0</v>
      </c>
      <c r="D214" s="7">
        <f>'FY25'!BB214</f>
        <v>0</v>
      </c>
      <c r="E214" s="7">
        <f>'FY26'!BB214</f>
        <v>0</v>
      </c>
      <c r="F214" s="7">
        <f>'FY27'!BB214</f>
        <v>0</v>
      </c>
      <c r="G214" s="7">
        <f>'FY28'!BB214</f>
        <v>0</v>
      </c>
    </row>
    <row r="215" spans="1:7" hidden="1" x14ac:dyDescent="0.25">
      <c r="A215" s="106"/>
      <c r="B215" s="7">
        <f>'FY23'!AV215</f>
        <v>0</v>
      </c>
      <c r="C215" s="7">
        <f>'FY24'!BB215</f>
        <v>0</v>
      </c>
      <c r="D215" s="7">
        <f>'FY25'!BB215</f>
        <v>0</v>
      </c>
      <c r="E215" s="7">
        <f>'FY26'!BB215</f>
        <v>0</v>
      </c>
      <c r="F215" s="7">
        <f>'FY27'!BB215</f>
        <v>0</v>
      </c>
      <c r="G215" s="7">
        <f>'FY28'!BB215</f>
        <v>0</v>
      </c>
    </row>
    <row r="216" spans="1:7" x14ac:dyDescent="0.25">
      <c r="A216" s="106" t="s">
        <v>180</v>
      </c>
      <c r="B216" s="7">
        <f>'FY23'!AV216</f>
        <v>2963100</v>
      </c>
      <c r="C216" s="7">
        <f>'FY24'!BB216</f>
        <v>3130000</v>
      </c>
      <c r="D216" s="7">
        <f>'FY25'!BB216</f>
        <v>3390000</v>
      </c>
      <c r="E216" s="7">
        <f>'FY26'!BB216</f>
        <v>3777000</v>
      </c>
      <c r="F216" s="7">
        <f>'FY27'!BB216</f>
        <v>3904000</v>
      </c>
      <c r="G216" s="7">
        <f>'FY28'!BB216</f>
        <v>3907500</v>
      </c>
    </row>
    <row r="217" spans="1:7" x14ac:dyDescent="0.25">
      <c r="A217" s="107" t="s">
        <v>181</v>
      </c>
      <c r="B217" s="7">
        <f>'FY23'!AV217</f>
        <v>30000</v>
      </c>
      <c r="C217" s="7">
        <f>'FY24'!BB217</f>
        <v>30000</v>
      </c>
      <c r="D217" s="7">
        <f>'FY25'!BB217</f>
        <v>30000</v>
      </c>
      <c r="E217" s="7">
        <f>'FY26'!BB217</f>
        <v>30000</v>
      </c>
      <c r="F217" s="7">
        <f>'FY27'!BB217</f>
        <v>30000</v>
      </c>
      <c r="G217" s="7">
        <f>'FY28'!BB217</f>
        <v>30000</v>
      </c>
    </row>
    <row r="218" spans="1:7" x14ac:dyDescent="0.25">
      <c r="A218" s="146"/>
      <c r="B218" s="7">
        <f>'FY23'!AV218</f>
        <v>0</v>
      </c>
      <c r="C218" s="7">
        <f>'FY24'!BB218</f>
        <v>0</v>
      </c>
      <c r="D218" s="7">
        <f>'FY25'!BB218</f>
        <v>0</v>
      </c>
      <c r="E218" s="7">
        <f>'FY26'!BB218</f>
        <v>0</v>
      </c>
      <c r="F218" s="7">
        <f>'FY27'!BB218</f>
        <v>0</v>
      </c>
      <c r="G218" s="7">
        <f>'FY28'!BB218</f>
        <v>0</v>
      </c>
    </row>
    <row r="219" spans="1:7" x14ac:dyDescent="0.25">
      <c r="A219" s="147"/>
      <c r="B219" s="7"/>
      <c r="C219" s="7"/>
      <c r="D219" s="7"/>
      <c r="E219" s="7"/>
      <c r="F219" s="7"/>
      <c r="G219" s="7"/>
    </row>
    <row r="220" spans="1:7" ht="15.75" thickBot="1" x14ac:dyDescent="0.3">
      <c r="A220" s="144" t="s">
        <v>183</v>
      </c>
      <c r="B220" s="145">
        <f>B86-B207-B210-B211-B216-B217</f>
        <v>2061185.6578593478</v>
      </c>
      <c r="C220" s="145">
        <f>C86-C207-C209-C210-C211-C216-C217</f>
        <v>2617791.05863031</v>
      </c>
      <c r="D220" s="145">
        <f t="shared" ref="D220:G220" si="66">D86-D207-D209-D210-D211-D216-D217</f>
        <v>3015627.2519947812</v>
      </c>
      <c r="E220" s="145">
        <f t="shared" si="66"/>
        <v>3078127.01383885</v>
      </c>
      <c r="F220" s="145">
        <f t="shared" si="66"/>
        <v>2848093.7750156447</v>
      </c>
      <c r="G220" s="145">
        <f t="shared" si="66"/>
        <v>2860647.1764505357</v>
      </c>
    </row>
    <row r="221" spans="1:7" ht="15.75" thickBot="1" x14ac:dyDescent="0.3">
      <c r="A221" s="108"/>
      <c r="B221" s="110">
        <f>B220/(B86-B76)</f>
        <v>3.5159136247673035E-2</v>
      </c>
      <c r="C221" s="110">
        <f>C220/(C86-C76)</f>
        <v>3.8817506623440877E-2</v>
      </c>
      <c r="D221" s="110">
        <f>D220/(D86-D76)</f>
        <v>4.182505003696689E-2</v>
      </c>
      <c r="E221" s="110">
        <f>E220/(E86)</f>
        <v>3.9634912131502303E-2</v>
      </c>
      <c r="F221" s="110">
        <f>F220/(F86-F76)</f>
        <v>3.636263167944799E-2</v>
      </c>
      <c r="G221" s="110">
        <f>G220/(G86-G76)</f>
        <v>3.5487108819721523E-2</v>
      </c>
    </row>
    <row r="222" spans="1:7" x14ac:dyDescent="0.25">
      <c r="B222" s="111"/>
      <c r="C222" s="111"/>
      <c r="D222" s="111"/>
      <c r="E222" s="111"/>
      <c r="F222" s="111"/>
      <c r="G222" s="111"/>
    </row>
    <row r="223" spans="1:7" x14ac:dyDescent="0.25">
      <c r="A223" s="112" t="str">
        <f>A1</f>
        <v>Pinecrest Academy of Nevada</v>
      </c>
      <c r="B223" s="112" t="str">
        <f>B1</f>
        <v xml:space="preserve"> FY 23</v>
      </c>
      <c r="C223" s="112" t="str">
        <f>C1</f>
        <v xml:space="preserve"> FY 24</v>
      </c>
      <c r="D223" s="112" t="str">
        <f>D1</f>
        <v xml:space="preserve"> FY 25</v>
      </c>
      <c r="E223" s="112" t="str">
        <f t="shared" ref="E223:F223" si="67">E1</f>
        <v xml:space="preserve"> FY 26</v>
      </c>
      <c r="F223" s="112" t="str">
        <f t="shared" si="67"/>
        <v xml:space="preserve"> FY 27</v>
      </c>
      <c r="G223" s="112" t="str">
        <f t="shared" ref="G223" si="68">G1</f>
        <v xml:space="preserve"> FY 28</v>
      </c>
    </row>
    <row r="224" spans="1:7" hidden="1" x14ac:dyDescent="0.25">
      <c r="B224" s="109"/>
      <c r="C224" s="109"/>
      <c r="D224" s="109"/>
      <c r="E224" s="109"/>
      <c r="F224" s="109"/>
      <c r="G224" s="109"/>
    </row>
    <row r="225" spans="1:7" hidden="1" x14ac:dyDescent="0.25">
      <c r="A225" s="112"/>
      <c r="B225" s="71" t="b">
        <f>B220='FY23'!AV220</f>
        <v>1</v>
      </c>
      <c r="C225" s="71" t="b">
        <f>C220='FY24'!BB220</f>
        <v>1</v>
      </c>
      <c r="D225" s="71" t="b">
        <f>D220='FY25'!BB220</f>
        <v>1</v>
      </c>
      <c r="E225" s="71" t="b">
        <f>E220='FY26'!BB220</f>
        <v>1</v>
      </c>
      <c r="F225" s="71" t="b">
        <f>F220='FY27'!BB220</f>
        <v>1</v>
      </c>
      <c r="G225" s="71" t="b">
        <f>G220='FY28'!BB220</f>
        <v>1</v>
      </c>
    </row>
    <row r="226" spans="1:7" hidden="1" x14ac:dyDescent="0.25">
      <c r="B226" s="109"/>
      <c r="C226" s="109"/>
      <c r="D226" s="109"/>
      <c r="E226" s="109"/>
      <c r="F226" s="109"/>
      <c r="G226" s="109"/>
    </row>
    <row r="228" spans="1:7" x14ac:dyDescent="0.25">
      <c r="A228" s="266" t="s">
        <v>187</v>
      </c>
      <c r="B228" s="267">
        <f>B86-B207</f>
        <v>10514305.657859348</v>
      </c>
      <c r="C228" s="267">
        <f t="shared" ref="C228:G228" si="69">C86-C207</f>
        <v>12317791.05863031</v>
      </c>
      <c r="D228" s="267">
        <f t="shared" si="69"/>
        <v>13233627.251994781</v>
      </c>
      <c r="E228" s="267">
        <f t="shared" si="69"/>
        <v>13936627.01383885</v>
      </c>
      <c r="F228" s="267">
        <f t="shared" si="69"/>
        <v>13984593.775015645</v>
      </c>
      <c r="G228" s="267">
        <f t="shared" si="69"/>
        <v>14497647.176450536</v>
      </c>
    </row>
    <row r="229" spans="1:7" x14ac:dyDescent="0.25">
      <c r="B229" s="268"/>
      <c r="C229" s="268"/>
      <c r="D229" s="268"/>
      <c r="E229" s="268"/>
      <c r="F229" s="268"/>
      <c r="G229" s="268"/>
    </row>
    <row r="230" spans="1:7" x14ac:dyDescent="0.25">
      <c r="A230" t="str">
        <f>A209</f>
        <v>Scheduled Lease Payment</v>
      </c>
      <c r="B230" s="269">
        <f t="shared" ref="B230:G233" si="70">B213</f>
        <v>0</v>
      </c>
      <c r="C230" s="269">
        <f t="shared" ref="C230:G230" si="71">C209</f>
        <v>1000000</v>
      </c>
      <c r="D230" s="269">
        <f t="shared" si="71"/>
        <v>1250000</v>
      </c>
      <c r="E230" s="269">
        <f t="shared" si="71"/>
        <v>1500000</v>
      </c>
      <c r="F230" s="269">
        <f t="shared" si="71"/>
        <v>1650000</v>
      </c>
      <c r="G230" s="269">
        <f t="shared" si="71"/>
        <v>2150000</v>
      </c>
    </row>
    <row r="231" spans="1:7" x14ac:dyDescent="0.25">
      <c r="A231" t="s">
        <v>180</v>
      </c>
      <c r="B231" s="269">
        <f>B210</f>
        <v>2967220</v>
      </c>
      <c r="C231" s="269">
        <f t="shared" ref="C231:G231" si="72">C210</f>
        <v>3045000</v>
      </c>
      <c r="D231" s="269">
        <f t="shared" si="72"/>
        <v>3053000</v>
      </c>
      <c r="E231" s="269">
        <f t="shared" si="72"/>
        <v>3057500</v>
      </c>
      <c r="F231" s="269">
        <f t="shared" si="72"/>
        <v>3055500</v>
      </c>
      <c r="G231" s="269">
        <f t="shared" si="72"/>
        <v>3056500</v>
      </c>
    </row>
    <row r="232" spans="1:7" x14ac:dyDescent="0.25">
      <c r="A232" t="s">
        <v>180</v>
      </c>
      <c r="B232" s="269">
        <f>B211</f>
        <v>2492800</v>
      </c>
      <c r="C232" s="269">
        <f t="shared" ref="C232:G232" si="73">C211</f>
        <v>2495000</v>
      </c>
      <c r="D232" s="269">
        <f t="shared" si="73"/>
        <v>2495000</v>
      </c>
      <c r="E232" s="269">
        <f t="shared" si="73"/>
        <v>2494000</v>
      </c>
      <c r="F232" s="269">
        <f t="shared" si="73"/>
        <v>2497000</v>
      </c>
      <c r="G232" s="269">
        <f t="shared" si="73"/>
        <v>2493000</v>
      </c>
    </row>
    <row r="233" spans="1:7" x14ac:dyDescent="0.25">
      <c r="A233" t="s">
        <v>180</v>
      </c>
      <c r="B233" s="269">
        <f t="shared" si="70"/>
        <v>2963100</v>
      </c>
      <c r="C233" s="269">
        <f t="shared" si="70"/>
        <v>3130000</v>
      </c>
      <c r="D233" s="269">
        <f t="shared" si="70"/>
        <v>3390000</v>
      </c>
      <c r="E233" s="269">
        <f t="shared" si="70"/>
        <v>3777000</v>
      </c>
      <c r="F233" s="269">
        <f t="shared" si="70"/>
        <v>3904000</v>
      </c>
      <c r="G233" s="269">
        <f t="shared" si="70"/>
        <v>3907500</v>
      </c>
    </row>
    <row r="234" spans="1:7" x14ac:dyDescent="0.25">
      <c r="B234" s="269">
        <f>B217</f>
        <v>30000</v>
      </c>
      <c r="C234" s="269">
        <f t="shared" ref="C234:G234" si="74">C217</f>
        <v>30000</v>
      </c>
      <c r="D234" s="269">
        <f t="shared" si="74"/>
        <v>30000</v>
      </c>
      <c r="E234" s="269">
        <f t="shared" si="74"/>
        <v>30000</v>
      </c>
      <c r="F234" s="269">
        <f t="shared" si="74"/>
        <v>30000</v>
      </c>
      <c r="G234" s="269">
        <f t="shared" si="74"/>
        <v>30000</v>
      </c>
    </row>
    <row r="235" spans="1:7" x14ac:dyDescent="0.25">
      <c r="A235" s="270" t="s">
        <v>188</v>
      </c>
      <c r="B235" s="271">
        <f t="shared" ref="B235:G235" si="75">SUM(B230:B234)</f>
        <v>8453120</v>
      </c>
      <c r="C235" s="271">
        <f t="shared" si="75"/>
        <v>9700000</v>
      </c>
      <c r="D235" s="271">
        <f t="shared" si="75"/>
        <v>10218000</v>
      </c>
      <c r="E235" s="271">
        <f t="shared" si="75"/>
        <v>10858500</v>
      </c>
      <c r="F235" s="271">
        <f t="shared" si="75"/>
        <v>11136500</v>
      </c>
      <c r="G235" s="271">
        <f t="shared" si="75"/>
        <v>11637000</v>
      </c>
    </row>
    <row r="236" spans="1:7" x14ac:dyDescent="0.25">
      <c r="B236" s="268"/>
      <c r="C236" s="268"/>
      <c r="D236" s="268"/>
      <c r="E236" s="268"/>
      <c r="F236" s="268"/>
      <c r="G236" s="268"/>
    </row>
    <row r="237" spans="1:7" x14ac:dyDescent="0.25">
      <c r="A237" s="266" t="s">
        <v>189</v>
      </c>
      <c r="B237" s="272">
        <f t="shared" ref="B237:G237" si="76">B228/B235</f>
        <v>1.2438372645673252</v>
      </c>
      <c r="C237" s="272">
        <f t="shared" si="76"/>
        <v>1.2698753668691041</v>
      </c>
      <c r="D237" s="272">
        <f t="shared" si="76"/>
        <v>1.2951289148556255</v>
      </c>
      <c r="E237" s="272">
        <f t="shared" si="76"/>
        <v>1.2834762641100381</v>
      </c>
      <c r="F237" s="272">
        <f t="shared" si="76"/>
        <v>1.2557440645638795</v>
      </c>
      <c r="G237" s="272">
        <f t="shared" si="76"/>
        <v>1.2458234232577585</v>
      </c>
    </row>
    <row r="238" spans="1:7" x14ac:dyDescent="0.25">
      <c r="B238" s="268"/>
      <c r="C238" s="268"/>
      <c r="D238" s="268"/>
      <c r="E238" s="268"/>
      <c r="F238" s="268"/>
      <c r="G238" s="268"/>
    </row>
    <row r="239" spans="1:7" x14ac:dyDescent="0.25">
      <c r="A239" s="273" t="s">
        <v>190</v>
      </c>
      <c r="B239" s="273"/>
      <c r="C239" s="273"/>
      <c r="D239" s="273"/>
      <c r="E239" s="273"/>
      <c r="F239" s="273"/>
      <c r="G239" s="273"/>
    </row>
    <row r="240" spans="1:7" x14ac:dyDescent="0.25">
      <c r="A240" t="s">
        <v>264</v>
      </c>
      <c r="B240" s="274">
        <v>16026053</v>
      </c>
      <c r="C240" s="274">
        <f t="shared" ref="C240:G240" si="77">B243</f>
        <v>18087238.657859348</v>
      </c>
      <c r="D240" s="274">
        <f t="shared" si="77"/>
        <v>20705029.716489658</v>
      </c>
      <c r="E240" s="274">
        <f t="shared" si="77"/>
        <v>23720656.968484439</v>
      </c>
      <c r="F240" s="274">
        <f t="shared" si="77"/>
        <v>26798783.982323289</v>
      </c>
      <c r="G240" s="274">
        <f t="shared" si="77"/>
        <v>29646877.757338934</v>
      </c>
    </row>
    <row r="241" spans="1:9" x14ac:dyDescent="0.25">
      <c r="A241" s="268" t="s">
        <v>192</v>
      </c>
      <c r="B241" s="275">
        <v>0</v>
      </c>
      <c r="C241" s="275">
        <v>0</v>
      </c>
      <c r="D241" s="275">
        <v>0</v>
      </c>
      <c r="E241" s="275">
        <v>0</v>
      </c>
      <c r="F241" s="275">
        <v>0</v>
      </c>
      <c r="G241" s="275">
        <v>0</v>
      </c>
    </row>
    <row r="242" spans="1:9" x14ac:dyDescent="0.25">
      <c r="A242" s="268" t="s">
        <v>193</v>
      </c>
      <c r="B242" s="275">
        <f t="shared" ref="B242:G242" si="78">B220</f>
        <v>2061185.6578593478</v>
      </c>
      <c r="C242" s="275">
        <f t="shared" si="78"/>
        <v>2617791.05863031</v>
      </c>
      <c r="D242" s="275">
        <f t="shared" si="78"/>
        <v>3015627.2519947812</v>
      </c>
      <c r="E242" s="275">
        <f t="shared" si="78"/>
        <v>3078127.01383885</v>
      </c>
      <c r="F242" s="275">
        <f t="shared" si="78"/>
        <v>2848093.7750156447</v>
      </c>
      <c r="G242" s="275">
        <f t="shared" si="78"/>
        <v>2860647.1764505357</v>
      </c>
    </row>
    <row r="243" spans="1:9" x14ac:dyDescent="0.25">
      <c r="A243" s="276" t="s">
        <v>194</v>
      </c>
      <c r="B243" s="277">
        <f>B240+B241+B242</f>
        <v>18087238.657859348</v>
      </c>
      <c r="C243" s="277">
        <f t="shared" ref="C243:G243" si="79">C240+C241+C242</f>
        <v>20705029.716489658</v>
      </c>
      <c r="D243" s="277">
        <f t="shared" si="79"/>
        <v>23720656.968484439</v>
      </c>
      <c r="E243" s="277">
        <f t="shared" si="79"/>
        <v>26798783.982323289</v>
      </c>
      <c r="F243" s="277">
        <f t="shared" si="79"/>
        <v>29646877.757338934</v>
      </c>
      <c r="G243" s="277">
        <f t="shared" si="79"/>
        <v>32507524.933789469</v>
      </c>
    </row>
    <row r="244" spans="1:9" x14ac:dyDescent="0.25">
      <c r="A244" s="266" t="s">
        <v>195</v>
      </c>
      <c r="B244" s="272">
        <f t="shared" ref="B244:G244" si="80">B243/((SUM(B207:B218))/365)</f>
        <v>114.39016031059811</v>
      </c>
      <c r="C244" s="272">
        <f t="shared" si="80"/>
        <v>113.45704965367146</v>
      </c>
      <c r="D244" s="272">
        <f t="shared" si="80"/>
        <v>121.94381234730152</v>
      </c>
      <c r="E244" s="272">
        <f t="shared" si="80"/>
        <v>131.14838655781222</v>
      </c>
      <c r="F244" s="272">
        <f t="shared" si="80"/>
        <v>139.48801456622232</v>
      </c>
      <c r="G244" s="272">
        <f t="shared" si="80"/>
        <v>148.45668073914737</v>
      </c>
    </row>
    <row r="245" spans="1:9" x14ac:dyDescent="0.25">
      <c r="B245" s="109"/>
      <c r="C245" s="109"/>
      <c r="D245" s="109"/>
      <c r="E245" s="109"/>
      <c r="F245" s="109"/>
      <c r="G245" s="109"/>
    </row>
    <row r="246" spans="1:9" x14ac:dyDescent="0.25">
      <c r="B246" s="109"/>
      <c r="C246" s="278"/>
      <c r="D246" s="278"/>
      <c r="E246" s="278"/>
      <c r="F246" s="278"/>
      <c r="G246" s="278"/>
      <c r="I246" s="112" t="s">
        <v>265</v>
      </c>
    </row>
    <row r="247" spans="1:9" x14ac:dyDescent="0.25">
      <c r="A247" s="137" t="s">
        <v>266</v>
      </c>
      <c r="B247" s="278">
        <f>B129/SUM(B207:B217)</f>
        <v>0.40638290505008712</v>
      </c>
      <c r="C247" s="278">
        <f t="shared" ref="C247:G247" si="81">C129/SUM(C207:C217)</f>
        <v>0.40094354725284398</v>
      </c>
      <c r="D247" s="278">
        <f t="shared" si="81"/>
        <v>0.39740649681939205</v>
      </c>
      <c r="E247" s="278">
        <f t="shared" si="81"/>
        <v>0.39573763237529397</v>
      </c>
      <c r="F247" s="278">
        <f t="shared" si="81"/>
        <v>0.39564567861355032</v>
      </c>
      <c r="G247" s="278">
        <f t="shared" si="81"/>
        <v>0.39571657774772417</v>
      </c>
      <c r="I247" s="279">
        <f t="shared" ref="I247:I256" si="82">AVERAGE(B247:G247)</f>
        <v>0.39863880630981524</v>
      </c>
    </row>
    <row r="248" spans="1:9" x14ac:dyDescent="0.25">
      <c r="A248" s="137" t="s">
        <v>267</v>
      </c>
      <c r="B248" s="278">
        <f>SUM(B130:B135)/SUM(B207:B217)</f>
        <v>0.20612685091183228</v>
      </c>
      <c r="C248" s="278">
        <f t="shared" ref="C248:G248" si="83">SUM(C130:C135)/SUM(C207:C217)</f>
        <v>0.20348182221144087</v>
      </c>
      <c r="D248" s="278">
        <f t="shared" si="83"/>
        <v>0.20320267379535223</v>
      </c>
      <c r="E248" s="278">
        <f t="shared" si="83"/>
        <v>0.20323228748526026</v>
      </c>
      <c r="F248" s="278">
        <f t="shared" si="83"/>
        <v>0.20389901699564125</v>
      </c>
      <c r="G248" s="278">
        <f t="shared" si="83"/>
        <v>0.20468413169241248</v>
      </c>
      <c r="I248" s="279">
        <f t="shared" si="82"/>
        <v>0.20410446384865655</v>
      </c>
    </row>
    <row r="249" spans="1:9" x14ac:dyDescent="0.25">
      <c r="A249" s="137" t="s">
        <v>129</v>
      </c>
      <c r="B249" s="278">
        <f t="shared" ref="B249" si="84">B158/SUM(B207:B217)</f>
        <v>2.3446905022925352E-3</v>
      </c>
      <c r="C249" s="278">
        <f t="shared" ref="C249:G249" si="85">C158/SUM(C207:C217)</f>
        <v>2.2615337344974672E-3</v>
      </c>
      <c r="D249" s="278">
        <f t="shared" si="85"/>
        <v>2.1960489527286017E-3</v>
      </c>
      <c r="E249" s="278">
        <f t="shared" si="85"/>
        <v>2.1387998285031309E-3</v>
      </c>
      <c r="F249" s="278">
        <f t="shared" si="85"/>
        <v>2.0887540264908043E-3</v>
      </c>
      <c r="G249" s="278">
        <f t="shared" si="85"/>
        <v>2.0454440589150196E-3</v>
      </c>
      <c r="I249" s="279">
        <f t="shared" si="82"/>
        <v>2.1792118505712596E-3</v>
      </c>
    </row>
    <row r="250" spans="1:9" x14ac:dyDescent="0.25">
      <c r="A250" s="137" t="s">
        <v>268</v>
      </c>
      <c r="B250" s="278">
        <f>(B142+B155+B156+B157+B164+B165)/SUM(B207:B217)</f>
        <v>7.6512713948374458E-2</v>
      </c>
      <c r="C250" s="278">
        <f t="shared" ref="C250:G250" si="86">(C142+C155+C156+C157+C164+C165)/SUM(C207:C217)</f>
        <v>7.8715845885545851E-2</v>
      </c>
      <c r="D250" s="278">
        <f t="shared" si="86"/>
        <v>8.2585570453554649E-2</v>
      </c>
      <c r="E250" s="278">
        <f t="shared" si="86"/>
        <v>8.4234688735748103E-2</v>
      </c>
      <c r="F250" s="278">
        <f t="shared" si="86"/>
        <v>8.621854549025243E-2</v>
      </c>
      <c r="G250" s="278">
        <f t="shared" si="86"/>
        <v>8.5774380522429278E-2</v>
      </c>
      <c r="I250" s="279">
        <f t="shared" si="82"/>
        <v>8.2340290839317445E-2</v>
      </c>
    </row>
    <row r="251" spans="1:9" x14ac:dyDescent="0.25">
      <c r="A251" s="137" t="s">
        <v>269</v>
      </c>
      <c r="B251" s="278">
        <f>(B154+B153+B137)/SUM(B207:B217)</f>
        <v>2.5466159691534332E-2</v>
      </c>
      <c r="C251" s="278">
        <f t="shared" ref="C251:G251" si="87">(C154+C153+C137)/SUM(C207:C217)</f>
        <v>2.9271353601335034E-2</v>
      </c>
      <c r="D251" s="278">
        <f t="shared" si="87"/>
        <v>3.0293653756425402E-2</v>
      </c>
      <c r="E251" s="278">
        <f t="shared" si="87"/>
        <v>3.0386729061540271E-2</v>
      </c>
      <c r="F251" s="278">
        <f t="shared" si="87"/>
        <v>3.0849047313902336E-2</v>
      </c>
      <c r="G251" s="278">
        <f t="shared" si="87"/>
        <v>2.9884031954517894E-2</v>
      </c>
      <c r="I251" s="279">
        <f t="shared" si="82"/>
        <v>2.9358495896542543E-2</v>
      </c>
    </row>
    <row r="252" spans="1:9" x14ac:dyDescent="0.25">
      <c r="A252" s="137" t="s">
        <v>270</v>
      </c>
      <c r="B252" s="278">
        <f>(B174+B143+B144)/SUM(B207:B217)</f>
        <v>1.1992021110232513E-2</v>
      </c>
      <c r="C252" s="278">
        <f t="shared" ref="C252:G252" si="88">(C174+C143+C144)/SUM(C207:C217)</f>
        <v>1.0109314013996519E-2</v>
      </c>
      <c r="D252" s="278">
        <f t="shared" si="88"/>
        <v>1.1644934359281768E-2</v>
      </c>
      <c r="E252" s="278">
        <f t="shared" si="88"/>
        <v>1.1318059486522331E-2</v>
      </c>
      <c r="F252" s="278">
        <f t="shared" si="88"/>
        <v>1.1471269005036059E-2</v>
      </c>
      <c r="G252" s="278">
        <f t="shared" si="88"/>
        <v>1.0623935647902503E-2</v>
      </c>
      <c r="I252" s="279">
        <f t="shared" si="82"/>
        <v>1.1193255603828616E-2</v>
      </c>
    </row>
    <row r="253" spans="1:9" x14ac:dyDescent="0.25">
      <c r="A253" s="137" t="s">
        <v>112</v>
      </c>
      <c r="B253" s="278">
        <f>(B141+B145+B146+B147+B148+B149)/SUM(B207:B217)</f>
        <v>2.67267860401472E-2</v>
      </c>
      <c r="C253" s="278">
        <f t="shared" ref="C253:G253" si="89">(C141+C145+C146+C147+C148+C149)/SUM(C207:C217)</f>
        <v>2.701546100125379E-2</v>
      </c>
      <c r="D253" s="278">
        <f t="shared" si="89"/>
        <v>2.7774747462086514E-2</v>
      </c>
      <c r="E253" s="278">
        <f t="shared" si="89"/>
        <v>2.7597156844248516E-2</v>
      </c>
      <c r="F253" s="278">
        <f t="shared" si="89"/>
        <v>2.7396660298515747E-2</v>
      </c>
      <c r="G253" s="278">
        <f t="shared" si="89"/>
        <v>2.7024019809846478E-2</v>
      </c>
      <c r="I253" s="279">
        <f t="shared" si="82"/>
        <v>2.7255805242683038E-2</v>
      </c>
    </row>
    <row r="254" spans="1:9" x14ac:dyDescent="0.25">
      <c r="A254" s="137" t="s">
        <v>271</v>
      </c>
      <c r="B254" s="278">
        <f>(B181)/SUM(B207:B217)</f>
        <v>4.5708642809988969E-3</v>
      </c>
      <c r="C254" s="278">
        <f t="shared" ref="C254:G254" si="90">(C181)/SUM(C207:C217)</f>
        <v>4.6464429617598061E-3</v>
      </c>
      <c r="D254" s="278">
        <f t="shared" si="90"/>
        <v>4.6283489419322891E-3</v>
      </c>
      <c r="E254" s="278">
        <f t="shared" si="90"/>
        <v>4.6783740720662765E-3</v>
      </c>
      <c r="F254" s="278">
        <f t="shared" si="90"/>
        <v>4.7762376073170031E-3</v>
      </c>
      <c r="G254" s="278">
        <f t="shared" si="90"/>
        <v>4.9232573378432216E-3</v>
      </c>
      <c r="I254" s="279">
        <f t="shared" si="82"/>
        <v>4.7039208669862487E-3</v>
      </c>
    </row>
    <row r="255" spans="1:9" x14ac:dyDescent="0.25">
      <c r="A255" s="137" t="s">
        <v>272</v>
      </c>
      <c r="B255" s="278">
        <f>(B205+B209+B210+B211+B216+B217)/SUM(B207:B217)</f>
        <v>0.19305077865570822</v>
      </c>
      <c r="C255" s="278">
        <f>(C205+C209+C210+C211+C216+C217)/SUM(C207:C217)</f>
        <v>0.19128494115133018</v>
      </c>
      <c r="D255" s="278">
        <f t="shared" ref="D255:G255" si="91">(D205+D209+D210+D211+D216+D217)/SUM(D207:D217)</f>
        <v>0.18812356748012479</v>
      </c>
      <c r="E255" s="278">
        <f t="shared" si="91"/>
        <v>0.18880999307896826</v>
      </c>
      <c r="F255" s="278">
        <f t="shared" si="91"/>
        <v>0.1861678294360691</v>
      </c>
      <c r="G255" s="278">
        <f t="shared" si="91"/>
        <v>0.18781190143752274</v>
      </c>
      <c r="I255" s="279">
        <f t="shared" si="82"/>
        <v>0.1892081685399539</v>
      </c>
    </row>
    <row r="256" spans="1:9" x14ac:dyDescent="0.25">
      <c r="A256" s="137" t="s">
        <v>4</v>
      </c>
      <c r="B256" s="278">
        <f t="shared" ref="B256" si="92">(B183)/SUM(B207:B217)</f>
        <v>1.8590878138461941E-2</v>
      </c>
      <c r="C256" s="278">
        <f t="shared" ref="C256:G256" si="93">(C183)/SUM(C207:C217)</f>
        <v>2.3781524598582605E-2</v>
      </c>
      <c r="D256" s="278">
        <f t="shared" si="93"/>
        <v>2.3853053021761175E-2</v>
      </c>
      <c r="E256" s="278">
        <f t="shared" si="93"/>
        <v>2.3921021343960274E-2</v>
      </c>
      <c r="F256" s="278">
        <f t="shared" si="93"/>
        <v>2.3947682731612668E-2</v>
      </c>
      <c r="G256" s="278">
        <f t="shared" si="93"/>
        <v>2.4044290253160992E-2</v>
      </c>
      <c r="I256" s="279">
        <f t="shared" si="82"/>
        <v>2.3023075014589944E-2</v>
      </c>
    </row>
    <row r="257" spans="1:9" x14ac:dyDescent="0.25">
      <c r="A257" s="137" t="s">
        <v>273</v>
      </c>
      <c r="B257" s="278">
        <f>(B150)/SUM(B207:B217)</f>
        <v>1.5594305735022772E-3</v>
      </c>
      <c r="C257" s="278">
        <f t="shared" ref="C257:G257" si="94">(C150)/SUM(C207:C217)</f>
        <v>1.501283679299965E-3</v>
      </c>
      <c r="D257" s="278">
        <f t="shared" si="94"/>
        <v>1.5492905643929335E-3</v>
      </c>
      <c r="E257" s="278">
        <f t="shared" si="94"/>
        <v>1.6089266513313423E-3</v>
      </c>
      <c r="F257" s="278">
        <f t="shared" si="94"/>
        <v>1.6757468738817858E-3</v>
      </c>
      <c r="G257" s="278">
        <f t="shared" si="94"/>
        <v>1.8142242998695733E-3</v>
      </c>
      <c r="I257" s="279">
        <f>AVERAGE(B257:G257)</f>
        <v>1.6181504403796462E-3</v>
      </c>
    </row>
    <row r="258" spans="1:9" x14ac:dyDescent="0.25">
      <c r="A258" s="137" t="s">
        <v>274</v>
      </c>
      <c r="B258" s="278">
        <f>B185/SUM(B207:B217)</f>
        <v>2.2178568156476831E-4</v>
      </c>
      <c r="C258" s="278">
        <f t="shared" ref="C258:G258" si="95">C185/SUM(C207:C217)</f>
        <v>2.1318228246059503E-4</v>
      </c>
      <c r="D258" s="278">
        <f t="shared" si="95"/>
        <v>1.9295709756530173E-4</v>
      </c>
      <c r="E258" s="278">
        <f t="shared" si="95"/>
        <v>2.0379737583530334E-4</v>
      </c>
      <c r="F258" s="278">
        <f t="shared" si="95"/>
        <v>1.9593348063848574E-4</v>
      </c>
      <c r="G258" s="278">
        <f t="shared" si="95"/>
        <v>1.9018075419322426E-4</v>
      </c>
      <c r="I258" s="279">
        <f>AVERAGE(B258:G258)</f>
        <v>2.0297277870961303E-4</v>
      </c>
    </row>
    <row r="259" spans="1:9" x14ac:dyDescent="0.25">
      <c r="A259" s="137" t="s">
        <v>275</v>
      </c>
      <c r="B259" s="278">
        <f>(B159+B160)/SUM(B207:B217)</f>
        <v>1.4901225480132871E-3</v>
      </c>
      <c r="C259" s="278">
        <f t="shared" ref="C259:G259" si="96">(C159+C160)/SUM(C207:C217)</f>
        <v>1.6454069125127616E-3</v>
      </c>
      <c r="D259" s="278">
        <f t="shared" si="96"/>
        <v>1.7457934246817436E-3</v>
      </c>
      <c r="E259" s="278">
        <f t="shared" si="96"/>
        <v>1.6963825745281815E-3</v>
      </c>
      <c r="F259" s="278">
        <f t="shared" si="96"/>
        <v>1.6649158331683747E-3</v>
      </c>
      <c r="G259" s="278">
        <f t="shared" si="96"/>
        <v>1.6498749626280319E-3</v>
      </c>
      <c r="I259" s="279">
        <f>AVERAGE(B259:G259)</f>
        <v>1.6487493759220634E-3</v>
      </c>
    </row>
    <row r="260" spans="1:9" x14ac:dyDescent="0.25">
      <c r="A260" s="137" t="s">
        <v>276</v>
      </c>
      <c r="B260" s="278">
        <f>(B161+B162+B169+B170+B171+B173+B175)/SUM(B207:B217)</f>
        <v>9.2237112926480836E-3</v>
      </c>
      <c r="C260" s="278">
        <f t="shared" ref="C260:G260" si="97">(C161+C162+C169+C170+C171+C173+C175)/SUM(C207:C217)</f>
        <v>9.6407610506972965E-3</v>
      </c>
      <c r="D260" s="278">
        <f t="shared" si="97"/>
        <v>9.3833519698994696E-3</v>
      </c>
      <c r="E260" s="278">
        <f t="shared" si="97"/>
        <v>9.1787948452838851E-3</v>
      </c>
      <c r="F260" s="278">
        <f t="shared" si="97"/>
        <v>9.0015543449229653E-3</v>
      </c>
      <c r="G260" s="278">
        <f t="shared" si="97"/>
        <v>8.8790767767721289E-3</v>
      </c>
      <c r="I260" s="279">
        <f>AVERAGE(B260:G260)</f>
        <v>9.2178750467039727E-3</v>
      </c>
    </row>
    <row r="261" spans="1:9" x14ac:dyDescent="0.25">
      <c r="A261" s="137" t="s">
        <v>153</v>
      </c>
      <c r="B261" s="278">
        <f>(B163+B172+B184+B186+B187+B189+B191+B136+B190)/SUM(B207:B217)</f>
        <v>1.5740301574602274E-2</v>
      </c>
      <c r="C261" s="278">
        <f t="shared" ref="C261:G261" si="98">(C163+C172+C184+C186+C187+C189+C191+C136+C190)/SUM(C207:C217)</f>
        <v>1.5487579662443202E-2</v>
      </c>
      <c r="D261" s="278">
        <f t="shared" si="98"/>
        <v>1.5419511900821073E-2</v>
      </c>
      <c r="E261" s="278">
        <f t="shared" si="98"/>
        <v>1.525735624090991E-2</v>
      </c>
      <c r="F261" s="278">
        <f t="shared" si="98"/>
        <v>1.5001127949000524E-2</v>
      </c>
      <c r="G261" s="278">
        <f t="shared" si="98"/>
        <v>1.4934672744262332E-2</v>
      </c>
      <c r="I261" s="279">
        <f>AVERAGE(B261:G261)</f>
        <v>1.5306758345339885E-2</v>
      </c>
    </row>
    <row r="263" spans="1:9" x14ac:dyDescent="0.25">
      <c r="B263" s="279">
        <f>SUM(B247:B262)</f>
        <v>1.0000000000000002</v>
      </c>
      <c r="C263" s="279">
        <f>SUM(C247:C262)</f>
        <v>0.99999999999999978</v>
      </c>
      <c r="D263" s="279">
        <f>SUM(D247:D262)</f>
        <v>1.0000000000000002</v>
      </c>
      <c r="E263" s="279">
        <f t="shared" ref="E263:G263" si="99">SUM(E247:E262)</f>
        <v>1.0000000000000002</v>
      </c>
      <c r="F263" s="279">
        <f t="shared" si="99"/>
        <v>1</v>
      </c>
      <c r="G263" s="279">
        <f t="shared" si="99"/>
        <v>1.0000000000000002</v>
      </c>
      <c r="I263" s="279">
        <f t="shared" ref="I263" si="100">SUM(I247:I262)</f>
        <v>1</v>
      </c>
    </row>
    <row r="266" spans="1:9" x14ac:dyDescent="0.25">
      <c r="B266" s="155"/>
    </row>
  </sheetData>
  <pageMargins left="0.7" right="0.7" top="0.75" bottom="0.75" header="0.3" footer="0.3"/>
  <pageSetup scale="62" orientation="portrait" horizontalDpi="100" verticalDpi="100" r:id="rId1"/>
  <rowBreaks count="3" manualBreakCount="3">
    <brk id="71" max="16383" man="1"/>
    <brk id="151" max="16383" man="1"/>
    <brk id="223" max="6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15"/>
  <sheetViews>
    <sheetView topLeftCell="A79" zoomScale="75" zoomScaleNormal="75" workbookViewId="0">
      <pane xSplit="1" topLeftCell="B1" activePane="topRight" state="frozen"/>
      <selection activeCell="A43" sqref="A43"/>
      <selection pane="topRight" activeCell="F31" sqref="F31"/>
    </sheetView>
  </sheetViews>
  <sheetFormatPr defaultRowHeight="15" x14ac:dyDescent="0.25"/>
  <cols>
    <col min="1" max="1" width="46.85546875" customWidth="1"/>
    <col min="2" max="4" width="17.140625" bestFit="1" customWidth="1"/>
    <col min="5" max="16" width="15.85546875" customWidth="1"/>
  </cols>
  <sheetData>
    <row r="1" spans="1:16" x14ac:dyDescent="0.25">
      <c r="A1" s="1" t="s">
        <v>263</v>
      </c>
      <c r="B1" s="3" t="s">
        <v>278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5">
      <c r="A2" s="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x14ac:dyDescent="0.25">
      <c r="A3" s="361" t="s">
        <v>246</v>
      </c>
      <c r="B3" s="373" t="s">
        <v>279</v>
      </c>
      <c r="C3" s="58" t="s">
        <v>280</v>
      </c>
      <c r="D3" s="374" t="s">
        <v>281</v>
      </c>
      <c r="E3" s="365" t="s">
        <v>282</v>
      </c>
      <c r="F3" s="58" t="s">
        <v>283</v>
      </c>
      <c r="G3" s="58" t="s">
        <v>284</v>
      </c>
      <c r="H3" s="58" t="s">
        <v>285</v>
      </c>
      <c r="I3" s="58" t="s">
        <v>286</v>
      </c>
      <c r="J3" s="58" t="s">
        <v>287</v>
      </c>
      <c r="K3" s="58" t="s">
        <v>288</v>
      </c>
      <c r="L3" s="58" t="s">
        <v>289</v>
      </c>
      <c r="M3" s="58" t="s">
        <v>290</v>
      </c>
      <c r="N3" s="58" t="s">
        <v>291</v>
      </c>
      <c r="O3" s="58" t="s">
        <v>292</v>
      </c>
      <c r="P3" s="58" t="s">
        <v>293</v>
      </c>
    </row>
    <row r="4" spans="1:16" x14ac:dyDescent="0.25">
      <c r="A4" s="60" t="s">
        <v>69</v>
      </c>
      <c r="B4" s="369">
        <f>'6-Year - Springs (new campus)'!C74</f>
        <v>4765136.8049999997</v>
      </c>
      <c r="C4" s="7">
        <f>D4-B4</f>
        <v>0</v>
      </c>
      <c r="D4" s="370">
        <f>SUM(E4:P4)</f>
        <v>4765136.8049999997</v>
      </c>
      <c r="E4" s="364">
        <f>B4/12</f>
        <v>397094.73374999996</v>
      </c>
      <c r="F4" s="7">
        <f>E4</f>
        <v>397094.73374999996</v>
      </c>
      <c r="G4" s="7">
        <f t="shared" ref="G4:P4" si="0">F4</f>
        <v>397094.73374999996</v>
      </c>
      <c r="H4" s="7">
        <f t="shared" si="0"/>
        <v>397094.73374999996</v>
      </c>
      <c r="I4" s="7">
        <f t="shared" si="0"/>
        <v>397094.73374999996</v>
      </c>
      <c r="J4" s="7">
        <f t="shared" si="0"/>
        <v>397094.73374999996</v>
      </c>
      <c r="K4" s="7">
        <f t="shared" si="0"/>
        <v>397094.73374999996</v>
      </c>
      <c r="L4" s="7">
        <f t="shared" si="0"/>
        <v>397094.73374999996</v>
      </c>
      <c r="M4" s="7">
        <f t="shared" si="0"/>
        <v>397094.73374999996</v>
      </c>
      <c r="N4" s="7">
        <f t="shared" si="0"/>
        <v>397094.73374999996</v>
      </c>
      <c r="O4" s="7">
        <f t="shared" si="0"/>
        <v>397094.73374999996</v>
      </c>
      <c r="P4" s="7">
        <f t="shared" si="0"/>
        <v>397094.73374999996</v>
      </c>
    </row>
    <row r="5" spans="1:16" x14ac:dyDescent="0.25">
      <c r="A5" s="62" t="s">
        <v>70</v>
      </c>
      <c r="B5" s="369">
        <f>'6-Year - Springs (new campus)'!C75</f>
        <v>0</v>
      </c>
      <c r="C5" s="7">
        <f t="shared" ref="C5:C15" si="1">D5-B5</f>
        <v>0</v>
      </c>
      <c r="D5" s="370">
        <f t="shared" ref="D5:D15" si="2">SUM(E5:P5)</f>
        <v>0</v>
      </c>
      <c r="E5" s="364">
        <f t="shared" ref="E5:E15" si="3">B5/12</f>
        <v>0</v>
      </c>
      <c r="F5" s="7">
        <f t="shared" ref="F5:P5" si="4">E5</f>
        <v>0</v>
      </c>
      <c r="G5" s="7">
        <f t="shared" si="4"/>
        <v>0</v>
      </c>
      <c r="H5" s="7">
        <f t="shared" si="4"/>
        <v>0</v>
      </c>
      <c r="I5" s="7">
        <f t="shared" si="4"/>
        <v>0</v>
      </c>
      <c r="J5" s="7">
        <f t="shared" si="4"/>
        <v>0</v>
      </c>
      <c r="K5" s="7">
        <f t="shared" si="4"/>
        <v>0</v>
      </c>
      <c r="L5" s="7">
        <f t="shared" si="4"/>
        <v>0</v>
      </c>
      <c r="M5" s="7">
        <f t="shared" si="4"/>
        <v>0</v>
      </c>
      <c r="N5" s="7">
        <f t="shared" si="4"/>
        <v>0</v>
      </c>
      <c r="O5" s="7">
        <f t="shared" si="4"/>
        <v>0</v>
      </c>
      <c r="P5" s="7">
        <f t="shared" si="4"/>
        <v>0</v>
      </c>
    </row>
    <row r="6" spans="1:16" x14ac:dyDescent="0.25">
      <c r="A6" s="62" t="s">
        <v>71</v>
      </c>
      <c r="B6" s="369">
        <f>'6-Year - Springs (new campus)'!C76</f>
        <v>278640</v>
      </c>
      <c r="C6" s="7">
        <f t="shared" si="1"/>
        <v>0</v>
      </c>
      <c r="D6" s="370">
        <f t="shared" si="2"/>
        <v>278640</v>
      </c>
      <c r="E6" s="364"/>
      <c r="F6" s="7"/>
      <c r="G6" s="7">
        <f>B6/10</f>
        <v>27864</v>
      </c>
      <c r="H6" s="7">
        <f t="shared" ref="H6:P7" si="5">G6</f>
        <v>27864</v>
      </c>
      <c r="I6" s="7">
        <f t="shared" si="5"/>
        <v>27864</v>
      </c>
      <c r="J6" s="7">
        <f t="shared" si="5"/>
        <v>27864</v>
      </c>
      <c r="K6" s="7">
        <f t="shared" si="5"/>
        <v>27864</v>
      </c>
      <c r="L6" s="7">
        <f t="shared" si="5"/>
        <v>27864</v>
      </c>
      <c r="M6" s="7">
        <f t="shared" si="5"/>
        <v>27864</v>
      </c>
      <c r="N6" s="7">
        <f t="shared" si="5"/>
        <v>27864</v>
      </c>
      <c r="O6" s="7">
        <f t="shared" si="5"/>
        <v>27864</v>
      </c>
      <c r="P6" s="7">
        <f t="shared" si="5"/>
        <v>27864</v>
      </c>
    </row>
    <row r="7" spans="1:16" x14ac:dyDescent="0.25">
      <c r="A7" s="62" t="s">
        <v>72</v>
      </c>
      <c r="B7" s="369">
        <f>'6-Year - Springs (new campus)'!C77</f>
        <v>38000</v>
      </c>
      <c r="C7" s="7">
        <f t="shared" si="1"/>
        <v>0</v>
      </c>
      <c r="D7" s="370">
        <f t="shared" si="2"/>
        <v>38000</v>
      </c>
      <c r="E7" s="364"/>
      <c r="F7" s="7"/>
      <c r="G7" s="7">
        <f>B7/10</f>
        <v>3800</v>
      </c>
      <c r="H7" s="7">
        <f t="shared" si="5"/>
        <v>3800</v>
      </c>
      <c r="I7" s="7">
        <f t="shared" si="5"/>
        <v>3800</v>
      </c>
      <c r="J7" s="7">
        <f t="shared" si="5"/>
        <v>3800</v>
      </c>
      <c r="K7" s="7">
        <f t="shared" si="5"/>
        <v>3800</v>
      </c>
      <c r="L7" s="7">
        <f t="shared" si="5"/>
        <v>3800</v>
      </c>
      <c r="M7" s="7">
        <f t="shared" si="5"/>
        <v>3800</v>
      </c>
      <c r="N7" s="7">
        <f t="shared" si="5"/>
        <v>3800</v>
      </c>
      <c r="O7" s="7">
        <f t="shared" si="5"/>
        <v>3800</v>
      </c>
      <c r="P7" s="7">
        <f t="shared" si="5"/>
        <v>3800</v>
      </c>
    </row>
    <row r="8" spans="1:16" x14ac:dyDescent="0.25">
      <c r="A8" s="141" t="s">
        <v>73</v>
      </c>
      <c r="B8" s="369">
        <f>'6-Year - Springs (new campus)'!C78</f>
        <v>0</v>
      </c>
      <c r="C8" s="7">
        <f t="shared" si="1"/>
        <v>0</v>
      </c>
      <c r="D8" s="370">
        <f t="shared" si="2"/>
        <v>0</v>
      </c>
      <c r="E8" s="364">
        <f t="shared" si="3"/>
        <v>0</v>
      </c>
      <c r="F8" s="7">
        <f t="shared" ref="F8:P8" si="6">E8</f>
        <v>0</v>
      </c>
      <c r="G8" s="7">
        <f t="shared" si="6"/>
        <v>0</v>
      </c>
      <c r="H8" s="7">
        <f t="shared" si="6"/>
        <v>0</v>
      </c>
      <c r="I8" s="7">
        <f t="shared" si="6"/>
        <v>0</v>
      </c>
      <c r="J8" s="7">
        <f t="shared" si="6"/>
        <v>0</v>
      </c>
      <c r="K8" s="7">
        <f t="shared" si="6"/>
        <v>0</v>
      </c>
      <c r="L8" s="7">
        <f t="shared" si="6"/>
        <v>0</v>
      </c>
      <c r="M8" s="7">
        <f t="shared" si="6"/>
        <v>0</v>
      </c>
      <c r="N8" s="7">
        <f t="shared" si="6"/>
        <v>0</v>
      </c>
      <c r="O8" s="7">
        <f t="shared" si="6"/>
        <v>0</v>
      </c>
      <c r="P8" s="7">
        <f t="shared" si="6"/>
        <v>0</v>
      </c>
    </row>
    <row r="9" spans="1:16" x14ac:dyDescent="0.25">
      <c r="A9" s="62" t="s">
        <v>74</v>
      </c>
      <c r="B9" s="369">
        <f>'6-Year - Springs (new campus)'!C79</f>
        <v>0</v>
      </c>
      <c r="C9" s="7">
        <f t="shared" si="1"/>
        <v>0</v>
      </c>
      <c r="D9" s="370">
        <f t="shared" si="2"/>
        <v>0</v>
      </c>
      <c r="E9" s="364">
        <f t="shared" si="3"/>
        <v>0</v>
      </c>
      <c r="F9" s="7">
        <f t="shared" ref="F9:P9" si="7">E9</f>
        <v>0</v>
      </c>
      <c r="G9" s="7">
        <f t="shared" si="7"/>
        <v>0</v>
      </c>
      <c r="H9" s="7">
        <f t="shared" si="7"/>
        <v>0</v>
      </c>
      <c r="I9" s="7">
        <f t="shared" si="7"/>
        <v>0</v>
      </c>
      <c r="J9" s="7">
        <f t="shared" si="7"/>
        <v>0</v>
      </c>
      <c r="K9" s="7">
        <f t="shared" si="7"/>
        <v>0</v>
      </c>
      <c r="L9" s="7">
        <f t="shared" si="7"/>
        <v>0</v>
      </c>
      <c r="M9" s="7">
        <f t="shared" si="7"/>
        <v>0</v>
      </c>
      <c r="N9" s="7">
        <f t="shared" si="7"/>
        <v>0</v>
      </c>
      <c r="O9" s="7">
        <f t="shared" si="7"/>
        <v>0</v>
      </c>
      <c r="P9" s="7">
        <f t="shared" si="7"/>
        <v>0</v>
      </c>
    </row>
    <row r="10" spans="1:16" x14ac:dyDescent="0.25">
      <c r="A10" s="62" t="s">
        <v>75</v>
      </c>
      <c r="B10" s="369">
        <f>'6-Year - Springs (new campus)'!C80</f>
        <v>0</v>
      </c>
      <c r="C10" s="7">
        <f t="shared" si="1"/>
        <v>0</v>
      </c>
      <c r="D10" s="370">
        <f t="shared" si="2"/>
        <v>0</v>
      </c>
      <c r="E10" s="364">
        <f t="shared" si="3"/>
        <v>0</v>
      </c>
      <c r="F10" s="7">
        <f t="shared" ref="F10:P10" si="8">E10</f>
        <v>0</v>
      </c>
      <c r="G10" s="7">
        <f t="shared" si="8"/>
        <v>0</v>
      </c>
      <c r="H10" s="7">
        <f t="shared" si="8"/>
        <v>0</v>
      </c>
      <c r="I10" s="7">
        <f t="shared" si="8"/>
        <v>0</v>
      </c>
      <c r="J10" s="7">
        <f t="shared" si="8"/>
        <v>0</v>
      </c>
      <c r="K10" s="7">
        <f t="shared" si="8"/>
        <v>0</v>
      </c>
      <c r="L10" s="7">
        <f t="shared" si="8"/>
        <v>0</v>
      </c>
      <c r="M10" s="7">
        <f t="shared" si="8"/>
        <v>0</v>
      </c>
      <c r="N10" s="7">
        <f t="shared" si="8"/>
        <v>0</v>
      </c>
      <c r="O10" s="7">
        <f t="shared" si="8"/>
        <v>0</v>
      </c>
      <c r="P10" s="7">
        <f t="shared" si="8"/>
        <v>0</v>
      </c>
    </row>
    <row r="11" spans="1:16" x14ac:dyDescent="0.25">
      <c r="A11" s="62" t="s">
        <v>76</v>
      </c>
      <c r="B11" s="369">
        <f>'6-Year - Springs (new campus)'!C81</f>
        <v>0</v>
      </c>
      <c r="C11" s="7">
        <f t="shared" si="1"/>
        <v>0</v>
      </c>
      <c r="D11" s="370">
        <f t="shared" si="2"/>
        <v>0</v>
      </c>
      <c r="E11" s="364">
        <f t="shared" si="3"/>
        <v>0</v>
      </c>
      <c r="F11" s="7">
        <f t="shared" ref="F11:P11" si="9">E11</f>
        <v>0</v>
      </c>
      <c r="G11" s="7">
        <f t="shared" si="9"/>
        <v>0</v>
      </c>
      <c r="H11" s="7">
        <f t="shared" si="9"/>
        <v>0</v>
      </c>
      <c r="I11" s="7">
        <f t="shared" si="9"/>
        <v>0</v>
      </c>
      <c r="J11" s="7">
        <f t="shared" si="9"/>
        <v>0</v>
      </c>
      <c r="K11" s="7">
        <f t="shared" si="9"/>
        <v>0</v>
      </c>
      <c r="L11" s="7">
        <f t="shared" si="9"/>
        <v>0</v>
      </c>
      <c r="M11" s="7">
        <f t="shared" si="9"/>
        <v>0</v>
      </c>
      <c r="N11" s="7">
        <f t="shared" si="9"/>
        <v>0</v>
      </c>
      <c r="O11" s="7">
        <f t="shared" si="9"/>
        <v>0</v>
      </c>
      <c r="P11" s="7">
        <f t="shared" si="9"/>
        <v>0</v>
      </c>
    </row>
    <row r="12" spans="1:16" x14ac:dyDescent="0.25">
      <c r="A12" s="62" t="s">
        <v>247</v>
      </c>
      <c r="B12" s="369">
        <f>'6-Year - Springs (new campus)'!C82</f>
        <v>0</v>
      </c>
      <c r="C12" s="7">
        <f t="shared" si="1"/>
        <v>0</v>
      </c>
      <c r="D12" s="370">
        <f t="shared" si="2"/>
        <v>0</v>
      </c>
      <c r="E12" s="364">
        <f t="shared" si="3"/>
        <v>0</v>
      </c>
      <c r="F12" s="7">
        <f t="shared" ref="F12:P12" si="10">E12</f>
        <v>0</v>
      </c>
      <c r="G12" s="7">
        <f t="shared" si="10"/>
        <v>0</v>
      </c>
      <c r="H12" s="7">
        <f t="shared" si="10"/>
        <v>0</v>
      </c>
      <c r="I12" s="7">
        <f t="shared" si="10"/>
        <v>0</v>
      </c>
      <c r="J12" s="7">
        <f t="shared" si="10"/>
        <v>0</v>
      </c>
      <c r="K12" s="7">
        <f t="shared" si="10"/>
        <v>0</v>
      </c>
      <c r="L12" s="7">
        <f t="shared" si="10"/>
        <v>0</v>
      </c>
      <c r="M12" s="7">
        <f t="shared" si="10"/>
        <v>0</v>
      </c>
      <c r="N12" s="7">
        <f t="shared" si="10"/>
        <v>0</v>
      </c>
      <c r="O12" s="7">
        <f t="shared" si="10"/>
        <v>0</v>
      </c>
      <c r="P12" s="7">
        <f t="shared" si="10"/>
        <v>0</v>
      </c>
    </row>
    <row r="13" spans="1:16" x14ac:dyDescent="0.25">
      <c r="A13" s="154" t="s">
        <v>78</v>
      </c>
      <c r="B13" s="369">
        <f>'6-Year - Springs (new campus)'!C83</f>
        <v>0</v>
      </c>
      <c r="C13" s="7">
        <f t="shared" si="1"/>
        <v>0</v>
      </c>
      <c r="D13" s="370">
        <f t="shared" si="2"/>
        <v>0</v>
      </c>
      <c r="E13" s="364">
        <f t="shared" si="3"/>
        <v>0</v>
      </c>
      <c r="F13" s="7">
        <f t="shared" ref="F13:P13" si="11">E13</f>
        <v>0</v>
      </c>
      <c r="G13" s="7">
        <f t="shared" si="11"/>
        <v>0</v>
      </c>
      <c r="H13" s="7">
        <f t="shared" si="11"/>
        <v>0</v>
      </c>
      <c r="I13" s="7">
        <f t="shared" si="11"/>
        <v>0</v>
      </c>
      <c r="J13" s="7">
        <f t="shared" si="11"/>
        <v>0</v>
      </c>
      <c r="K13" s="7">
        <f t="shared" si="11"/>
        <v>0</v>
      </c>
      <c r="L13" s="7">
        <f t="shared" si="11"/>
        <v>0</v>
      </c>
      <c r="M13" s="7">
        <f t="shared" si="11"/>
        <v>0</v>
      </c>
      <c r="N13" s="7">
        <f t="shared" si="11"/>
        <v>0</v>
      </c>
      <c r="O13" s="7">
        <f t="shared" si="11"/>
        <v>0</v>
      </c>
      <c r="P13" s="7">
        <f t="shared" si="11"/>
        <v>0</v>
      </c>
    </row>
    <row r="14" spans="1:16" x14ac:dyDescent="0.25">
      <c r="A14" s="62" t="s">
        <v>77</v>
      </c>
      <c r="B14" s="369">
        <f>'6-Year - Springs (new campus)'!C84</f>
        <v>0</v>
      </c>
      <c r="C14" s="7">
        <f t="shared" si="1"/>
        <v>0</v>
      </c>
      <c r="D14" s="370">
        <f t="shared" si="2"/>
        <v>0</v>
      </c>
      <c r="E14" s="364">
        <f t="shared" si="3"/>
        <v>0</v>
      </c>
      <c r="F14" s="7">
        <f t="shared" ref="F14:P14" si="12">E14</f>
        <v>0</v>
      </c>
      <c r="G14" s="7">
        <f t="shared" si="12"/>
        <v>0</v>
      </c>
      <c r="H14" s="7">
        <f t="shared" si="12"/>
        <v>0</v>
      </c>
      <c r="I14" s="7">
        <f t="shared" si="12"/>
        <v>0</v>
      </c>
      <c r="J14" s="7">
        <f t="shared" si="12"/>
        <v>0</v>
      </c>
      <c r="K14" s="7">
        <f t="shared" si="12"/>
        <v>0</v>
      </c>
      <c r="L14" s="7">
        <f t="shared" si="12"/>
        <v>0</v>
      </c>
      <c r="M14" s="7">
        <f t="shared" si="12"/>
        <v>0</v>
      </c>
      <c r="N14" s="7">
        <f t="shared" si="12"/>
        <v>0</v>
      </c>
      <c r="O14" s="7">
        <f t="shared" si="12"/>
        <v>0</v>
      </c>
      <c r="P14" s="7">
        <f t="shared" si="12"/>
        <v>0</v>
      </c>
    </row>
    <row r="15" spans="1:16" ht="15.75" thickBot="1" x14ac:dyDescent="0.3">
      <c r="A15" s="65" t="s">
        <v>79</v>
      </c>
      <c r="B15" s="369">
        <f>'6-Year - Springs (new campus)'!C85</f>
        <v>11360</v>
      </c>
      <c r="C15" s="7">
        <f t="shared" si="1"/>
        <v>0</v>
      </c>
      <c r="D15" s="370">
        <f t="shared" si="2"/>
        <v>11359.999999999998</v>
      </c>
      <c r="E15" s="364">
        <f t="shared" si="3"/>
        <v>946.66666666666663</v>
      </c>
      <c r="F15" s="7">
        <f t="shared" ref="F15:P15" si="13">E15</f>
        <v>946.66666666666663</v>
      </c>
      <c r="G15" s="7">
        <f t="shared" si="13"/>
        <v>946.66666666666663</v>
      </c>
      <c r="H15" s="7">
        <f t="shared" si="13"/>
        <v>946.66666666666663</v>
      </c>
      <c r="I15" s="7">
        <f t="shared" si="13"/>
        <v>946.66666666666663</v>
      </c>
      <c r="J15" s="7">
        <f t="shared" si="13"/>
        <v>946.66666666666663</v>
      </c>
      <c r="K15" s="7">
        <f t="shared" si="13"/>
        <v>946.66666666666663</v>
      </c>
      <c r="L15" s="7">
        <f t="shared" si="13"/>
        <v>946.66666666666663</v>
      </c>
      <c r="M15" s="7">
        <f t="shared" si="13"/>
        <v>946.66666666666663</v>
      </c>
      <c r="N15" s="7">
        <f t="shared" si="13"/>
        <v>946.66666666666663</v>
      </c>
      <c r="O15" s="7">
        <f t="shared" si="13"/>
        <v>946.66666666666663</v>
      </c>
      <c r="P15" s="7">
        <f t="shared" si="13"/>
        <v>946.66666666666663</v>
      </c>
    </row>
    <row r="16" spans="1:16" ht="15.75" thickBot="1" x14ac:dyDescent="0.3">
      <c r="A16" s="67" t="s">
        <v>80</v>
      </c>
      <c r="B16" s="68">
        <f>SUM(B4:B15)</f>
        <v>5093136.8049999997</v>
      </c>
      <c r="C16" s="68">
        <f t="shared" ref="C16" si="14">SUM(C4:C15)</f>
        <v>0</v>
      </c>
      <c r="D16" s="68">
        <f t="shared" ref="D16:E16" si="15">SUM(D4:D15)</f>
        <v>5093136.8049999997</v>
      </c>
      <c r="E16" s="366">
        <f t="shared" si="15"/>
        <v>398041.40041666664</v>
      </c>
      <c r="F16" s="68">
        <f t="shared" ref="F16:P16" si="16">SUM(F4:F15)</f>
        <v>398041.40041666664</v>
      </c>
      <c r="G16" s="68">
        <f t="shared" si="16"/>
        <v>429705.40041666664</v>
      </c>
      <c r="H16" s="68">
        <f t="shared" si="16"/>
        <v>429705.40041666664</v>
      </c>
      <c r="I16" s="68">
        <f t="shared" si="16"/>
        <v>429705.40041666664</v>
      </c>
      <c r="J16" s="68">
        <f t="shared" si="16"/>
        <v>429705.40041666664</v>
      </c>
      <c r="K16" s="68">
        <f t="shared" si="16"/>
        <v>429705.40041666664</v>
      </c>
      <c r="L16" s="68">
        <f t="shared" si="16"/>
        <v>429705.40041666664</v>
      </c>
      <c r="M16" s="68">
        <f t="shared" si="16"/>
        <v>429705.40041666664</v>
      </c>
      <c r="N16" s="68">
        <f t="shared" si="16"/>
        <v>429705.40041666664</v>
      </c>
      <c r="O16" s="68">
        <f t="shared" si="16"/>
        <v>429705.40041666664</v>
      </c>
      <c r="P16" s="68">
        <f t="shared" si="16"/>
        <v>429705.40041666664</v>
      </c>
    </row>
    <row r="17" spans="1:16" x14ac:dyDescent="0.25">
      <c r="A17" s="70"/>
      <c r="B17" s="371"/>
      <c r="C17" s="55"/>
      <c r="D17" s="372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</row>
    <row r="18" spans="1:16" ht="15.75" thickBot="1" x14ac:dyDescent="0.3">
      <c r="A18" s="73" t="s">
        <v>82</v>
      </c>
      <c r="B18" s="375" t="str">
        <f>B3</f>
        <v>Budget</v>
      </c>
      <c r="C18" s="74" t="str">
        <f>C3</f>
        <v>Difference</v>
      </c>
      <c r="D18" s="376" t="str">
        <f>D3</f>
        <v>Total</v>
      </c>
      <c r="E18" s="367" t="str">
        <f>E3</f>
        <v>July</v>
      </c>
      <c r="F18" s="74" t="str">
        <f>F3</f>
        <v>August</v>
      </c>
      <c r="G18" s="74" t="str">
        <f t="shared" ref="G18:P18" si="17">G3</f>
        <v>September</v>
      </c>
      <c r="H18" s="74" t="str">
        <f t="shared" si="17"/>
        <v>October</v>
      </c>
      <c r="I18" s="74" t="str">
        <f t="shared" si="17"/>
        <v>November</v>
      </c>
      <c r="J18" s="74" t="str">
        <f t="shared" si="17"/>
        <v>December</v>
      </c>
      <c r="K18" s="74" t="str">
        <f t="shared" si="17"/>
        <v>January</v>
      </c>
      <c r="L18" s="74" t="str">
        <f t="shared" si="17"/>
        <v>February</v>
      </c>
      <c r="M18" s="74" t="str">
        <f t="shared" si="17"/>
        <v>March</v>
      </c>
      <c r="N18" s="74" t="str">
        <f t="shared" si="17"/>
        <v>April</v>
      </c>
      <c r="O18" s="74" t="str">
        <f t="shared" si="17"/>
        <v>May</v>
      </c>
      <c r="P18" s="74" t="str">
        <f t="shared" si="17"/>
        <v>June</v>
      </c>
    </row>
    <row r="19" spans="1:16" x14ac:dyDescent="0.25">
      <c r="A19" s="378" t="s">
        <v>41</v>
      </c>
      <c r="B19" s="369">
        <f>'6-Year - Springs (new campus)'!C103</f>
        <v>110000</v>
      </c>
      <c r="C19" s="7">
        <f>D19-B19</f>
        <v>0</v>
      </c>
      <c r="D19" s="370">
        <f>SUM(E19:P19)</f>
        <v>110000.00000000001</v>
      </c>
      <c r="E19" s="364">
        <f>B19/12</f>
        <v>9166.6666666666661</v>
      </c>
      <c r="F19" s="7">
        <f>E19</f>
        <v>9166.6666666666661</v>
      </c>
      <c r="G19" s="7">
        <f t="shared" ref="G19:P19" si="18">F19</f>
        <v>9166.6666666666661</v>
      </c>
      <c r="H19" s="7">
        <f t="shared" si="18"/>
        <v>9166.6666666666661</v>
      </c>
      <c r="I19" s="7">
        <f t="shared" si="18"/>
        <v>9166.6666666666661</v>
      </c>
      <c r="J19" s="7">
        <f t="shared" si="18"/>
        <v>9166.6666666666661</v>
      </c>
      <c r="K19" s="7">
        <f t="shared" si="18"/>
        <v>9166.6666666666661</v>
      </c>
      <c r="L19" s="7">
        <f t="shared" si="18"/>
        <v>9166.6666666666661</v>
      </c>
      <c r="M19" s="7">
        <f t="shared" si="18"/>
        <v>9166.6666666666661</v>
      </c>
      <c r="N19" s="7">
        <f t="shared" si="18"/>
        <v>9166.6666666666661</v>
      </c>
      <c r="O19" s="7">
        <f t="shared" si="18"/>
        <v>9166.6666666666661</v>
      </c>
      <c r="P19" s="7">
        <f t="shared" si="18"/>
        <v>9166.6666666666661</v>
      </c>
    </row>
    <row r="20" spans="1:16" x14ac:dyDescent="0.25">
      <c r="A20" s="379" t="s">
        <v>84</v>
      </c>
      <c r="B20" s="369">
        <f>'6-Year - Springs (new campus)'!C104</f>
        <v>75000</v>
      </c>
      <c r="C20" s="7">
        <f t="shared" ref="C20:C31" si="19">D20-B20</f>
        <v>0</v>
      </c>
      <c r="D20" s="370">
        <f t="shared" ref="D20:D31" si="20">SUM(E20:P20)</f>
        <v>75000</v>
      </c>
      <c r="E20" s="364">
        <f t="shared" ref="E20:E31" si="21">B20/12</f>
        <v>6250</v>
      </c>
      <c r="F20" s="7">
        <f t="shared" ref="F20:P20" si="22">E20</f>
        <v>6250</v>
      </c>
      <c r="G20" s="7">
        <f t="shared" si="22"/>
        <v>6250</v>
      </c>
      <c r="H20" s="7">
        <f t="shared" si="22"/>
        <v>6250</v>
      </c>
      <c r="I20" s="7">
        <f t="shared" si="22"/>
        <v>6250</v>
      </c>
      <c r="J20" s="7">
        <f t="shared" si="22"/>
        <v>6250</v>
      </c>
      <c r="K20" s="7">
        <f t="shared" si="22"/>
        <v>6250</v>
      </c>
      <c r="L20" s="7">
        <f t="shared" si="22"/>
        <v>6250</v>
      </c>
      <c r="M20" s="7">
        <f t="shared" si="22"/>
        <v>6250</v>
      </c>
      <c r="N20" s="7">
        <f t="shared" si="22"/>
        <v>6250</v>
      </c>
      <c r="O20" s="7">
        <f t="shared" si="22"/>
        <v>6250</v>
      </c>
      <c r="P20" s="7">
        <f t="shared" si="22"/>
        <v>6250</v>
      </c>
    </row>
    <row r="21" spans="1:16" x14ac:dyDescent="0.25">
      <c r="A21" s="379" t="s">
        <v>45</v>
      </c>
      <c r="B21" s="369">
        <f>'6-Year - Springs (new campus)'!C105</f>
        <v>0</v>
      </c>
      <c r="C21" s="7">
        <f t="shared" si="19"/>
        <v>0</v>
      </c>
      <c r="D21" s="370">
        <f t="shared" si="20"/>
        <v>0</v>
      </c>
      <c r="E21" s="364">
        <f t="shared" si="21"/>
        <v>0</v>
      </c>
      <c r="F21" s="7">
        <f t="shared" ref="F21:P21" si="23">E21</f>
        <v>0</v>
      </c>
      <c r="G21" s="7">
        <f t="shared" si="23"/>
        <v>0</v>
      </c>
      <c r="H21" s="7">
        <f t="shared" si="23"/>
        <v>0</v>
      </c>
      <c r="I21" s="7">
        <f t="shared" si="23"/>
        <v>0</v>
      </c>
      <c r="J21" s="7">
        <f t="shared" si="23"/>
        <v>0</v>
      </c>
      <c r="K21" s="7">
        <f t="shared" si="23"/>
        <v>0</v>
      </c>
      <c r="L21" s="7">
        <f t="shared" si="23"/>
        <v>0</v>
      </c>
      <c r="M21" s="7">
        <f t="shared" si="23"/>
        <v>0</v>
      </c>
      <c r="N21" s="7">
        <f t="shared" si="23"/>
        <v>0</v>
      </c>
      <c r="O21" s="7">
        <f t="shared" si="23"/>
        <v>0</v>
      </c>
      <c r="P21" s="7">
        <f t="shared" si="23"/>
        <v>0</v>
      </c>
    </row>
    <row r="22" spans="1:16" x14ac:dyDescent="0.25">
      <c r="A22" s="379" t="s">
        <v>85</v>
      </c>
      <c r="B22" s="369">
        <f>'6-Year - Springs (new campus)'!C106</f>
        <v>65000</v>
      </c>
      <c r="C22" s="7">
        <f t="shared" si="19"/>
        <v>0</v>
      </c>
      <c r="D22" s="370">
        <f t="shared" si="20"/>
        <v>64999.999999999993</v>
      </c>
      <c r="E22" s="364">
        <f t="shared" si="21"/>
        <v>5416.666666666667</v>
      </c>
      <c r="F22" s="7">
        <f t="shared" ref="F22:P22" si="24">E22</f>
        <v>5416.666666666667</v>
      </c>
      <c r="G22" s="7">
        <f t="shared" si="24"/>
        <v>5416.666666666667</v>
      </c>
      <c r="H22" s="7">
        <f t="shared" si="24"/>
        <v>5416.666666666667</v>
      </c>
      <c r="I22" s="7">
        <f t="shared" si="24"/>
        <v>5416.666666666667</v>
      </c>
      <c r="J22" s="7">
        <f t="shared" si="24"/>
        <v>5416.666666666667</v>
      </c>
      <c r="K22" s="7">
        <f t="shared" si="24"/>
        <v>5416.666666666667</v>
      </c>
      <c r="L22" s="7">
        <f t="shared" si="24"/>
        <v>5416.666666666667</v>
      </c>
      <c r="M22" s="7">
        <f t="shared" si="24"/>
        <v>5416.666666666667</v>
      </c>
      <c r="N22" s="7">
        <f t="shared" si="24"/>
        <v>5416.666666666667</v>
      </c>
      <c r="O22" s="7">
        <f t="shared" si="24"/>
        <v>5416.666666666667</v>
      </c>
      <c r="P22" s="7">
        <f t="shared" si="24"/>
        <v>5416.666666666667</v>
      </c>
    </row>
    <row r="23" spans="1:16" x14ac:dyDescent="0.25">
      <c r="A23" s="379" t="s">
        <v>87</v>
      </c>
      <c r="B23" s="369">
        <f>'6-Year - Springs (new campus)'!C107</f>
        <v>0</v>
      </c>
      <c r="C23" s="7">
        <f t="shared" si="19"/>
        <v>0</v>
      </c>
      <c r="D23" s="370">
        <f t="shared" si="20"/>
        <v>0</v>
      </c>
      <c r="E23" s="364">
        <f t="shared" si="21"/>
        <v>0</v>
      </c>
      <c r="F23" s="7">
        <f t="shared" ref="F23:P23" si="25">E23</f>
        <v>0</v>
      </c>
      <c r="G23" s="7">
        <f t="shared" si="25"/>
        <v>0</v>
      </c>
      <c r="H23" s="7">
        <f t="shared" si="25"/>
        <v>0</v>
      </c>
      <c r="I23" s="7">
        <f t="shared" si="25"/>
        <v>0</v>
      </c>
      <c r="J23" s="7">
        <f t="shared" si="25"/>
        <v>0</v>
      </c>
      <c r="K23" s="7">
        <f t="shared" si="25"/>
        <v>0</v>
      </c>
      <c r="L23" s="7">
        <f t="shared" si="25"/>
        <v>0</v>
      </c>
      <c r="M23" s="7">
        <f t="shared" si="25"/>
        <v>0</v>
      </c>
      <c r="N23" s="7">
        <f t="shared" si="25"/>
        <v>0</v>
      </c>
      <c r="O23" s="7">
        <f t="shared" si="25"/>
        <v>0</v>
      </c>
      <c r="P23" s="7">
        <f t="shared" si="25"/>
        <v>0</v>
      </c>
    </row>
    <row r="24" spans="1:16" x14ac:dyDescent="0.25">
      <c r="A24" s="379" t="s">
        <v>89</v>
      </c>
      <c r="B24" s="369">
        <f>'6-Year - Springs (new campus)'!C108</f>
        <v>1363600</v>
      </c>
      <c r="C24" s="142">
        <f t="shared" si="19"/>
        <v>-113633.33333333326</v>
      </c>
      <c r="D24" s="370">
        <f t="shared" si="20"/>
        <v>1249966.6666666667</v>
      </c>
      <c r="E24" s="364">
        <f>0</f>
        <v>0</v>
      </c>
      <c r="F24" s="7">
        <f>B24/12</f>
        <v>113633.33333333333</v>
      </c>
      <c r="G24" s="7">
        <f t="shared" ref="G24:P24" si="26">F24</f>
        <v>113633.33333333333</v>
      </c>
      <c r="H24" s="7">
        <f t="shared" si="26"/>
        <v>113633.33333333333</v>
      </c>
      <c r="I24" s="7">
        <f t="shared" si="26"/>
        <v>113633.33333333333</v>
      </c>
      <c r="J24" s="7">
        <f t="shared" si="26"/>
        <v>113633.33333333333</v>
      </c>
      <c r="K24" s="7">
        <f t="shared" si="26"/>
        <v>113633.33333333333</v>
      </c>
      <c r="L24" s="7">
        <f t="shared" si="26"/>
        <v>113633.33333333333</v>
      </c>
      <c r="M24" s="7">
        <f t="shared" si="26"/>
        <v>113633.33333333333</v>
      </c>
      <c r="N24" s="7">
        <f t="shared" si="26"/>
        <v>113633.33333333333</v>
      </c>
      <c r="O24" s="7">
        <f t="shared" si="26"/>
        <v>113633.33333333333</v>
      </c>
      <c r="P24" s="7">
        <f t="shared" si="26"/>
        <v>113633.33333333333</v>
      </c>
    </row>
    <row r="25" spans="1:16" x14ac:dyDescent="0.25">
      <c r="A25" s="379" t="s">
        <v>90</v>
      </c>
      <c r="B25" s="369">
        <f>'6-Year - Springs (new campus)'!C109</f>
        <v>0</v>
      </c>
      <c r="C25" s="7">
        <f t="shared" si="19"/>
        <v>0</v>
      </c>
      <c r="D25" s="370">
        <f t="shared" si="20"/>
        <v>0</v>
      </c>
      <c r="E25" s="364">
        <f t="shared" si="21"/>
        <v>0</v>
      </c>
      <c r="F25" s="7">
        <f t="shared" ref="F25:P25" si="27">E25</f>
        <v>0</v>
      </c>
      <c r="G25" s="7">
        <f t="shared" si="27"/>
        <v>0</v>
      </c>
      <c r="H25" s="7">
        <f t="shared" si="27"/>
        <v>0</v>
      </c>
      <c r="I25" s="7">
        <f t="shared" si="27"/>
        <v>0</v>
      </c>
      <c r="J25" s="7">
        <f t="shared" si="27"/>
        <v>0</v>
      </c>
      <c r="K25" s="7">
        <f t="shared" si="27"/>
        <v>0</v>
      </c>
      <c r="L25" s="7">
        <f t="shared" si="27"/>
        <v>0</v>
      </c>
      <c r="M25" s="7">
        <f t="shared" si="27"/>
        <v>0</v>
      </c>
      <c r="N25" s="7">
        <f t="shared" si="27"/>
        <v>0</v>
      </c>
      <c r="O25" s="7">
        <f t="shared" si="27"/>
        <v>0</v>
      </c>
      <c r="P25" s="7">
        <f t="shared" si="27"/>
        <v>0</v>
      </c>
    </row>
    <row r="26" spans="1:16" x14ac:dyDescent="0.25">
      <c r="A26" s="379" t="s">
        <v>30</v>
      </c>
      <c r="B26" s="369">
        <f>'6-Year - Springs (new campus)'!C110</f>
        <v>146100</v>
      </c>
      <c r="C26" s="142">
        <f t="shared" si="19"/>
        <v>-12175</v>
      </c>
      <c r="D26" s="370">
        <f t="shared" si="20"/>
        <v>133925</v>
      </c>
      <c r="E26" s="364">
        <v>0</v>
      </c>
      <c r="F26" s="7">
        <f>B26/12</f>
        <v>12175</v>
      </c>
      <c r="G26" s="7">
        <f t="shared" ref="G26:P26" si="28">F26</f>
        <v>12175</v>
      </c>
      <c r="H26" s="7">
        <f t="shared" si="28"/>
        <v>12175</v>
      </c>
      <c r="I26" s="7">
        <f t="shared" si="28"/>
        <v>12175</v>
      </c>
      <c r="J26" s="7">
        <f t="shared" si="28"/>
        <v>12175</v>
      </c>
      <c r="K26" s="7">
        <f t="shared" si="28"/>
        <v>12175</v>
      </c>
      <c r="L26" s="7">
        <f t="shared" si="28"/>
        <v>12175</v>
      </c>
      <c r="M26" s="7">
        <f t="shared" si="28"/>
        <v>12175</v>
      </c>
      <c r="N26" s="7">
        <f t="shared" si="28"/>
        <v>12175</v>
      </c>
      <c r="O26" s="7">
        <f t="shared" si="28"/>
        <v>12175</v>
      </c>
      <c r="P26" s="7">
        <f t="shared" si="28"/>
        <v>12175</v>
      </c>
    </row>
    <row r="27" spans="1:16" x14ac:dyDescent="0.25">
      <c r="A27" s="379" t="s">
        <v>91</v>
      </c>
      <c r="B27" s="369">
        <f>'6-Year - Springs (new campus)'!C111</f>
        <v>45000</v>
      </c>
      <c r="C27" s="7">
        <f t="shared" si="19"/>
        <v>0</v>
      </c>
      <c r="D27" s="370">
        <f t="shared" si="20"/>
        <v>45000</v>
      </c>
      <c r="E27" s="364">
        <f t="shared" si="21"/>
        <v>3750</v>
      </c>
      <c r="F27" s="7">
        <f t="shared" ref="F27:P27" si="29">E27</f>
        <v>3750</v>
      </c>
      <c r="G27" s="7">
        <f t="shared" si="29"/>
        <v>3750</v>
      </c>
      <c r="H27" s="7">
        <f t="shared" si="29"/>
        <v>3750</v>
      </c>
      <c r="I27" s="7">
        <f t="shared" si="29"/>
        <v>3750</v>
      </c>
      <c r="J27" s="7">
        <f t="shared" si="29"/>
        <v>3750</v>
      </c>
      <c r="K27" s="7">
        <f t="shared" si="29"/>
        <v>3750</v>
      </c>
      <c r="L27" s="7">
        <f t="shared" si="29"/>
        <v>3750</v>
      </c>
      <c r="M27" s="7">
        <f t="shared" si="29"/>
        <v>3750</v>
      </c>
      <c r="N27" s="7">
        <f t="shared" si="29"/>
        <v>3750</v>
      </c>
      <c r="O27" s="7">
        <f t="shared" si="29"/>
        <v>3750</v>
      </c>
      <c r="P27" s="7">
        <f t="shared" si="29"/>
        <v>3750</v>
      </c>
    </row>
    <row r="28" spans="1:16" x14ac:dyDescent="0.25">
      <c r="A28" s="379" t="s">
        <v>92</v>
      </c>
      <c r="B28" s="369">
        <f>'6-Year - Springs (new campus)'!C112</f>
        <v>22400</v>
      </c>
      <c r="C28" s="7">
        <f t="shared" si="19"/>
        <v>0</v>
      </c>
      <c r="D28" s="370">
        <f t="shared" si="20"/>
        <v>22400.000000000004</v>
      </c>
      <c r="E28" s="364">
        <f t="shared" si="21"/>
        <v>1866.6666666666667</v>
      </c>
      <c r="F28" s="7">
        <f t="shared" ref="F28:P28" si="30">E28</f>
        <v>1866.6666666666667</v>
      </c>
      <c r="G28" s="7">
        <f t="shared" si="30"/>
        <v>1866.6666666666667</v>
      </c>
      <c r="H28" s="7">
        <f t="shared" si="30"/>
        <v>1866.6666666666667</v>
      </c>
      <c r="I28" s="7">
        <f t="shared" si="30"/>
        <v>1866.6666666666667</v>
      </c>
      <c r="J28" s="7">
        <f t="shared" si="30"/>
        <v>1866.6666666666667</v>
      </c>
      <c r="K28" s="7">
        <f t="shared" si="30"/>
        <v>1866.6666666666667</v>
      </c>
      <c r="L28" s="7">
        <f t="shared" si="30"/>
        <v>1866.6666666666667</v>
      </c>
      <c r="M28" s="7">
        <f t="shared" si="30"/>
        <v>1866.6666666666667</v>
      </c>
      <c r="N28" s="7">
        <f t="shared" si="30"/>
        <v>1866.6666666666667</v>
      </c>
      <c r="O28" s="7">
        <f t="shared" si="30"/>
        <v>1866.6666666666667</v>
      </c>
      <c r="P28" s="7">
        <f t="shared" si="30"/>
        <v>1866.6666666666667</v>
      </c>
    </row>
    <row r="29" spans="1:16" x14ac:dyDescent="0.25">
      <c r="A29" s="379" t="s">
        <v>93</v>
      </c>
      <c r="B29" s="369">
        <f>'6-Year - Springs (new campus)'!C113</f>
        <v>20160</v>
      </c>
      <c r="C29" s="7">
        <f t="shared" si="19"/>
        <v>0</v>
      </c>
      <c r="D29" s="370">
        <f t="shared" si="20"/>
        <v>20160</v>
      </c>
      <c r="E29" s="364">
        <f t="shared" si="21"/>
        <v>1680</v>
      </c>
      <c r="F29" s="7">
        <f t="shared" ref="F29:P29" si="31">E29</f>
        <v>1680</v>
      </c>
      <c r="G29" s="7">
        <f t="shared" si="31"/>
        <v>1680</v>
      </c>
      <c r="H29" s="7">
        <f t="shared" si="31"/>
        <v>1680</v>
      </c>
      <c r="I29" s="7">
        <f t="shared" si="31"/>
        <v>1680</v>
      </c>
      <c r="J29" s="7">
        <f t="shared" si="31"/>
        <v>1680</v>
      </c>
      <c r="K29" s="7">
        <f t="shared" si="31"/>
        <v>1680</v>
      </c>
      <c r="L29" s="7">
        <f t="shared" si="31"/>
        <v>1680</v>
      </c>
      <c r="M29" s="7">
        <f t="shared" si="31"/>
        <v>1680</v>
      </c>
      <c r="N29" s="7">
        <f t="shared" si="31"/>
        <v>1680</v>
      </c>
      <c r="O29" s="7">
        <f t="shared" si="31"/>
        <v>1680</v>
      </c>
      <c r="P29" s="7">
        <f t="shared" si="31"/>
        <v>1680</v>
      </c>
    </row>
    <row r="30" spans="1:16" x14ac:dyDescent="0.25">
      <c r="A30" s="379" t="s">
        <v>94</v>
      </c>
      <c r="B30" s="369">
        <f>'6-Year - Springs (new campus)'!C114</f>
        <v>26880</v>
      </c>
      <c r="C30" s="7">
        <f t="shared" si="19"/>
        <v>0</v>
      </c>
      <c r="D30" s="370">
        <f t="shared" si="20"/>
        <v>26880</v>
      </c>
      <c r="E30" s="364">
        <f t="shared" si="21"/>
        <v>2240</v>
      </c>
      <c r="F30" s="7">
        <f t="shared" ref="F30:P30" si="32">E30</f>
        <v>2240</v>
      </c>
      <c r="G30" s="7">
        <f t="shared" si="32"/>
        <v>2240</v>
      </c>
      <c r="H30" s="7">
        <f t="shared" si="32"/>
        <v>2240</v>
      </c>
      <c r="I30" s="7">
        <f t="shared" si="32"/>
        <v>2240</v>
      </c>
      <c r="J30" s="7">
        <f t="shared" si="32"/>
        <v>2240</v>
      </c>
      <c r="K30" s="7">
        <f t="shared" si="32"/>
        <v>2240</v>
      </c>
      <c r="L30" s="7">
        <f t="shared" si="32"/>
        <v>2240</v>
      </c>
      <c r="M30" s="7">
        <f t="shared" si="32"/>
        <v>2240</v>
      </c>
      <c r="N30" s="7">
        <f t="shared" si="32"/>
        <v>2240</v>
      </c>
      <c r="O30" s="7">
        <f t="shared" si="32"/>
        <v>2240</v>
      </c>
      <c r="P30" s="7">
        <f t="shared" si="32"/>
        <v>2240</v>
      </c>
    </row>
    <row r="31" spans="1:16" x14ac:dyDescent="0.25">
      <c r="A31" s="379" t="s">
        <v>248</v>
      </c>
      <c r="B31" s="369">
        <f>'6-Year - Springs (new campus)'!C115</f>
        <v>0</v>
      </c>
      <c r="C31" s="7">
        <f t="shared" si="19"/>
        <v>0</v>
      </c>
      <c r="D31" s="370">
        <f t="shared" si="20"/>
        <v>0</v>
      </c>
      <c r="E31" s="364">
        <f t="shared" si="21"/>
        <v>0</v>
      </c>
      <c r="F31" s="7">
        <f t="shared" ref="F31:P31" si="33">E31</f>
        <v>0</v>
      </c>
      <c r="G31" s="7">
        <f t="shared" si="33"/>
        <v>0</v>
      </c>
      <c r="H31" s="7">
        <f t="shared" si="33"/>
        <v>0</v>
      </c>
      <c r="I31" s="7">
        <f t="shared" si="33"/>
        <v>0</v>
      </c>
      <c r="J31" s="7">
        <f t="shared" si="33"/>
        <v>0</v>
      </c>
      <c r="K31" s="7">
        <f t="shared" si="33"/>
        <v>0</v>
      </c>
      <c r="L31" s="7">
        <f t="shared" si="33"/>
        <v>0</v>
      </c>
      <c r="M31" s="7">
        <f t="shared" si="33"/>
        <v>0</v>
      </c>
      <c r="N31" s="7">
        <f t="shared" si="33"/>
        <v>0</v>
      </c>
      <c r="O31" s="7">
        <f t="shared" si="33"/>
        <v>0</v>
      </c>
      <c r="P31" s="7">
        <f t="shared" si="33"/>
        <v>0</v>
      </c>
    </row>
    <row r="32" spans="1:16" x14ac:dyDescent="0.25">
      <c r="A32" s="379" t="s">
        <v>54</v>
      </c>
      <c r="B32" s="369">
        <f>'6-Year - Springs (new campus)'!C119</f>
        <v>0</v>
      </c>
      <c r="C32" s="7">
        <f t="shared" ref="C32:C40" si="34">D32-B32</f>
        <v>0</v>
      </c>
      <c r="D32" s="370">
        <f t="shared" ref="D32:D40" si="35">SUM(E32:P32)</f>
        <v>0</v>
      </c>
      <c r="E32" s="364">
        <f t="shared" ref="E32:E40" si="36">B32/12</f>
        <v>0</v>
      </c>
      <c r="F32" s="7">
        <f t="shared" ref="F32:P32" si="37">E32</f>
        <v>0</v>
      </c>
      <c r="G32" s="7">
        <f t="shared" si="37"/>
        <v>0</v>
      </c>
      <c r="H32" s="7">
        <f t="shared" si="37"/>
        <v>0</v>
      </c>
      <c r="I32" s="7">
        <f t="shared" si="37"/>
        <v>0</v>
      </c>
      <c r="J32" s="7">
        <f t="shared" si="37"/>
        <v>0</v>
      </c>
      <c r="K32" s="7">
        <f t="shared" si="37"/>
        <v>0</v>
      </c>
      <c r="L32" s="7">
        <f t="shared" si="37"/>
        <v>0</v>
      </c>
      <c r="M32" s="7">
        <f t="shared" si="37"/>
        <v>0</v>
      </c>
      <c r="N32" s="7">
        <f t="shared" si="37"/>
        <v>0</v>
      </c>
      <c r="O32" s="7">
        <f t="shared" si="37"/>
        <v>0</v>
      </c>
      <c r="P32" s="7">
        <f t="shared" si="37"/>
        <v>0</v>
      </c>
    </row>
    <row r="33" spans="1:16" x14ac:dyDescent="0.25">
      <c r="A33" s="379" t="s">
        <v>55</v>
      </c>
      <c r="B33" s="369">
        <f>'6-Year - Springs (new campus)'!C120</f>
        <v>0</v>
      </c>
      <c r="C33" s="7">
        <f t="shared" si="34"/>
        <v>0</v>
      </c>
      <c r="D33" s="370">
        <f t="shared" si="35"/>
        <v>0</v>
      </c>
      <c r="E33" s="364">
        <f t="shared" si="36"/>
        <v>0</v>
      </c>
      <c r="F33" s="7">
        <f t="shared" ref="F33:P33" si="38">E33</f>
        <v>0</v>
      </c>
      <c r="G33" s="7">
        <f t="shared" si="38"/>
        <v>0</v>
      </c>
      <c r="H33" s="7">
        <f t="shared" si="38"/>
        <v>0</v>
      </c>
      <c r="I33" s="7">
        <f t="shared" si="38"/>
        <v>0</v>
      </c>
      <c r="J33" s="7">
        <f t="shared" si="38"/>
        <v>0</v>
      </c>
      <c r="K33" s="7">
        <f t="shared" si="38"/>
        <v>0</v>
      </c>
      <c r="L33" s="7">
        <f t="shared" si="38"/>
        <v>0</v>
      </c>
      <c r="M33" s="7">
        <f t="shared" si="38"/>
        <v>0</v>
      </c>
      <c r="N33" s="7">
        <f t="shared" si="38"/>
        <v>0</v>
      </c>
      <c r="O33" s="7">
        <f t="shared" si="38"/>
        <v>0</v>
      </c>
      <c r="P33" s="7">
        <f t="shared" si="38"/>
        <v>0</v>
      </c>
    </row>
    <row r="34" spans="1:16" x14ac:dyDescent="0.25">
      <c r="A34" s="379" t="s">
        <v>56</v>
      </c>
      <c r="B34" s="369">
        <f>'6-Year - Springs (new campus)'!C121</f>
        <v>0</v>
      </c>
      <c r="C34" s="7">
        <f t="shared" si="34"/>
        <v>0</v>
      </c>
      <c r="D34" s="370">
        <f t="shared" si="35"/>
        <v>0</v>
      </c>
      <c r="E34" s="364">
        <f t="shared" si="36"/>
        <v>0</v>
      </c>
      <c r="F34" s="7">
        <f t="shared" ref="F34:P34" si="39">E34</f>
        <v>0</v>
      </c>
      <c r="G34" s="7">
        <f t="shared" si="39"/>
        <v>0</v>
      </c>
      <c r="H34" s="7">
        <f t="shared" si="39"/>
        <v>0</v>
      </c>
      <c r="I34" s="7">
        <f t="shared" si="39"/>
        <v>0</v>
      </c>
      <c r="J34" s="7">
        <f t="shared" si="39"/>
        <v>0</v>
      </c>
      <c r="K34" s="7">
        <f t="shared" si="39"/>
        <v>0</v>
      </c>
      <c r="L34" s="7">
        <f t="shared" si="39"/>
        <v>0</v>
      </c>
      <c r="M34" s="7">
        <f t="shared" si="39"/>
        <v>0</v>
      </c>
      <c r="N34" s="7">
        <f t="shared" si="39"/>
        <v>0</v>
      </c>
      <c r="O34" s="7">
        <f t="shared" si="39"/>
        <v>0</v>
      </c>
      <c r="P34" s="7">
        <f t="shared" si="39"/>
        <v>0</v>
      </c>
    </row>
    <row r="35" spans="1:16" x14ac:dyDescent="0.25">
      <c r="A35" s="379" t="s">
        <v>97</v>
      </c>
      <c r="B35" s="369">
        <f>'6-Year - Springs (new campus)'!C122</f>
        <v>0</v>
      </c>
      <c r="C35" s="7">
        <f t="shared" si="34"/>
        <v>0</v>
      </c>
      <c r="D35" s="370">
        <f t="shared" si="35"/>
        <v>0</v>
      </c>
      <c r="E35" s="364">
        <f t="shared" si="36"/>
        <v>0</v>
      </c>
      <c r="F35" s="7">
        <f t="shared" ref="F35:P35" si="40">E35</f>
        <v>0</v>
      </c>
      <c r="G35" s="7">
        <f t="shared" si="40"/>
        <v>0</v>
      </c>
      <c r="H35" s="7">
        <f t="shared" si="40"/>
        <v>0</v>
      </c>
      <c r="I35" s="7">
        <f t="shared" si="40"/>
        <v>0</v>
      </c>
      <c r="J35" s="7">
        <f t="shared" si="40"/>
        <v>0</v>
      </c>
      <c r="K35" s="7">
        <f t="shared" si="40"/>
        <v>0</v>
      </c>
      <c r="L35" s="7">
        <f t="shared" si="40"/>
        <v>0</v>
      </c>
      <c r="M35" s="7">
        <f t="shared" si="40"/>
        <v>0</v>
      </c>
      <c r="N35" s="7">
        <f t="shared" si="40"/>
        <v>0</v>
      </c>
      <c r="O35" s="7">
        <f t="shared" si="40"/>
        <v>0</v>
      </c>
      <c r="P35" s="7">
        <f t="shared" si="40"/>
        <v>0</v>
      </c>
    </row>
    <row r="36" spans="1:16" x14ac:dyDescent="0.25">
      <c r="A36" s="379" t="s">
        <v>58</v>
      </c>
      <c r="B36" s="369">
        <f>'6-Year - Springs (new campus)'!C123</f>
        <v>0</v>
      </c>
      <c r="C36" s="7">
        <f t="shared" si="34"/>
        <v>0</v>
      </c>
      <c r="D36" s="370">
        <f t="shared" si="35"/>
        <v>0</v>
      </c>
      <c r="E36" s="364">
        <f t="shared" si="36"/>
        <v>0</v>
      </c>
      <c r="F36" s="7">
        <f t="shared" ref="F36:P36" si="41">E36</f>
        <v>0</v>
      </c>
      <c r="G36" s="7">
        <f t="shared" si="41"/>
        <v>0</v>
      </c>
      <c r="H36" s="7">
        <f t="shared" si="41"/>
        <v>0</v>
      </c>
      <c r="I36" s="7">
        <f t="shared" si="41"/>
        <v>0</v>
      </c>
      <c r="J36" s="7">
        <f t="shared" si="41"/>
        <v>0</v>
      </c>
      <c r="K36" s="7">
        <f t="shared" si="41"/>
        <v>0</v>
      </c>
      <c r="L36" s="7">
        <f t="shared" si="41"/>
        <v>0</v>
      </c>
      <c r="M36" s="7">
        <f t="shared" si="41"/>
        <v>0</v>
      </c>
      <c r="N36" s="7">
        <f t="shared" si="41"/>
        <v>0</v>
      </c>
      <c r="O36" s="7">
        <f t="shared" si="41"/>
        <v>0</v>
      </c>
      <c r="P36" s="7">
        <f t="shared" si="41"/>
        <v>0</v>
      </c>
    </row>
    <row r="37" spans="1:16" x14ac:dyDescent="0.25">
      <c r="A37" s="379" t="s">
        <v>98</v>
      </c>
      <c r="B37" s="369">
        <f>'6-Year - Springs (new campus)'!C124</f>
        <v>0</v>
      </c>
      <c r="C37" s="7">
        <f t="shared" si="34"/>
        <v>0</v>
      </c>
      <c r="D37" s="370">
        <f t="shared" si="35"/>
        <v>0</v>
      </c>
      <c r="E37" s="364">
        <f t="shared" si="36"/>
        <v>0</v>
      </c>
      <c r="F37" s="7">
        <f t="shared" ref="F37:P37" si="42">E37</f>
        <v>0</v>
      </c>
      <c r="G37" s="7">
        <f t="shared" si="42"/>
        <v>0</v>
      </c>
      <c r="H37" s="7">
        <f t="shared" si="42"/>
        <v>0</v>
      </c>
      <c r="I37" s="7">
        <f t="shared" si="42"/>
        <v>0</v>
      </c>
      <c r="J37" s="7">
        <f t="shared" si="42"/>
        <v>0</v>
      </c>
      <c r="K37" s="7">
        <f t="shared" si="42"/>
        <v>0</v>
      </c>
      <c r="L37" s="7">
        <f t="shared" si="42"/>
        <v>0</v>
      </c>
      <c r="M37" s="7">
        <f t="shared" si="42"/>
        <v>0</v>
      </c>
      <c r="N37" s="7">
        <f t="shared" si="42"/>
        <v>0</v>
      </c>
      <c r="O37" s="7">
        <f t="shared" si="42"/>
        <v>0</v>
      </c>
      <c r="P37" s="7">
        <f t="shared" si="42"/>
        <v>0</v>
      </c>
    </row>
    <row r="38" spans="1:16" x14ac:dyDescent="0.25">
      <c r="A38" s="379" t="s">
        <v>99</v>
      </c>
      <c r="B38" s="369">
        <f>'6-Year - Springs (new campus)'!C125</f>
        <v>0</v>
      </c>
      <c r="C38" s="7">
        <f t="shared" si="34"/>
        <v>0</v>
      </c>
      <c r="D38" s="370">
        <f t="shared" si="35"/>
        <v>0</v>
      </c>
      <c r="E38" s="364">
        <f t="shared" si="36"/>
        <v>0</v>
      </c>
      <c r="F38" s="7">
        <f t="shared" ref="F38:P38" si="43">E38</f>
        <v>0</v>
      </c>
      <c r="G38" s="7">
        <f t="shared" si="43"/>
        <v>0</v>
      </c>
      <c r="H38" s="7">
        <f t="shared" si="43"/>
        <v>0</v>
      </c>
      <c r="I38" s="7">
        <f t="shared" si="43"/>
        <v>0</v>
      </c>
      <c r="J38" s="7">
        <f t="shared" si="43"/>
        <v>0</v>
      </c>
      <c r="K38" s="7">
        <f t="shared" si="43"/>
        <v>0</v>
      </c>
      <c r="L38" s="7">
        <f t="shared" si="43"/>
        <v>0</v>
      </c>
      <c r="M38" s="7">
        <f t="shared" si="43"/>
        <v>0</v>
      </c>
      <c r="N38" s="7">
        <f t="shared" si="43"/>
        <v>0</v>
      </c>
      <c r="O38" s="7">
        <f t="shared" si="43"/>
        <v>0</v>
      </c>
      <c r="P38" s="7">
        <f t="shared" si="43"/>
        <v>0</v>
      </c>
    </row>
    <row r="39" spans="1:16" x14ac:dyDescent="0.25">
      <c r="A39" s="379" t="s">
        <v>100</v>
      </c>
      <c r="B39" s="369">
        <f>'6-Year - Springs (new campus)'!C126</f>
        <v>20520</v>
      </c>
      <c r="C39" s="7">
        <f t="shared" si="34"/>
        <v>0</v>
      </c>
      <c r="D39" s="370">
        <f t="shared" si="35"/>
        <v>20520</v>
      </c>
      <c r="E39" s="364">
        <f t="shared" si="36"/>
        <v>1710</v>
      </c>
      <c r="F39" s="7">
        <f t="shared" ref="F39:P39" si="44">E39</f>
        <v>1710</v>
      </c>
      <c r="G39" s="7">
        <f t="shared" si="44"/>
        <v>1710</v>
      </c>
      <c r="H39" s="7">
        <f t="shared" si="44"/>
        <v>1710</v>
      </c>
      <c r="I39" s="7">
        <f t="shared" si="44"/>
        <v>1710</v>
      </c>
      <c r="J39" s="7">
        <f t="shared" si="44"/>
        <v>1710</v>
      </c>
      <c r="K39" s="7">
        <f t="shared" si="44"/>
        <v>1710</v>
      </c>
      <c r="L39" s="7">
        <f t="shared" si="44"/>
        <v>1710</v>
      </c>
      <c r="M39" s="7">
        <f t="shared" si="44"/>
        <v>1710</v>
      </c>
      <c r="N39" s="7">
        <f t="shared" si="44"/>
        <v>1710</v>
      </c>
      <c r="O39" s="7">
        <f t="shared" si="44"/>
        <v>1710</v>
      </c>
      <c r="P39" s="7">
        <f t="shared" si="44"/>
        <v>1710</v>
      </c>
    </row>
    <row r="40" spans="1:16" x14ac:dyDescent="0.25">
      <c r="A40" s="379" t="s">
        <v>101</v>
      </c>
      <c r="B40" s="369">
        <f>'6-Year - Springs (new campus)'!C127</f>
        <v>22500</v>
      </c>
      <c r="C40" s="7">
        <f t="shared" si="34"/>
        <v>0</v>
      </c>
      <c r="D40" s="370">
        <f t="shared" si="35"/>
        <v>22500</v>
      </c>
      <c r="E40" s="364">
        <f t="shared" si="36"/>
        <v>1875</v>
      </c>
      <c r="F40" s="7">
        <f t="shared" ref="F40:P40" si="45">E40</f>
        <v>1875</v>
      </c>
      <c r="G40" s="7">
        <f t="shared" si="45"/>
        <v>1875</v>
      </c>
      <c r="H40" s="7">
        <f t="shared" si="45"/>
        <v>1875</v>
      </c>
      <c r="I40" s="7">
        <f t="shared" si="45"/>
        <v>1875</v>
      </c>
      <c r="J40" s="7">
        <f t="shared" si="45"/>
        <v>1875</v>
      </c>
      <c r="K40" s="7">
        <f t="shared" si="45"/>
        <v>1875</v>
      </c>
      <c r="L40" s="7">
        <f t="shared" si="45"/>
        <v>1875</v>
      </c>
      <c r="M40" s="7">
        <f t="shared" si="45"/>
        <v>1875</v>
      </c>
      <c r="N40" s="7">
        <f t="shared" si="45"/>
        <v>1875</v>
      </c>
      <c r="O40" s="7">
        <f t="shared" si="45"/>
        <v>1875</v>
      </c>
      <c r="P40" s="7">
        <f t="shared" si="45"/>
        <v>1875</v>
      </c>
    </row>
    <row r="41" spans="1:16" x14ac:dyDescent="0.25">
      <c r="A41" s="379" t="s">
        <v>104</v>
      </c>
      <c r="B41" s="369">
        <f>'6-Year - Springs (new campus)'!C130</f>
        <v>570355.1</v>
      </c>
      <c r="C41" s="142">
        <f>D41-B41</f>
        <v>-37427.979166666628</v>
      </c>
      <c r="D41" s="370">
        <f>SUM(E41:P41)</f>
        <v>532927.12083333335</v>
      </c>
      <c r="E41" s="364">
        <f>SUM(E19:E40)*0.2975</f>
        <v>10101.612499999999</v>
      </c>
      <c r="F41" s="364">
        <f>SUM(F19:F40)*0.2975</f>
        <v>47529.59166666666</v>
      </c>
      <c r="G41" s="364">
        <f t="shared" ref="G41:P41" si="46">SUM(G19:G40)*0.2975</f>
        <v>47529.59166666666</v>
      </c>
      <c r="H41" s="364">
        <f t="shared" si="46"/>
        <v>47529.59166666666</v>
      </c>
      <c r="I41" s="364">
        <f t="shared" si="46"/>
        <v>47529.59166666666</v>
      </c>
      <c r="J41" s="364">
        <f t="shared" si="46"/>
        <v>47529.59166666666</v>
      </c>
      <c r="K41" s="364">
        <f t="shared" si="46"/>
        <v>47529.59166666666</v>
      </c>
      <c r="L41" s="364">
        <f t="shared" si="46"/>
        <v>47529.59166666666</v>
      </c>
      <c r="M41" s="364">
        <f t="shared" si="46"/>
        <v>47529.59166666666</v>
      </c>
      <c r="N41" s="364">
        <f t="shared" si="46"/>
        <v>47529.59166666666</v>
      </c>
      <c r="O41" s="364">
        <f t="shared" si="46"/>
        <v>47529.59166666666</v>
      </c>
      <c r="P41" s="364">
        <f t="shared" si="46"/>
        <v>47529.59166666666</v>
      </c>
    </row>
    <row r="42" spans="1:16" x14ac:dyDescent="0.25">
      <c r="A42" s="379" t="s">
        <v>105</v>
      </c>
      <c r="B42" s="369">
        <f>'6-Year - Springs (new campus)'!C131</f>
        <v>345088.79999999993</v>
      </c>
      <c r="C42" s="142">
        <f t="shared" ref="C42:C48" si="47">D42-B42</f>
        <v>-22645.5</v>
      </c>
      <c r="D42" s="370">
        <f t="shared" ref="D42:D48" si="48">SUM(E42:P42)</f>
        <v>322443.29999999993</v>
      </c>
      <c r="E42" s="364">
        <f>SUM(E19:E40)*0.18</f>
        <v>6111.9</v>
      </c>
      <c r="F42" s="364">
        <f t="shared" ref="F42:P42" si="49">SUM(F19:F40)*0.18</f>
        <v>28757.399999999994</v>
      </c>
      <c r="G42" s="364">
        <f t="shared" si="49"/>
        <v>28757.399999999994</v>
      </c>
      <c r="H42" s="364">
        <f t="shared" si="49"/>
        <v>28757.399999999994</v>
      </c>
      <c r="I42" s="364">
        <f t="shared" si="49"/>
        <v>28757.399999999994</v>
      </c>
      <c r="J42" s="364">
        <f t="shared" si="49"/>
        <v>28757.399999999994</v>
      </c>
      <c r="K42" s="364">
        <f t="shared" si="49"/>
        <v>28757.399999999994</v>
      </c>
      <c r="L42" s="364">
        <f t="shared" si="49"/>
        <v>28757.399999999994</v>
      </c>
      <c r="M42" s="364">
        <f t="shared" si="49"/>
        <v>28757.399999999994</v>
      </c>
      <c r="N42" s="364">
        <f t="shared" si="49"/>
        <v>28757.399999999994</v>
      </c>
      <c r="O42" s="364">
        <f t="shared" si="49"/>
        <v>28757.399999999994</v>
      </c>
      <c r="P42" s="364">
        <f t="shared" si="49"/>
        <v>28757.399999999994</v>
      </c>
    </row>
    <row r="43" spans="1:16" x14ac:dyDescent="0.25">
      <c r="A43" s="379" t="s">
        <v>249</v>
      </c>
      <c r="B43" s="369">
        <f>'6-Year - Springs (new campus)'!C132</f>
        <v>0</v>
      </c>
      <c r="C43" s="7">
        <f t="shared" si="47"/>
        <v>0</v>
      </c>
      <c r="D43" s="370">
        <f t="shared" si="48"/>
        <v>0</v>
      </c>
      <c r="E43" s="364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</row>
    <row r="44" spans="1:16" x14ac:dyDescent="0.25">
      <c r="A44" s="379" t="s">
        <v>250</v>
      </c>
      <c r="B44" s="369">
        <f>'6-Year - Springs (new campus)'!C133</f>
        <v>7875</v>
      </c>
      <c r="C44" s="7">
        <f t="shared" si="47"/>
        <v>0</v>
      </c>
      <c r="D44" s="370">
        <f t="shared" si="48"/>
        <v>7875</v>
      </c>
      <c r="E44" s="364">
        <v>0</v>
      </c>
      <c r="F44" s="7">
        <v>0</v>
      </c>
      <c r="G44" s="7">
        <v>0</v>
      </c>
      <c r="H44" s="7">
        <v>0</v>
      </c>
      <c r="I44" s="7">
        <v>0</v>
      </c>
      <c r="J44" s="7">
        <f>B44</f>
        <v>7875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</row>
    <row r="45" spans="1:16" x14ac:dyDescent="0.25">
      <c r="A45" s="379" t="s">
        <v>107</v>
      </c>
      <c r="B45" s="369">
        <f>'6-Year - Springs (new campus)'!C134</f>
        <v>0</v>
      </c>
      <c r="C45" s="7">
        <f t="shared" si="47"/>
        <v>0</v>
      </c>
      <c r="D45" s="370">
        <f t="shared" si="48"/>
        <v>0</v>
      </c>
      <c r="E45" s="364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</row>
    <row r="46" spans="1:16" x14ac:dyDescent="0.25">
      <c r="A46" s="379" t="s">
        <v>251</v>
      </c>
      <c r="B46" s="369">
        <f>'6-Year - Springs (new campus)'!C135</f>
        <v>0</v>
      </c>
      <c r="C46" s="7">
        <f t="shared" si="47"/>
        <v>0</v>
      </c>
      <c r="D46" s="370">
        <f t="shared" si="48"/>
        <v>0</v>
      </c>
      <c r="E46" s="364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</row>
    <row r="47" spans="1:16" x14ac:dyDescent="0.25">
      <c r="A47" s="379" t="s">
        <v>108</v>
      </c>
      <c r="B47" s="369">
        <f>'6-Year - Springs (new campus)'!C136</f>
        <v>0</v>
      </c>
      <c r="C47" s="7">
        <f t="shared" si="47"/>
        <v>0</v>
      </c>
      <c r="D47" s="370">
        <f t="shared" si="48"/>
        <v>0</v>
      </c>
      <c r="E47" s="364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</row>
    <row r="48" spans="1:16" x14ac:dyDescent="0.25">
      <c r="A48" s="379" t="s">
        <v>109</v>
      </c>
      <c r="B48" s="369">
        <f>'6-Year - Springs (new campus)'!C137</f>
        <v>31750</v>
      </c>
      <c r="C48" s="7">
        <f t="shared" si="47"/>
        <v>0</v>
      </c>
      <c r="D48" s="370">
        <f t="shared" si="48"/>
        <v>31749.999999999996</v>
      </c>
      <c r="E48" s="364">
        <f t="shared" ref="E48" si="50">B48/12</f>
        <v>2645.8333333333335</v>
      </c>
      <c r="F48" s="7">
        <f t="shared" ref="F48:P48" si="51">E48</f>
        <v>2645.8333333333335</v>
      </c>
      <c r="G48" s="7">
        <f t="shared" si="51"/>
        <v>2645.8333333333335</v>
      </c>
      <c r="H48" s="7">
        <f t="shared" si="51"/>
        <v>2645.8333333333335</v>
      </c>
      <c r="I48" s="7">
        <f t="shared" si="51"/>
        <v>2645.8333333333335</v>
      </c>
      <c r="J48" s="7">
        <f t="shared" si="51"/>
        <v>2645.8333333333335</v>
      </c>
      <c r="K48" s="7">
        <f t="shared" si="51"/>
        <v>2645.8333333333335</v>
      </c>
      <c r="L48" s="7">
        <f t="shared" si="51"/>
        <v>2645.8333333333335</v>
      </c>
      <c r="M48" s="7">
        <f t="shared" si="51"/>
        <v>2645.8333333333335</v>
      </c>
      <c r="N48" s="7">
        <f t="shared" si="51"/>
        <v>2645.8333333333335</v>
      </c>
      <c r="O48" s="7">
        <f t="shared" si="51"/>
        <v>2645.8333333333335</v>
      </c>
      <c r="P48" s="7">
        <f t="shared" si="51"/>
        <v>2645.8333333333335</v>
      </c>
    </row>
    <row r="49" spans="1:16" x14ac:dyDescent="0.25">
      <c r="A49" s="380" t="s">
        <v>113</v>
      </c>
      <c r="B49" s="369">
        <f>'6-Year - Springs (new campus)'!C141</f>
        <v>29025</v>
      </c>
      <c r="C49" s="7">
        <f>D49-B49</f>
        <v>0</v>
      </c>
      <c r="D49" s="370">
        <f>SUM(E49:P49)</f>
        <v>29024.999999999985</v>
      </c>
      <c r="E49" s="364">
        <f>B49*0.5</f>
        <v>14512.5</v>
      </c>
      <c r="F49" s="7">
        <f>B49*0.5/11</f>
        <v>1319.3181818181818</v>
      </c>
      <c r="G49" s="7">
        <f t="shared" ref="G49:P49" si="52">F49</f>
        <v>1319.3181818181818</v>
      </c>
      <c r="H49" s="7">
        <f t="shared" si="52"/>
        <v>1319.3181818181818</v>
      </c>
      <c r="I49" s="7">
        <f t="shared" si="52"/>
        <v>1319.3181818181818</v>
      </c>
      <c r="J49" s="7">
        <f t="shared" si="52"/>
        <v>1319.3181818181818</v>
      </c>
      <c r="K49" s="7">
        <f t="shared" si="52"/>
        <v>1319.3181818181818</v>
      </c>
      <c r="L49" s="7">
        <f t="shared" si="52"/>
        <v>1319.3181818181818</v>
      </c>
      <c r="M49" s="7">
        <f t="shared" si="52"/>
        <v>1319.3181818181818</v>
      </c>
      <c r="N49" s="7">
        <f t="shared" si="52"/>
        <v>1319.3181818181818</v>
      </c>
      <c r="O49" s="7">
        <f t="shared" si="52"/>
        <v>1319.3181818181818</v>
      </c>
      <c r="P49" s="7">
        <f t="shared" si="52"/>
        <v>1319.3181818181818</v>
      </c>
    </row>
    <row r="50" spans="1:16" x14ac:dyDescent="0.25">
      <c r="A50" s="380" t="s">
        <v>252</v>
      </c>
      <c r="B50" s="369">
        <f>'6-Year - Springs (new campus)'!C142</f>
        <v>0</v>
      </c>
      <c r="C50" s="7">
        <f t="shared" ref="C50:C58" si="53">D50-B50</f>
        <v>0</v>
      </c>
      <c r="D50" s="370">
        <f t="shared" ref="D50:D58" si="54">SUM(E50:P50)</f>
        <v>0</v>
      </c>
      <c r="E50" s="364">
        <f t="shared" ref="E50:E58" si="55">B50/12</f>
        <v>0</v>
      </c>
      <c r="F50" s="7">
        <f t="shared" ref="F50:P50" si="56">E50</f>
        <v>0</v>
      </c>
      <c r="G50" s="7">
        <f t="shared" si="56"/>
        <v>0</v>
      </c>
      <c r="H50" s="7">
        <f t="shared" si="56"/>
        <v>0</v>
      </c>
      <c r="I50" s="7">
        <f t="shared" si="56"/>
        <v>0</v>
      </c>
      <c r="J50" s="7">
        <f t="shared" si="56"/>
        <v>0</v>
      </c>
      <c r="K50" s="7">
        <f t="shared" si="56"/>
        <v>0</v>
      </c>
      <c r="L50" s="7">
        <f t="shared" si="56"/>
        <v>0</v>
      </c>
      <c r="M50" s="7">
        <f t="shared" si="56"/>
        <v>0</v>
      </c>
      <c r="N50" s="7">
        <f t="shared" si="56"/>
        <v>0</v>
      </c>
      <c r="O50" s="7">
        <f t="shared" si="56"/>
        <v>0</v>
      </c>
      <c r="P50" s="7">
        <f t="shared" si="56"/>
        <v>0</v>
      </c>
    </row>
    <row r="51" spans="1:16" x14ac:dyDescent="0.25">
      <c r="A51" s="379" t="s">
        <v>115</v>
      </c>
      <c r="B51" s="369">
        <f>'6-Year - Springs (new campus)'!C143</f>
        <v>131000</v>
      </c>
      <c r="C51" s="7">
        <f t="shared" si="53"/>
        <v>0</v>
      </c>
      <c r="D51" s="370">
        <f t="shared" si="54"/>
        <v>131000.00000000001</v>
      </c>
      <c r="E51" s="364">
        <f t="shared" si="55"/>
        <v>10916.666666666666</v>
      </c>
      <c r="F51" s="7">
        <f t="shared" ref="F51:P51" si="57">E51</f>
        <v>10916.666666666666</v>
      </c>
      <c r="G51" s="7">
        <f t="shared" si="57"/>
        <v>10916.666666666666</v>
      </c>
      <c r="H51" s="7">
        <f t="shared" si="57"/>
        <v>10916.666666666666</v>
      </c>
      <c r="I51" s="7">
        <f t="shared" si="57"/>
        <v>10916.666666666666</v>
      </c>
      <c r="J51" s="7">
        <f t="shared" si="57"/>
        <v>10916.666666666666</v>
      </c>
      <c r="K51" s="7">
        <f t="shared" si="57"/>
        <v>10916.666666666666</v>
      </c>
      <c r="L51" s="7">
        <f t="shared" si="57"/>
        <v>10916.666666666666</v>
      </c>
      <c r="M51" s="7">
        <f t="shared" si="57"/>
        <v>10916.666666666666</v>
      </c>
      <c r="N51" s="7">
        <f t="shared" si="57"/>
        <v>10916.666666666666</v>
      </c>
      <c r="O51" s="7">
        <f t="shared" si="57"/>
        <v>10916.666666666666</v>
      </c>
      <c r="P51" s="7">
        <f t="shared" si="57"/>
        <v>10916.666666666666</v>
      </c>
    </row>
    <row r="52" spans="1:16" x14ac:dyDescent="0.25">
      <c r="A52" s="379" t="s">
        <v>116</v>
      </c>
      <c r="B52" s="369">
        <f>'6-Year - Springs (new campus)'!C144</f>
        <v>0</v>
      </c>
      <c r="C52" s="7">
        <f t="shared" si="53"/>
        <v>0</v>
      </c>
      <c r="D52" s="370">
        <f t="shared" si="54"/>
        <v>0</v>
      </c>
      <c r="E52" s="364">
        <f t="shared" si="55"/>
        <v>0</v>
      </c>
      <c r="F52" s="7">
        <f t="shared" ref="F52:P53" si="58">E52</f>
        <v>0</v>
      </c>
      <c r="G52" s="7">
        <f t="shared" si="58"/>
        <v>0</v>
      </c>
      <c r="H52" s="7">
        <f t="shared" si="58"/>
        <v>0</v>
      </c>
      <c r="I52" s="7">
        <f t="shared" si="58"/>
        <v>0</v>
      </c>
      <c r="J52" s="7">
        <f t="shared" si="58"/>
        <v>0</v>
      </c>
      <c r="K52" s="7">
        <f t="shared" si="58"/>
        <v>0</v>
      </c>
      <c r="L52" s="7">
        <f t="shared" si="58"/>
        <v>0</v>
      </c>
      <c r="M52" s="7">
        <f t="shared" si="58"/>
        <v>0</v>
      </c>
      <c r="N52" s="7">
        <f t="shared" si="58"/>
        <v>0</v>
      </c>
      <c r="O52" s="7">
        <f t="shared" si="58"/>
        <v>0</v>
      </c>
      <c r="P52" s="7">
        <f t="shared" si="58"/>
        <v>0</v>
      </c>
    </row>
    <row r="53" spans="1:16" x14ac:dyDescent="0.25">
      <c r="A53" s="379" t="s">
        <v>117</v>
      </c>
      <c r="B53" s="369">
        <f>'6-Year - Springs (new campus)'!C145</f>
        <v>9030</v>
      </c>
      <c r="C53" s="7">
        <f t="shared" si="53"/>
        <v>0</v>
      </c>
      <c r="D53" s="370">
        <f t="shared" si="54"/>
        <v>9029.9999999999982</v>
      </c>
      <c r="E53" s="364">
        <f>B53*0.5</f>
        <v>4515</v>
      </c>
      <c r="F53" s="7">
        <f>B53*0.5/11</f>
        <v>410.45454545454544</v>
      </c>
      <c r="G53" s="7">
        <f t="shared" si="58"/>
        <v>410.45454545454544</v>
      </c>
      <c r="H53" s="7">
        <f t="shared" si="58"/>
        <v>410.45454545454544</v>
      </c>
      <c r="I53" s="7">
        <f t="shared" si="58"/>
        <v>410.45454545454544</v>
      </c>
      <c r="J53" s="7">
        <f t="shared" si="58"/>
        <v>410.45454545454544</v>
      </c>
      <c r="K53" s="7">
        <f t="shared" si="58"/>
        <v>410.45454545454544</v>
      </c>
      <c r="L53" s="7">
        <f t="shared" si="58"/>
        <v>410.45454545454544</v>
      </c>
      <c r="M53" s="7">
        <f t="shared" si="58"/>
        <v>410.45454545454544</v>
      </c>
      <c r="N53" s="7">
        <f t="shared" si="58"/>
        <v>410.45454545454544</v>
      </c>
      <c r="O53" s="7">
        <f t="shared" si="58"/>
        <v>410.45454545454544</v>
      </c>
      <c r="P53" s="7">
        <f t="shared" si="58"/>
        <v>410.45454545454544</v>
      </c>
    </row>
    <row r="54" spans="1:16" x14ac:dyDescent="0.25">
      <c r="A54" s="379" t="s">
        <v>118</v>
      </c>
      <c r="B54" s="369">
        <f>'6-Year - Springs (new campus)'!C146</f>
        <v>18705</v>
      </c>
      <c r="C54" s="7">
        <f t="shared" si="53"/>
        <v>0</v>
      </c>
      <c r="D54" s="370">
        <f t="shared" si="54"/>
        <v>18704.999999999993</v>
      </c>
      <c r="E54" s="364">
        <f t="shared" ref="E54:E57" si="59">B54*0.5</f>
        <v>9352.5</v>
      </c>
      <c r="F54" s="7">
        <f t="shared" ref="F54:F57" si="60">B54*0.5/11</f>
        <v>850.22727272727275</v>
      </c>
      <c r="G54" s="7">
        <f t="shared" ref="G54:P54" si="61">F54</f>
        <v>850.22727272727275</v>
      </c>
      <c r="H54" s="7">
        <f t="shared" si="61"/>
        <v>850.22727272727275</v>
      </c>
      <c r="I54" s="7">
        <f t="shared" si="61"/>
        <v>850.22727272727275</v>
      </c>
      <c r="J54" s="7">
        <f t="shared" si="61"/>
        <v>850.22727272727275</v>
      </c>
      <c r="K54" s="7">
        <f t="shared" si="61"/>
        <v>850.22727272727275</v>
      </c>
      <c r="L54" s="7">
        <f t="shared" si="61"/>
        <v>850.22727272727275</v>
      </c>
      <c r="M54" s="7">
        <f t="shared" si="61"/>
        <v>850.22727272727275</v>
      </c>
      <c r="N54" s="7">
        <f t="shared" si="61"/>
        <v>850.22727272727275</v>
      </c>
      <c r="O54" s="7">
        <f t="shared" si="61"/>
        <v>850.22727272727275</v>
      </c>
      <c r="P54" s="7">
        <f t="shared" si="61"/>
        <v>850.22727272727275</v>
      </c>
    </row>
    <row r="55" spans="1:16" x14ac:dyDescent="0.25">
      <c r="A55" s="379" t="s">
        <v>119</v>
      </c>
      <c r="B55" s="369">
        <f>'6-Year - Springs (new campus)'!C147</f>
        <v>2741.25</v>
      </c>
      <c r="C55" s="7">
        <f t="shared" si="53"/>
        <v>0</v>
      </c>
      <c r="D55" s="370">
        <f t="shared" si="54"/>
        <v>2741.2499999999991</v>
      </c>
      <c r="E55" s="364">
        <f t="shared" si="59"/>
        <v>1370.625</v>
      </c>
      <c r="F55" s="7">
        <f t="shared" si="60"/>
        <v>124.60227272727273</v>
      </c>
      <c r="G55" s="7">
        <f t="shared" ref="G55:P55" si="62">F55</f>
        <v>124.60227272727273</v>
      </c>
      <c r="H55" s="7">
        <f t="shared" si="62"/>
        <v>124.60227272727273</v>
      </c>
      <c r="I55" s="7">
        <f t="shared" si="62"/>
        <v>124.60227272727273</v>
      </c>
      <c r="J55" s="7">
        <f t="shared" si="62"/>
        <v>124.60227272727273</v>
      </c>
      <c r="K55" s="7">
        <f t="shared" si="62"/>
        <v>124.60227272727273</v>
      </c>
      <c r="L55" s="7">
        <f t="shared" si="62"/>
        <v>124.60227272727273</v>
      </c>
      <c r="M55" s="7">
        <f t="shared" si="62"/>
        <v>124.60227272727273</v>
      </c>
      <c r="N55" s="7">
        <f t="shared" si="62"/>
        <v>124.60227272727273</v>
      </c>
      <c r="O55" s="7">
        <f t="shared" si="62"/>
        <v>124.60227272727273</v>
      </c>
      <c r="P55" s="7">
        <f t="shared" si="62"/>
        <v>124.60227272727273</v>
      </c>
    </row>
    <row r="56" spans="1:16" x14ac:dyDescent="0.25">
      <c r="A56" s="379" t="s">
        <v>120</v>
      </c>
      <c r="B56" s="369">
        <f>'6-Year - Springs (new campus)'!C148</f>
        <v>2096.25</v>
      </c>
      <c r="C56" s="7">
        <f t="shared" si="53"/>
        <v>0</v>
      </c>
      <c r="D56" s="370">
        <f t="shared" si="54"/>
        <v>2096.2500000000009</v>
      </c>
      <c r="E56" s="364">
        <f t="shared" si="59"/>
        <v>1048.125</v>
      </c>
      <c r="F56" s="7">
        <f t="shared" si="60"/>
        <v>95.284090909090907</v>
      </c>
      <c r="G56" s="7">
        <f t="shared" ref="G56:P56" si="63">F56</f>
        <v>95.284090909090907</v>
      </c>
      <c r="H56" s="7">
        <f t="shared" si="63"/>
        <v>95.284090909090907</v>
      </c>
      <c r="I56" s="7">
        <f t="shared" si="63"/>
        <v>95.284090909090907</v>
      </c>
      <c r="J56" s="7">
        <f t="shared" si="63"/>
        <v>95.284090909090907</v>
      </c>
      <c r="K56" s="7">
        <f t="shared" si="63"/>
        <v>95.284090909090907</v>
      </c>
      <c r="L56" s="7">
        <f t="shared" si="63"/>
        <v>95.284090909090907</v>
      </c>
      <c r="M56" s="7">
        <f t="shared" si="63"/>
        <v>95.284090909090907</v>
      </c>
      <c r="N56" s="7">
        <f t="shared" si="63"/>
        <v>95.284090909090907</v>
      </c>
      <c r="O56" s="7">
        <f t="shared" si="63"/>
        <v>95.284090909090907</v>
      </c>
      <c r="P56" s="7">
        <f t="shared" si="63"/>
        <v>95.284090909090907</v>
      </c>
    </row>
    <row r="57" spans="1:16" x14ac:dyDescent="0.25">
      <c r="A57" s="379" t="s">
        <v>121</v>
      </c>
      <c r="B57" s="369">
        <f>'6-Year - Springs (new campus)'!C149</f>
        <v>9984.5999999999985</v>
      </c>
      <c r="C57" s="7">
        <f t="shared" si="53"/>
        <v>0</v>
      </c>
      <c r="D57" s="370">
        <f t="shared" si="54"/>
        <v>9984.5999999999985</v>
      </c>
      <c r="E57" s="364">
        <f t="shared" si="59"/>
        <v>4992.2999999999993</v>
      </c>
      <c r="F57" s="7">
        <f t="shared" si="60"/>
        <v>453.84545454545446</v>
      </c>
      <c r="G57" s="7">
        <f t="shared" ref="G57:P57" si="64">F57</f>
        <v>453.84545454545446</v>
      </c>
      <c r="H57" s="7">
        <f t="shared" si="64"/>
        <v>453.84545454545446</v>
      </c>
      <c r="I57" s="7">
        <f t="shared" si="64"/>
        <v>453.84545454545446</v>
      </c>
      <c r="J57" s="7">
        <f t="shared" si="64"/>
        <v>453.84545454545446</v>
      </c>
      <c r="K57" s="7">
        <f t="shared" si="64"/>
        <v>453.84545454545446</v>
      </c>
      <c r="L57" s="7">
        <f t="shared" si="64"/>
        <v>453.84545454545446</v>
      </c>
      <c r="M57" s="7">
        <f t="shared" si="64"/>
        <v>453.84545454545446</v>
      </c>
      <c r="N57" s="7">
        <f t="shared" si="64"/>
        <v>453.84545454545446</v>
      </c>
      <c r="O57" s="7">
        <f t="shared" si="64"/>
        <v>453.84545454545446</v>
      </c>
      <c r="P57" s="7">
        <f t="shared" si="64"/>
        <v>453.84545454545446</v>
      </c>
    </row>
    <row r="58" spans="1:16" x14ac:dyDescent="0.25">
      <c r="A58" s="379" t="s">
        <v>122</v>
      </c>
      <c r="B58" s="369">
        <f>'6-Year - Springs (new campus)'!C150</f>
        <v>0</v>
      </c>
      <c r="C58" s="7">
        <f t="shared" si="53"/>
        <v>0</v>
      </c>
      <c r="D58" s="370">
        <f t="shared" si="54"/>
        <v>0</v>
      </c>
      <c r="E58" s="364">
        <f t="shared" si="55"/>
        <v>0</v>
      </c>
      <c r="F58" s="7">
        <f t="shared" ref="F58:P58" si="65">E58</f>
        <v>0</v>
      </c>
      <c r="G58" s="7">
        <f t="shared" si="65"/>
        <v>0</v>
      </c>
      <c r="H58" s="7">
        <f t="shared" si="65"/>
        <v>0</v>
      </c>
      <c r="I58" s="7">
        <f t="shared" si="65"/>
        <v>0</v>
      </c>
      <c r="J58" s="7">
        <f t="shared" si="65"/>
        <v>0</v>
      </c>
      <c r="K58" s="7">
        <f t="shared" si="65"/>
        <v>0</v>
      </c>
      <c r="L58" s="7">
        <f t="shared" si="65"/>
        <v>0</v>
      </c>
      <c r="M58" s="7">
        <f t="shared" si="65"/>
        <v>0</v>
      </c>
      <c r="N58" s="7">
        <f t="shared" si="65"/>
        <v>0</v>
      </c>
      <c r="O58" s="7">
        <f t="shared" si="65"/>
        <v>0</v>
      </c>
      <c r="P58" s="7">
        <f t="shared" si="65"/>
        <v>0</v>
      </c>
    </row>
    <row r="59" spans="1:16" x14ac:dyDescent="0.25">
      <c r="A59" s="379" t="s">
        <v>125</v>
      </c>
      <c r="B59" s="369">
        <f>'6-Year - Springs (new campus)'!C153</f>
        <v>0</v>
      </c>
      <c r="C59" s="7">
        <f>D59-B59</f>
        <v>0</v>
      </c>
      <c r="D59" s="370">
        <f>SUM(E59:P59)</f>
        <v>0</v>
      </c>
      <c r="E59" s="364">
        <f>B59/12</f>
        <v>0</v>
      </c>
      <c r="F59" s="7">
        <f>E59</f>
        <v>0</v>
      </c>
      <c r="G59" s="7">
        <f t="shared" ref="G59:P59" si="66">F59</f>
        <v>0</v>
      </c>
      <c r="H59" s="7">
        <f t="shared" si="66"/>
        <v>0</v>
      </c>
      <c r="I59" s="7">
        <f t="shared" si="66"/>
        <v>0</v>
      </c>
      <c r="J59" s="7">
        <f t="shared" si="66"/>
        <v>0</v>
      </c>
      <c r="K59" s="7">
        <f t="shared" si="66"/>
        <v>0</v>
      </c>
      <c r="L59" s="7">
        <f t="shared" si="66"/>
        <v>0</v>
      </c>
      <c r="M59" s="7">
        <f t="shared" si="66"/>
        <v>0</v>
      </c>
      <c r="N59" s="7">
        <f t="shared" si="66"/>
        <v>0</v>
      </c>
      <c r="O59" s="7">
        <f t="shared" si="66"/>
        <v>0</v>
      </c>
      <c r="P59" s="7">
        <f t="shared" si="66"/>
        <v>0</v>
      </c>
    </row>
    <row r="60" spans="1:16" x14ac:dyDescent="0.25">
      <c r="A60" s="379" t="s">
        <v>126</v>
      </c>
      <c r="B60" s="369">
        <f>'6-Year - Springs (new campus)'!C154</f>
        <v>80625</v>
      </c>
      <c r="C60" s="7">
        <f t="shared" ref="C60:C72" si="67">D60-B60</f>
        <v>0</v>
      </c>
      <c r="D60" s="370">
        <f t="shared" ref="D60:D72" si="68">SUM(E60:P60)</f>
        <v>80625</v>
      </c>
      <c r="E60" s="364">
        <f t="shared" ref="E60:E72" si="69">B60/12</f>
        <v>6718.75</v>
      </c>
      <c r="F60" s="7">
        <f t="shared" ref="F60:P60" si="70">E60</f>
        <v>6718.75</v>
      </c>
      <c r="G60" s="7">
        <f t="shared" si="70"/>
        <v>6718.75</v>
      </c>
      <c r="H60" s="7">
        <f t="shared" si="70"/>
        <v>6718.75</v>
      </c>
      <c r="I60" s="7">
        <f t="shared" si="70"/>
        <v>6718.75</v>
      </c>
      <c r="J60" s="7">
        <f t="shared" si="70"/>
        <v>6718.75</v>
      </c>
      <c r="K60" s="7">
        <f t="shared" si="70"/>
        <v>6718.75</v>
      </c>
      <c r="L60" s="7">
        <f t="shared" si="70"/>
        <v>6718.75</v>
      </c>
      <c r="M60" s="7">
        <f t="shared" si="70"/>
        <v>6718.75</v>
      </c>
      <c r="N60" s="7">
        <f t="shared" si="70"/>
        <v>6718.75</v>
      </c>
      <c r="O60" s="7">
        <f t="shared" si="70"/>
        <v>6718.75</v>
      </c>
      <c r="P60" s="7">
        <f t="shared" si="70"/>
        <v>6718.75</v>
      </c>
    </row>
    <row r="61" spans="1:16" x14ac:dyDescent="0.25">
      <c r="A61" s="379" t="s">
        <v>253</v>
      </c>
      <c r="B61" s="369">
        <f>'6-Year - Springs (new campus)'!C155</f>
        <v>0</v>
      </c>
      <c r="C61" s="7">
        <f t="shared" si="67"/>
        <v>0</v>
      </c>
      <c r="D61" s="370">
        <f t="shared" si="68"/>
        <v>0</v>
      </c>
      <c r="E61" s="364">
        <f t="shared" si="69"/>
        <v>0</v>
      </c>
      <c r="F61" s="7">
        <f t="shared" ref="F61:P61" si="71">E61</f>
        <v>0</v>
      </c>
      <c r="G61" s="7">
        <f t="shared" si="71"/>
        <v>0</v>
      </c>
      <c r="H61" s="7">
        <f t="shared" si="71"/>
        <v>0</v>
      </c>
      <c r="I61" s="7">
        <f t="shared" si="71"/>
        <v>0</v>
      </c>
      <c r="J61" s="7">
        <f t="shared" si="71"/>
        <v>0</v>
      </c>
      <c r="K61" s="7">
        <f t="shared" si="71"/>
        <v>0</v>
      </c>
      <c r="L61" s="7">
        <f t="shared" si="71"/>
        <v>0</v>
      </c>
      <c r="M61" s="7">
        <f t="shared" si="71"/>
        <v>0</v>
      </c>
      <c r="N61" s="7">
        <f t="shared" si="71"/>
        <v>0</v>
      </c>
      <c r="O61" s="7">
        <f t="shared" si="71"/>
        <v>0</v>
      </c>
      <c r="P61" s="7">
        <f t="shared" si="71"/>
        <v>0</v>
      </c>
    </row>
    <row r="62" spans="1:16" x14ac:dyDescent="0.25">
      <c r="A62" s="379" t="s">
        <v>254</v>
      </c>
      <c r="B62" s="369">
        <f>'6-Year - Springs (new campus)'!C156</f>
        <v>0</v>
      </c>
      <c r="C62" s="7">
        <f t="shared" si="67"/>
        <v>0</v>
      </c>
      <c r="D62" s="370">
        <f t="shared" si="68"/>
        <v>0</v>
      </c>
      <c r="E62" s="364">
        <f t="shared" si="69"/>
        <v>0</v>
      </c>
      <c r="F62" s="7">
        <f t="shared" ref="F62:P62" si="72">E62</f>
        <v>0</v>
      </c>
      <c r="G62" s="7">
        <f t="shared" si="72"/>
        <v>0</v>
      </c>
      <c r="H62" s="7">
        <f t="shared" si="72"/>
        <v>0</v>
      </c>
      <c r="I62" s="7">
        <f t="shared" si="72"/>
        <v>0</v>
      </c>
      <c r="J62" s="7">
        <f t="shared" si="72"/>
        <v>0</v>
      </c>
      <c r="K62" s="7">
        <f t="shared" si="72"/>
        <v>0</v>
      </c>
      <c r="L62" s="7">
        <f t="shared" si="72"/>
        <v>0</v>
      </c>
      <c r="M62" s="7">
        <f t="shared" si="72"/>
        <v>0</v>
      </c>
      <c r="N62" s="7">
        <f t="shared" si="72"/>
        <v>0</v>
      </c>
      <c r="O62" s="7">
        <f t="shared" si="72"/>
        <v>0</v>
      </c>
      <c r="P62" s="7">
        <f t="shared" si="72"/>
        <v>0</v>
      </c>
    </row>
    <row r="63" spans="1:16" x14ac:dyDescent="0.25">
      <c r="A63" s="379" t="s">
        <v>128</v>
      </c>
      <c r="B63" s="369">
        <f>'6-Year - Springs (new campus)'!C157</f>
        <v>161250</v>
      </c>
      <c r="C63" s="7">
        <f t="shared" si="67"/>
        <v>0</v>
      </c>
      <c r="D63" s="370">
        <f t="shared" si="68"/>
        <v>161250</v>
      </c>
      <c r="E63" s="364">
        <f t="shared" si="69"/>
        <v>13437.5</v>
      </c>
      <c r="F63" s="7">
        <f t="shared" ref="F63:P63" si="73">E63</f>
        <v>13437.5</v>
      </c>
      <c r="G63" s="7">
        <f t="shared" si="73"/>
        <v>13437.5</v>
      </c>
      <c r="H63" s="7">
        <f t="shared" si="73"/>
        <v>13437.5</v>
      </c>
      <c r="I63" s="7">
        <f t="shared" si="73"/>
        <v>13437.5</v>
      </c>
      <c r="J63" s="7">
        <f t="shared" si="73"/>
        <v>13437.5</v>
      </c>
      <c r="K63" s="7">
        <f t="shared" si="73"/>
        <v>13437.5</v>
      </c>
      <c r="L63" s="7">
        <f t="shared" si="73"/>
        <v>13437.5</v>
      </c>
      <c r="M63" s="7">
        <f t="shared" si="73"/>
        <v>13437.5</v>
      </c>
      <c r="N63" s="7">
        <f t="shared" si="73"/>
        <v>13437.5</v>
      </c>
      <c r="O63" s="7">
        <f t="shared" si="73"/>
        <v>13437.5</v>
      </c>
      <c r="P63" s="7">
        <f t="shared" si="73"/>
        <v>13437.5</v>
      </c>
    </row>
    <row r="64" spans="1:16" x14ac:dyDescent="0.25">
      <c r="A64" s="379" t="s">
        <v>129</v>
      </c>
      <c r="B64" s="369">
        <f>'6-Year - Springs (new campus)'!C158</f>
        <v>11360</v>
      </c>
      <c r="C64" s="7">
        <f t="shared" si="67"/>
        <v>0</v>
      </c>
      <c r="D64" s="370">
        <f t="shared" si="68"/>
        <v>11359.999999999998</v>
      </c>
      <c r="E64" s="364">
        <f t="shared" si="69"/>
        <v>946.66666666666663</v>
      </c>
      <c r="F64" s="7">
        <f t="shared" ref="F64:P64" si="74">E64</f>
        <v>946.66666666666663</v>
      </c>
      <c r="G64" s="7">
        <f t="shared" si="74"/>
        <v>946.66666666666663</v>
      </c>
      <c r="H64" s="7">
        <f t="shared" si="74"/>
        <v>946.66666666666663</v>
      </c>
      <c r="I64" s="7">
        <f t="shared" si="74"/>
        <v>946.66666666666663</v>
      </c>
      <c r="J64" s="7">
        <f t="shared" si="74"/>
        <v>946.66666666666663</v>
      </c>
      <c r="K64" s="7">
        <f t="shared" si="74"/>
        <v>946.66666666666663</v>
      </c>
      <c r="L64" s="7">
        <f t="shared" si="74"/>
        <v>946.66666666666663</v>
      </c>
      <c r="M64" s="7">
        <f t="shared" si="74"/>
        <v>946.66666666666663</v>
      </c>
      <c r="N64" s="7">
        <f t="shared" si="74"/>
        <v>946.66666666666663</v>
      </c>
      <c r="O64" s="7">
        <f t="shared" si="74"/>
        <v>946.66666666666663</v>
      </c>
      <c r="P64" s="7">
        <f t="shared" si="74"/>
        <v>946.66666666666663</v>
      </c>
    </row>
    <row r="65" spans="1:16" x14ac:dyDescent="0.25">
      <c r="A65" s="379" t="s">
        <v>130</v>
      </c>
      <c r="B65" s="369">
        <f>'6-Year - Springs (new campus)'!C159</f>
        <v>0</v>
      </c>
      <c r="C65" s="7">
        <f t="shared" si="67"/>
        <v>0</v>
      </c>
      <c r="D65" s="370">
        <f t="shared" si="68"/>
        <v>0</v>
      </c>
      <c r="E65" s="364">
        <f t="shared" si="69"/>
        <v>0</v>
      </c>
      <c r="F65" s="7">
        <f t="shared" ref="F65:P65" si="75">E65</f>
        <v>0</v>
      </c>
      <c r="G65" s="7">
        <f t="shared" si="75"/>
        <v>0</v>
      </c>
      <c r="H65" s="7">
        <f t="shared" si="75"/>
        <v>0</v>
      </c>
      <c r="I65" s="7">
        <f t="shared" si="75"/>
        <v>0</v>
      </c>
      <c r="J65" s="7">
        <f t="shared" si="75"/>
        <v>0</v>
      </c>
      <c r="K65" s="7">
        <f t="shared" si="75"/>
        <v>0</v>
      </c>
      <c r="L65" s="7">
        <f t="shared" si="75"/>
        <v>0</v>
      </c>
      <c r="M65" s="7">
        <f t="shared" si="75"/>
        <v>0</v>
      </c>
      <c r="N65" s="7">
        <f t="shared" si="75"/>
        <v>0</v>
      </c>
      <c r="O65" s="7">
        <f t="shared" si="75"/>
        <v>0</v>
      </c>
      <c r="P65" s="7">
        <f t="shared" si="75"/>
        <v>0</v>
      </c>
    </row>
    <row r="66" spans="1:16" x14ac:dyDescent="0.25">
      <c r="A66" s="379" t="s">
        <v>131</v>
      </c>
      <c r="B66" s="369">
        <f>'6-Year - Springs (new campus)'!C160</f>
        <v>6000</v>
      </c>
      <c r="C66" s="7">
        <f t="shared" si="67"/>
        <v>0</v>
      </c>
      <c r="D66" s="370">
        <f t="shared" si="68"/>
        <v>6000</v>
      </c>
      <c r="E66" s="364">
        <v>0</v>
      </c>
      <c r="F66" s="7">
        <v>0</v>
      </c>
      <c r="G66" s="7">
        <v>0</v>
      </c>
      <c r="H66" s="7">
        <v>0</v>
      </c>
      <c r="I66" s="7">
        <v>0</v>
      </c>
      <c r="J66" s="7">
        <f>B66</f>
        <v>6000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</row>
    <row r="67" spans="1:16" x14ac:dyDescent="0.25">
      <c r="A67" s="379" t="s">
        <v>132</v>
      </c>
      <c r="B67" s="369">
        <f>'6-Year - Springs (new campus)'!C161</f>
        <v>29025</v>
      </c>
      <c r="C67" s="7">
        <f t="shared" si="67"/>
        <v>0</v>
      </c>
      <c r="D67" s="370">
        <f t="shared" si="68"/>
        <v>29025</v>
      </c>
      <c r="E67" s="364">
        <f t="shared" si="69"/>
        <v>2418.75</v>
      </c>
      <c r="F67" s="7">
        <f t="shared" ref="F67:P67" si="76">E67</f>
        <v>2418.75</v>
      </c>
      <c r="G67" s="7">
        <f t="shared" si="76"/>
        <v>2418.75</v>
      </c>
      <c r="H67" s="7">
        <f t="shared" si="76"/>
        <v>2418.75</v>
      </c>
      <c r="I67" s="7">
        <f t="shared" si="76"/>
        <v>2418.75</v>
      </c>
      <c r="J67" s="7">
        <f t="shared" si="76"/>
        <v>2418.75</v>
      </c>
      <c r="K67" s="7">
        <f t="shared" si="76"/>
        <v>2418.75</v>
      </c>
      <c r="L67" s="7">
        <f t="shared" si="76"/>
        <v>2418.75</v>
      </c>
      <c r="M67" s="7">
        <f t="shared" si="76"/>
        <v>2418.75</v>
      </c>
      <c r="N67" s="7">
        <f t="shared" si="76"/>
        <v>2418.75</v>
      </c>
      <c r="O67" s="7">
        <f t="shared" si="76"/>
        <v>2418.75</v>
      </c>
      <c r="P67" s="7">
        <f t="shared" si="76"/>
        <v>2418.75</v>
      </c>
    </row>
    <row r="68" spans="1:16" x14ac:dyDescent="0.25">
      <c r="A68" s="379" t="s">
        <v>133</v>
      </c>
      <c r="B68" s="369">
        <f>'6-Year - Springs (new campus)'!C162</f>
        <v>12500</v>
      </c>
      <c r="C68" s="7">
        <f t="shared" si="67"/>
        <v>0</v>
      </c>
      <c r="D68" s="370">
        <f t="shared" si="68"/>
        <v>12500</v>
      </c>
      <c r="E68" s="364">
        <f>B68*0.8</f>
        <v>10000</v>
      </c>
      <c r="F68" s="7">
        <f>B68*0.2</f>
        <v>2500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</row>
    <row r="69" spans="1:16" x14ac:dyDescent="0.25">
      <c r="A69" s="379" t="s">
        <v>134</v>
      </c>
      <c r="B69" s="369">
        <f>'6-Year - Springs (new campus)'!C163</f>
        <v>59564.210062500002</v>
      </c>
      <c r="C69" s="7">
        <f t="shared" si="67"/>
        <v>0</v>
      </c>
      <c r="D69" s="370">
        <f t="shared" si="68"/>
        <v>59564.210062500002</v>
      </c>
      <c r="E69" s="364">
        <f t="shared" si="69"/>
        <v>4963.6841718750002</v>
      </c>
      <c r="F69" s="7">
        <f t="shared" ref="F69:P69" si="77">E69</f>
        <v>4963.6841718750002</v>
      </c>
      <c r="G69" s="7">
        <f t="shared" si="77"/>
        <v>4963.6841718750002</v>
      </c>
      <c r="H69" s="7">
        <f t="shared" si="77"/>
        <v>4963.6841718750002</v>
      </c>
      <c r="I69" s="7">
        <f t="shared" si="77"/>
        <v>4963.6841718750002</v>
      </c>
      <c r="J69" s="7">
        <f t="shared" si="77"/>
        <v>4963.6841718750002</v>
      </c>
      <c r="K69" s="7">
        <f t="shared" si="77"/>
        <v>4963.6841718750002</v>
      </c>
      <c r="L69" s="7">
        <f t="shared" si="77"/>
        <v>4963.6841718750002</v>
      </c>
      <c r="M69" s="7">
        <f t="shared" si="77"/>
        <v>4963.6841718750002</v>
      </c>
      <c r="N69" s="7">
        <f t="shared" si="77"/>
        <v>4963.6841718750002</v>
      </c>
      <c r="O69" s="7">
        <f t="shared" si="77"/>
        <v>4963.6841718750002</v>
      </c>
      <c r="P69" s="7">
        <f t="shared" si="77"/>
        <v>4963.6841718750002</v>
      </c>
    </row>
    <row r="70" spans="1:16" x14ac:dyDescent="0.25">
      <c r="A70" s="379" t="s">
        <v>135</v>
      </c>
      <c r="B70" s="369">
        <f>'6-Year - Springs (new campus)'!C164</f>
        <v>23825.684024999999</v>
      </c>
      <c r="C70" s="7">
        <f t="shared" si="67"/>
        <v>0</v>
      </c>
      <c r="D70" s="370">
        <f t="shared" si="68"/>
        <v>23825.684025000006</v>
      </c>
      <c r="E70" s="364">
        <f t="shared" si="69"/>
        <v>1985.4736687499999</v>
      </c>
      <c r="F70" s="7">
        <f t="shared" ref="F70:P70" si="78">E70</f>
        <v>1985.4736687499999</v>
      </c>
      <c r="G70" s="7">
        <f t="shared" si="78"/>
        <v>1985.4736687499999</v>
      </c>
      <c r="H70" s="7">
        <f t="shared" si="78"/>
        <v>1985.4736687499999</v>
      </c>
      <c r="I70" s="7">
        <f t="shared" si="78"/>
        <v>1985.4736687499999</v>
      </c>
      <c r="J70" s="7">
        <f t="shared" si="78"/>
        <v>1985.4736687499999</v>
      </c>
      <c r="K70" s="7">
        <f t="shared" si="78"/>
        <v>1985.4736687499999</v>
      </c>
      <c r="L70" s="7">
        <f t="shared" si="78"/>
        <v>1985.4736687499999</v>
      </c>
      <c r="M70" s="7">
        <f t="shared" si="78"/>
        <v>1985.4736687499999</v>
      </c>
      <c r="N70" s="7">
        <f t="shared" si="78"/>
        <v>1985.4736687499999</v>
      </c>
      <c r="O70" s="7">
        <f t="shared" si="78"/>
        <v>1985.4736687499999</v>
      </c>
      <c r="P70" s="7">
        <f t="shared" si="78"/>
        <v>1985.4736687499999</v>
      </c>
    </row>
    <row r="71" spans="1:16" x14ac:dyDescent="0.25">
      <c r="A71" s="379" t="s">
        <v>136</v>
      </c>
      <c r="B71" s="369">
        <f>'6-Year - Springs (new campus)'!C165</f>
        <v>23825.684024999999</v>
      </c>
      <c r="C71" s="7">
        <f t="shared" si="67"/>
        <v>0</v>
      </c>
      <c r="D71" s="370">
        <f t="shared" si="68"/>
        <v>23825.684025000006</v>
      </c>
      <c r="E71" s="364">
        <f t="shared" si="69"/>
        <v>1985.4736687499999</v>
      </c>
      <c r="F71" s="7">
        <f t="shared" ref="F71:P71" si="79">E71</f>
        <v>1985.4736687499999</v>
      </c>
      <c r="G71" s="7">
        <f t="shared" si="79"/>
        <v>1985.4736687499999</v>
      </c>
      <c r="H71" s="7">
        <f t="shared" si="79"/>
        <v>1985.4736687499999</v>
      </c>
      <c r="I71" s="7">
        <f t="shared" si="79"/>
        <v>1985.4736687499999</v>
      </c>
      <c r="J71" s="7">
        <f t="shared" si="79"/>
        <v>1985.4736687499999</v>
      </c>
      <c r="K71" s="7">
        <f t="shared" si="79"/>
        <v>1985.4736687499999</v>
      </c>
      <c r="L71" s="7">
        <f t="shared" si="79"/>
        <v>1985.4736687499999</v>
      </c>
      <c r="M71" s="7">
        <f t="shared" si="79"/>
        <v>1985.4736687499999</v>
      </c>
      <c r="N71" s="7">
        <f t="shared" si="79"/>
        <v>1985.4736687499999</v>
      </c>
      <c r="O71" s="7">
        <f t="shared" si="79"/>
        <v>1985.4736687499999</v>
      </c>
      <c r="P71" s="7">
        <f t="shared" si="79"/>
        <v>1985.4736687499999</v>
      </c>
    </row>
    <row r="72" spans="1:16" x14ac:dyDescent="0.25">
      <c r="A72" s="379" t="s">
        <v>137</v>
      </c>
      <c r="B72" s="369">
        <f>'6-Year - Springs (new campus)'!C166</f>
        <v>0</v>
      </c>
      <c r="C72" s="7">
        <f t="shared" si="67"/>
        <v>0</v>
      </c>
      <c r="D72" s="370">
        <f t="shared" si="68"/>
        <v>0</v>
      </c>
      <c r="E72" s="364">
        <f t="shared" si="69"/>
        <v>0</v>
      </c>
      <c r="F72" s="7">
        <f t="shared" ref="F72:P72" si="80">E72</f>
        <v>0</v>
      </c>
      <c r="G72" s="7">
        <f t="shared" si="80"/>
        <v>0</v>
      </c>
      <c r="H72" s="7">
        <f t="shared" si="80"/>
        <v>0</v>
      </c>
      <c r="I72" s="7">
        <f t="shared" si="80"/>
        <v>0</v>
      </c>
      <c r="J72" s="7">
        <f t="shared" si="80"/>
        <v>0</v>
      </c>
      <c r="K72" s="7">
        <f t="shared" si="80"/>
        <v>0</v>
      </c>
      <c r="L72" s="7">
        <f t="shared" si="80"/>
        <v>0</v>
      </c>
      <c r="M72" s="7">
        <f t="shared" si="80"/>
        <v>0</v>
      </c>
      <c r="N72" s="7">
        <f t="shared" si="80"/>
        <v>0</v>
      </c>
      <c r="O72" s="7">
        <f t="shared" si="80"/>
        <v>0</v>
      </c>
      <c r="P72" s="7">
        <f t="shared" si="80"/>
        <v>0</v>
      </c>
    </row>
    <row r="73" spans="1:16" x14ac:dyDescent="0.25">
      <c r="A73" s="379" t="s">
        <v>140</v>
      </c>
      <c r="B73" s="369">
        <f>'6-Year - Springs (new campus)'!C169</f>
        <v>6000</v>
      </c>
      <c r="C73" s="7">
        <f>D73-B73</f>
        <v>0</v>
      </c>
      <c r="D73" s="370">
        <f>SUM(E73:P73)</f>
        <v>6000</v>
      </c>
      <c r="E73" s="364">
        <f>B73/12</f>
        <v>500</v>
      </c>
      <c r="F73" s="7">
        <f>E73</f>
        <v>500</v>
      </c>
      <c r="G73" s="7">
        <f t="shared" ref="G73:P73" si="81">F73</f>
        <v>500</v>
      </c>
      <c r="H73" s="7">
        <f t="shared" si="81"/>
        <v>500</v>
      </c>
      <c r="I73" s="7">
        <f t="shared" si="81"/>
        <v>500</v>
      </c>
      <c r="J73" s="7">
        <f t="shared" si="81"/>
        <v>500</v>
      </c>
      <c r="K73" s="7">
        <f t="shared" si="81"/>
        <v>500</v>
      </c>
      <c r="L73" s="7">
        <f t="shared" si="81"/>
        <v>500</v>
      </c>
      <c r="M73" s="7">
        <f t="shared" si="81"/>
        <v>500</v>
      </c>
      <c r="N73" s="7">
        <f t="shared" si="81"/>
        <v>500</v>
      </c>
      <c r="O73" s="7">
        <f t="shared" si="81"/>
        <v>500</v>
      </c>
      <c r="P73" s="7">
        <f t="shared" si="81"/>
        <v>500</v>
      </c>
    </row>
    <row r="74" spans="1:16" x14ac:dyDescent="0.25">
      <c r="A74" s="379" t="s">
        <v>141</v>
      </c>
      <c r="B74" s="369">
        <f>'6-Year - Springs (new campus)'!C170</f>
        <v>9000</v>
      </c>
      <c r="C74" s="7">
        <f t="shared" ref="C74:C79" si="82">D74-B74</f>
        <v>0</v>
      </c>
      <c r="D74" s="370">
        <f t="shared" ref="D74:D79" si="83">SUM(E74:P74)</f>
        <v>9000</v>
      </c>
      <c r="E74" s="364">
        <f t="shared" ref="E74:E79" si="84">B74/12</f>
        <v>750</v>
      </c>
      <c r="F74" s="7">
        <f t="shared" ref="F74:P74" si="85">E74</f>
        <v>750</v>
      </c>
      <c r="G74" s="7">
        <f t="shared" si="85"/>
        <v>750</v>
      </c>
      <c r="H74" s="7">
        <f t="shared" si="85"/>
        <v>750</v>
      </c>
      <c r="I74" s="7">
        <f t="shared" si="85"/>
        <v>750</v>
      </c>
      <c r="J74" s="7">
        <f t="shared" si="85"/>
        <v>750</v>
      </c>
      <c r="K74" s="7">
        <f t="shared" si="85"/>
        <v>750</v>
      </c>
      <c r="L74" s="7">
        <f t="shared" si="85"/>
        <v>750</v>
      </c>
      <c r="M74" s="7">
        <f t="shared" si="85"/>
        <v>750</v>
      </c>
      <c r="N74" s="7">
        <f t="shared" si="85"/>
        <v>750</v>
      </c>
      <c r="O74" s="7">
        <f t="shared" si="85"/>
        <v>750</v>
      </c>
      <c r="P74" s="7">
        <f t="shared" si="85"/>
        <v>750</v>
      </c>
    </row>
    <row r="75" spans="1:16" x14ac:dyDescent="0.25">
      <c r="A75" s="379" t="s">
        <v>142</v>
      </c>
      <c r="B75" s="369">
        <f>'6-Year - Springs (new campus)'!C171</f>
        <v>0</v>
      </c>
      <c r="C75" s="7">
        <f t="shared" si="82"/>
        <v>0</v>
      </c>
      <c r="D75" s="370">
        <f t="shared" si="83"/>
        <v>0</v>
      </c>
      <c r="E75" s="364">
        <f t="shared" si="84"/>
        <v>0</v>
      </c>
      <c r="F75" s="7">
        <f t="shared" ref="F75:P75" si="86">E75</f>
        <v>0</v>
      </c>
      <c r="G75" s="7">
        <f t="shared" si="86"/>
        <v>0</v>
      </c>
      <c r="H75" s="7">
        <f t="shared" si="86"/>
        <v>0</v>
      </c>
      <c r="I75" s="7">
        <f t="shared" si="86"/>
        <v>0</v>
      </c>
      <c r="J75" s="7">
        <f t="shared" si="86"/>
        <v>0</v>
      </c>
      <c r="K75" s="7">
        <f t="shared" si="86"/>
        <v>0</v>
      </c>
      <c r="L75" s="7">
        <f t="shared" si="86"/>
        <v>0</v>
      </c>
      <c r="M75" s="7">
        <f t="shared" si="86"/>
        <v>0</v>
      </c>
      <c r="N75" s="7">
        <f t="shared" si="86"/>
        <v>0</v>
      </c>
      <c r="O75" s="7">
        <f t="shared" si="86"/>
        <v>0</v>
      </c>
      <c r="P75" s="7">
        <f t="shared" si="86"/>
        <v>0</v>
      </c>
    </row>
    <row r="76" spans="1:16" x14ac:dyDescent="0.25">
      <c r="A76" s="379" t="s">
        <v>143</v>
      </c>
      <c r="B76" s="369">
        <f>'6-Year - Springs (new campus)'!C172</f>
        <v>750</v>
      </c>
      <c r="C76" s="7">
        <f t="shared" si="82"/>
        <v>0</v>
      </c>
      <c r="D76" s="370">
        <f t="shared" si="83"/>
        <v>750</v>
      </c>
      <c r="E76" s="364">
        <f t="shared" si="84"/>
        <v>62.5</v>
      </c>
      <c r="F76" s="7">
        <f t="shared" ref="F76:P76" si="87">E76</f>
        <v>62.5</v>
      </c>
      <c r="G76" s="7">
        <f t="shared" si="87"/>
        <v>62.5</v>
      </c>
      <c r="H76" s="7">
        <f t="shared" si="87"/>
        <v>62.5</v>
      </c>
      <c r="I76" s="7">
        <f t="shared" si="87"/>
        <v>62.5</v>
      </c>
      <c r="J76" s="7">
        <f t="shared" si="87"/>
        <v>62.5</v>
      </c>
      <c r="K76" s="7">
        <f t="shared" si="87"/>
        <v>62.5</v>
      </c>
      <c r="L76" s="7">
        <f t="shared" si="87"/>
        <v>62.5</v>
      </c>
      <c r="M76" s="7">
        <f t="shared" si="87"/>
        <v>62.5</v>
      </c>
      <c r="N76" s="7">
        <f t="shared" si="87"/>
        <v>62.5</v>
      </c>
      <c r="O76" s="7">
        <f t="shared" si="87"/>
        <v>62.5</v>
      </c>
      <c r="P76" s="7">
        <f t="shared" si="87"/>
        <v>62.5</v>
      </c>
    </row>
    <row r="77" spans="1:16" x14ac:dyDescent="0.25">
      <c r="A77" s="379" t="s">
        <v>144</v>
      </c>
      <c r="B77" s="369">
        <f>'6-Year - Springs (new campus)'!C173</f>
        <v>4000</v>
      </c>
      <c r="C77" s="7">
        <f t="shared" si="82"/>
        <v>0</v>
      </c>
      <c r="D77" s="370">
        <f t="shared" si="83"/>
        <v>4000.0000000000005</v>
      </c>
      <c r="E77" s="364">
        <f t="shared" si="84"/>
        <v>333.33333333333331</v>
      </c>
      <c r="F77" s="7">
        <f t="shared" ref="F77:P77" si="88">E77</f>
        <v>333.33333333333331</v>
      </c>
      <c r="G77" s="7">
        <f t="shared" si="88"/>
        <v>333.33333333333331</v>
      </c>
      <c r="H77" s="7">
        <f t="shared" si="88"/>
        <v>333.33333333333331</v>
      </c>
      <c r="I77" s="7">
        <f t="shared" si="88"/>
        <v>333.33333333333331</v>
      </c>
      <c r="J77" s="7">
        <f t="shared" si="88"/>
        <v>333.33333333333331</v>
      </c>
      <c r="K77" s="7">
        <f t="shared" si="88"/>
        <v>333.33333333333331</v>
      </c>
      <c r="L77" s="7">
        <f t="shared" si="88"/>
        <v>333.33333333333331</v>
      </c>
      <c r="M77" s="7">
        <f t="shared" si="88"/>
        <v>333.33333333333331</v>
      </c>
      <c r="N77" s="7">
        <f t="shared" si="88"/>
        <v>333.33333333333331</v>
      </c>
      <c r="O77" s="7">
        <f t="shared" si="88"/>
        <v>333.33333333333331</v>
      </c>
      <c r="P77" s="7">
        <f t="shared" si="88"/>
        <v>333.33333333333331</v>
      </c>
    </row>
    <row r="78" spans="1:16" x14ac:dyDescent="0.25">
      <c r="A78" s="379" t="s">
        <v>145</v>
      </c>
      <c r="B78" s="369">
        <f>'6-Year - Springs (new campus)'!C174</f>
        <v>30000</v>
      </c>
      <c r="C78" s="7">
        <f t="shared" si="82"/>
        <v>0</v>
      </c>
      <c r="D78" s="370">
        <f t="shared" si="83"/>
        <v>30000</v>
      </c>
      <c r="E78" s="364">
        <f t="shared" si="84"/>
        <v>2500</v>
      </c>
      <c r="F78" s="7">
        <f t="shared" ref="F78:P78" si="89">E78</f>
        <v>2500</v>
      </c>
      <c r="G78" s="7">
        <f t="shared" si="89"/>
        <v>2500</v>
      </c>
      <c r="H78" s="7">
        <f t="shared" si="89"/>
        <v>2500</v>
      </c>
      <c r="I78" s="7">
        <f t="shared" si="89"/>
        <v>2500</v>
      </c>
      <c r="J78" s="7">
        <f t="shared" si="89"/>
        <v>2500</v>
      </c>
      <c r="K78" s="7">
        <f t="shared" si="89"/>
        <v>2500</v>
      </c>
      <c r="L78" s="7">
        <f t="shared" si="89"/>
        <v>2500</v>
      </c>
      <c r="M78" s="7">
        <f t="shared" si="89"/>
        <v>2500</v>
      </c>
      <c r="N78" s="7">
        <f t="shared" si="89"/>
        <v>2500</v>
      </c>
      <c r="O78" s="7">
        <f t="shared" si="89"/>
        <v>2500</v>
      </c>
      <c r="P78" s="7">
        <f t="shared" si="89"/>
        <v>2500</v>
      </c>
    </row>
    <row r="79" spans="1:16" x14ac:dyDescent="0.25">
      <c r="A79" s="379" t="s">
        <v>146</v>
      </c>
      <c r="B79" s="369">
        <f>'6-Year - Springs (new campus)'!C175</f>
        <v>3790</v>
      </c>
      <c r="C79" s="7">
        <f t="shared" si="82"/>
        <v>0</v>
      </c>
      <c r="D79" s="370">
        <f t="shared" si="83"/>
        <v>3790.0000000000005</v>
      </c>
      <c r="E79" s="364">
        <f t="shared" si="84"/>
        <v>315.83333333333331</v>
      </c>
      <c r="F79" s="7">
        <f t="shared" ref="F79:P79" si="90">E79</f>
        <v>315.83333333333331</v>
      </c>
      <c r="G79" s="7">
        <f t="shared" si="90"/>
        <v>315.83333333333331</v>
      </c>
      <c r="H79" s="7">
        <f t="shared" si="90"/>
        <v>315.83333333333331</v>
      </c>
      <c r="I79" s="7">
        <f t="shared" si="90"/>
        <v>315.83333333333331</v>
      </c>
      <c r="J79" s="7">
        <f t="shared" si="90"/>
        <v>315.83333333333331</v>
      </c>
      <c r="K79" s="7">
        <f t="shared" si="90"/>
        <v>315.83333333333331</v>
      </c>
      <c r="L79" s="7">
        <f t="shared" si="90"/>
        <v>315.83333333333331</v>
      </c>
      <c r="M79" s="7">
        <f t="shared" si="90"/>
        <v>315.83333333333331</v>
      </c>
      <c r="N79" s="7">
        <f t="shared" si="90"/>
        <v>315.83333333333331</v>
      </c>
      <c r="O79" s="7">
        <f t="shared" si="90"/>
        <v>315.83333333333331</v>
      </c>
      <c r="P79" s="7">
        <f t="shared" si="90"/>
        <v>315.83333333333331</v>
      </c>
    </row>
    <row r="80" spans="1:16" x14ac:dyDescent="0.25">
      <c r="A80" s="379" t="s">
        <v>149</v>
      </c>
      <c r="B80" s="369">
        <f>'6-Year - Springs (new campus)'!C178</f>
        <v>10000</v>
      </c>
      <c r="C80" s="7">
        <f>D80-B80</f>
        <v>0</v>
      </c>
      <c r="D80" s="370">
        <f>SUM(E80:P80)</f>
        <v>10000</v>
      </c>
      <c r="E80" s="364">
        <v>0</v>
      </c>
      <c r="F80" s="7">
        <v>0</v>
      </c>
      <c r="G80" s="7">
        <f>B80*0.7</f>
        <v>7000</v>
      </c>
      <c r="H80" s="7">
        <v>0</v>
      </c>
      <c r="I80" s="7">
        <v>0</v>
      </c>
      <c r="J80" s="7">
        <v>0</v>
      </c>
      <c r="K80" s="7">
        <v>0</v>
      </c>
      <c r="L80" s="7">
        <f>B80*0.3</f>
        <v>3000</v>
      </c>
      <c r="M80" s="7">
        <v>0</v>
      </c>
      <c r="N80" s="7">
        <v>0</v>
      </c>
      <c r="O80" s="7">
        <v>0</v>
      </c>
      <c r="P80" s="7">
        <v>0</v>
      </c>
    </row>
    <row r="81" spans="1:16" x14ac:dyDescent="0.25">
      <c r="A81" s="379" t="s">
        <v>150</v>
      </c>
      <c r="B81" s="369">
        <f>'6-Year - Springs (new campus)'!C179</f>
        <v>7000</v>
      </c>
      <c r="C81" s="7">
        <f t="shared" ref="C81:C82" si="91">D81-B81</f>
        <v>0</v>
      </c>
      <c r="D81" s="370">
        <f t="shared" ref="D81:D82" si="92">SUM(E81:P81)</f>
        <v>7000</v>
      </c>
      <c r="E81" s="364">
        <v>0</v>
      </c>
      <c r="F81" s="7">
        <v>0</v>
      </c>
      <c r="G81" s="7">
        <f t="shared" ref="G81:G82" si="93">B81*0.7</f>
        <v>4900</v>
      </c>
      <c r="H81" s="7">
        <v>0</v>
      </c>
      <c r="I81" s="7">
        <v>0</v>
      </c>
      <c r="J81" s="7">
        <v>0</v>
      </c>
      <c r="K81" s="7">
        <v>0</v>
      </c>
      <c r="L81" s="7">
        <f t="shared" ref="L81:L82" si="94">B81*0.3</f>
        <v>2100</v>
      </c>
      <c r="M81" s="7">
        <v>0</v>
      </c>
      <c r="N81" s="7">
        <v>0</v>
      </c>
      <c r="O81" s="7">
        <v>0</v>
      </c>
      <c r="P81" s="7">
        <v>0</v>
      </c>
    </row>
    <row r="82" spans="1:16" x14ac:dyDescent="0.25">
      <c r="A82" s="379" t="s">
        <v>151</v>
      </c>
      <c r="B82" s="369">
        <f>'6-Year - Springs (new campus)'!C180</f>
        <v>13000</v>
      </c>
      <c r="C82" s="7">
        <f t="shared" si="91"/>
        <v>0</v>
      </c>
      <c r="D82" s="370">
        <f t="shared" si="92"/>
        <v>13000</v>
      </c>
      <c r="E82" s="364">
        <v>0</v>
      </c>
      <c r="F82" s="7">
        <v>0</v>
      </c>
      <c r="G82" s="7">
        <f t="shared" si="93"/>
        <v>9100</v>
      </c>
      <c r="H82" s="7">
        <v>0</v>
      </c>
      <c r="I82" s="7">
        <v>0</v>
      </c>
      <c r="J82" s="7">
        <v>0</v>
      </c>
      <c r="K82" s="7">
        <v>0</v>
      </c>
      <c r="L82" s="7">
        <f t="shared" si="94"/>
        <v>3900</v>
      </c>
      <c r="M82" s="7">
        <v>0</v>
      </c>
      <c r="N82" s="7">
        <v>0</v>
      </c>
      <c r="O82" s="7">
        <v>0</v>
      </c>
      <c r="P82" s="7">
        <v>0</v>
      </c>
    </row>
    <row r="83" spans="1:16" x14ac:dyDescent="0.25">
      <c r="A83" s="379" t="s">
        <v>154</v>
      </c>
      <c r="B83" s="369">
        <f>'6-Year - Springs (new campus)'!C183</f>
        <v>231542.40000000002</v>
      </c>
      <c r="C83" s="7">
        <f>D83-B83</f>
        <v>0</v>
      </c>
      <c r="D83" s="370">
        <f>SUM(E83:P83)</f>
        <v>231542.40000000005</v>
      </c>
      <c r="E83" s="364">
        <f>B83/12</f>
        <v>19295.2</v>
      </c>
      <c r="F83" s="7">
        <f>E83</f>
        <v>19295.2</v>
      </c>
      <c r="G83" s="7">
        <f t="shared" ref="G83:P83" si="95">F83</f>
        <v>19295.2</v>
      </c>
      <c r="H83" s="7">
        <f t="shared" si="95"/>
        <v>19295.2</v>
      </c>
      <c r="I83" s="7">
        <f t="shared" si="95"/>
        <v>19295.2</v>
      </c>
      <c r="J83" s="7">
        <f t="shared" si="95"/>
        <v>19295.2</v>
      </c>
      <c r="K83" s="7">
        <f t="shared" si="95"/>
        <v>19295.2</v>
      </c>
      <c r="L83" s="7">
        <f t="shared" si="95"/>
        <v>19295.2</v>
      </c>
      <c r="M83" s="7">
        <f t="shared" si="95"/>
        <v>19295.2</v>
      </c>
      <c r="N83" s="7">
        <f t="shared" si="95"/>
        <v>19295.2</v>
      </c>
      <c r="O83" s="7">
        <f t="shared" si="95"/>
        <v>19295.2</v>
      </c>
      <c r="P83" s="7">
        <f t="shared" si="95"/>
        <v>19295.2</v>
      </c>
    </row>
    <row r="84" spans="1:16" x14ac:dyDescent="0.25">
      <c r="A84" s="379" t="s">
        <v>155</v>
      </c>
      <c r="B84" s="369">
        <f>'6-Year - Springs (new campus)'!C184</f>
        <v>5000</v>
      </c>
      <c r="C84" s="7">
        <f t="shared" ref="C84:C91" si="96">D84-B84</f>
        <v>0</v>
      </c>
      <c r="D84" s="370">
        <f t="shared" ref="D84:D91" si="97">SUM(E84:P84)</f>
        <v>5000</v>
      </c>
      <c r="E84" s="364">
        <f>B84</f>
        <v>5000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</row>
    <row r="85" spans="1:16" x14ac:dyDescent="0.25">
      <c r="A85" s="379" t="s">
        <v>156</v>
      </c>
      <c r="B85" s="369">
        <f>'6-Year - Springs (new campus)'!C185</f>
        <v>2000</v>
      </c>
      <c r="C85" s="7">
        <f t="shared" si="96"/>
        <v>0</v>
      </c>
      <c r="D85" s="370">
        <f t="shared" si="97"/>
        <v>2000</v>
      </c>
      <c r="E85" s="364">
        <f>B85</f>
        <v>2000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</row>
    <row r="86" spans="1:16" x14ac:dyDescent="0.25">
      <c r="A86" s="379" t="s">
        <v>157</v>
      </c>
      <c r="B86" s="369">
        <f>'6-Year - Springs (new campus)'!C186</f>
        <v>2925</v>
      </c>
      <c r="C86" s="7">
        <f t="shared" si="96"/>
        <v>0</v>
      </c>
      <c r="D86" s="370">
        <f t="shared" si="97"/>
        <v>2925</v>
      </c>
      <c r="E86" s="364">
        <f>B86</f>
        <v>2925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</row>
    <row r="87" spans="1:16" x14ac:dyDescent="0.25">
      <c r="A87" s="379" t="s">
        <v>158</v>
      </c>
      <c r="B87" s="369">
        <f>'6-Year - Springs (new campus)'!C187</f>
        <v>12000</v>
      </c>
      <c r="C87" s="7">
        <f t="shared" si="96"/>
        <v>0</v>
      </c>
      <c r="D87" s="370">
        <f t="shared" si="97"/>
        <v>12000</v>
      </c>
      <c r="E87" s="364">
        <f t="shared" ref="E87:E91" si="98">B87/12</f>
        <v>1000</v>
      </c>
      <c r="F87" s="7">
        <f t="shared" ref="F87:P87" si="99">E87</f>
        <v>1000</v>
      </c>
      <c r="G87" s="7">
        <f t="shared" si="99"/>
        <v>1000</v>
      </c>
      <c r="H87" s="7">
        <f t="shared" si="99"/>
        <v>1000</v>
      </c>
      <c r="I87" s="7">
        <f t="shared" si="99"/>
        <v>1000</v>
      </c>
      <c r="J87" s="7">
        <f t="shared" si="99"/>
        <v>1000</v>
      </c>
      <c r="K87" s="7">
        <f t="shared" si="99"/>
        <v>1000</v>
      </c>
      <c r="L87" s="7">
        <f t="shared" si="99"/>
        <v>1000</v>
      </c>
      <c r="M87" s="7">
        <f t="shared" si="99"/>
        <v>1000</v>
      </c>
      <c r="N87" s="7">
        <f t="shared" si="99"/>
        <v>1000</v>
      </c>
      <c r="O87" s="7">
        <f t="shared" si="99"/>
        <v>1000</v>
      </c>
      <c r="P87" s="7">
        <f t="shared" si="99"/>
        <v>1000</v>
      </c>
    </row>
    <row r="88" spans="1:16" x14ac:dyDescent="0.25">
      <c r="A88" s="379" t="s">
        <v>159</v>
      </c>
      <c r="B88" s="369">
        <f>'6-Year - Springs (new campus)'!C188</f>
        <v>0</v>
      </c>
      <c r="C88" s="7">
        <f t="shared" si="96"/>
        <v>0</v>
      </c>
      <c r="D88" s="370">
        <f t="shared" si="97"/>
        <v>0</v>
      </c>
      <c r="E88" s="364">
        <f t="shared" si="98"/>
        <v>0</v>
      </c>
      <c r="F88" s="7">
        <f t="shared" ref="F88:P88" si="100">E88</f>
        <v>0</v>
      </c>
      <c r="G88" s="7">
        <f t="shared" si="100"/>
        <v>0</v>
      </c>
      <c r="H88" s="7">
        <f t="shared" si="100"/>
        <v>0</v>
      </c>
      <c r="I88" s="7">
        <f t="shared" si="100"/>
        <v>0</v>
      </c>
      <c r="J88" s="7">
        <f t="shared" si="100"/>
        <v>0</v>
      </c>
      <c r="K88" s="7">
        <f t="shared" si="100"/>
        <v>0</v>
      </c>
      <c r="L88" s="7">
        <f t="shared" si="100"/>
        <v>0</v>
      </c>
      <c r="M88" s="7">
        <f t="shared" si="100"/>
        <v>0</v>
      </c>
      <c r="N88" s="7">
        <f t="shared" si="100"/>
        <v>0</v>
      </c>
      <c r="O88" s="7">
        <f t="shared" si="100"/>
        <v>0</v>
      </c>
      <c r="P88" s="7">
        <f t="shared" si="100"/>
        <v>0</v>
      </c>
    </row>
    <row r="89" spans="1:16" x14ac:dyDescent="0.25">
      <c r="A89" s="379" t="s">
        <v>160</v>
      </c>
      <c r="B89" s="369">
        <f>'6-Year - Springs (new campus)'!C189</f>
        <v>0</v>
      </c>
      <c r="C89" s="7">
        <f t="shared" si="96"/>
        <v>0</v>
      </c>
      <c r="D89" s="370">
        <f t="shared" si="97"/>
        <v>0</v>
      </c>
      <c r="E89" s="364">
        <f t="shared" si="98"/>
        <v>0</v>
      </c>
      <c r="F89" s="7">
        <f t="shared" ref="F89:P89" si="101">E89</f>
        <v>0</v>
      </c>
      <c r="G89" s="7">
        <f t="shared" si="101"/>
        <v>0</v>
      </c>
      <c r="H89" s="7">
        <f t="shared" si="101"/>
        <v>0</v>
      </c>
      <c r="I89" s="7">
        <f t="shared" si="101"/>
        <v>0</v>
      </c>
      <c r="J89" s="7">
        <f t="shared" si="101"/>
        <v>0</v>
      </c>
      <c r="K89" s="7">
        <f t="shared" si="101"/>
        <v>0</v>
      </c>
      <c r="L89" s="7">
        <f t="shared" si="101"/>
        <v>0</v>
      </c>
      <c r="M89" s="7">
        <f t="shared" si="101"/>
        <v>0</v>
      </c>
      <c r="N89" s="7">
        <f t="shared" si="101"/>
        <v>0</v>
      </c>
      <c r="O89" s="7">
        <f t="shared" si="101"/>
        <v>0</v>
      </c>
      <c r="P89" s="7">
        <f t="shared" si="101"/>
        <v>0</v>
      </c>
    </row>
    <row r="90" spans="1:16" x14ac:dyDescent="0.25">
      <c r="A90" s="379" t="s">
        <v>161</v>
      </c>
      <c r="B90" s="369">
        <f>'6-Year - Springs (new campus)'!C190</f>
        <v>0</v>
      </c>
      <c r="C90" s="7">
        <f t="shared" si="96"/>
        <v>0</v>
      </c>
      <c r="D90" s="370">
        <f t="shared" si="97"/>
        <v>0</v>
      </c>
      <c r="E90" s="364">
        <f t="shared" si="98"/>
        <v>0</v>
      </c>
      <c r="F90" s="7">
        <f t="shared" ref="F90:P90" si="102">E90</f>
        <v>0</v>
      </c>
      <c r="G90" s="7">
        <f t="shared" si="102"/>
        <v>0</v>
      </c>
      <c r="H90" s="7">
        <f t="shared" si="102"/>
        <v>0</v>
      </c>
      <c r="I90" s="7">
        <f t="shared" si="102"/>
        <v>0</v>
      </c>
      <c r="J90" s="7">
        <f t="shared" si="102"/>
        <v>0</v>
      </c>
      <c r="K90" s="7">
        <f t="shared" si="102"/>
        <v>0</v>
      </c>
      <c r="L90" s="7">
        <f t="shared" si="102"/>
        <v>0</v>
      </c>
      <c r="M90" s="7">
        <f t="shared" si="102"/>
        <v>0</v>
      </c>
      <c r="N90" s="7">
        <f t="shared" si="102"/>
        <v>0</v>
      </c>
      <c r="O90" s="7">
        <f t="shared" si="102"/>
        <v>0</v>
      </c>
      <c r="P90" s="7">
        <f t="shared" si="102"/>
        <v>0</v>
      </c>
    </row>
    <row r="91" spans="1:16" x14ac:dyDescent="0.25">
      <c r="A91" s="379" t="s">
        <v>162</v>
      </c>
      <c r="B91" s="369">
        <f>'6-Year - Springs (new campus)'!C191</f>
        <v>2000</v>
      </c>
      <c r="C91" s="7">
        <f t="shared" si="96"/>
        <v>0</v>
      </c>
      <c r="D91" s="370">
        <f t="shared" si="97"/>
        <v>2000.0000000000002</v>
      </c>
      <c r="E91" s="364">
        <f t="shared" si="98"/>
        <v>166.66666666666666</v>
      </c>
      <c r="F91" s="7">
        <f t="shared" ref="F91:P91" si="103">E91</f>
        <v>166.66666666666666</v>
      </c>
      <c r="G91" s="7">
        <f t="shared" si="103"/>
        <v>166.66666666666666</v>
      </c>
      <c r="H91" s="7">
        <f t="shared" si="103"/>
        <v>166.66666666666666</v>
      </c>
      <c r="I91" s="7">
        <f t="shared" si="103"/>
        <v>166.66666666666666</v>
      </c>
      <c r="J91" s="7">
        <f t="shared" si="103"/>
        <v>166.66666666666666</v>
      </c>
      <c r="K91" s="7">
        <f t="shared" si="103"/>
        <v>166.66666666666666</v>
      </c>
      <c r="L91" s="7">
        <f t="shared" si="103"/>
        <v>166.66666666666666</v>
      </c>
      <c r="M91" s="7">
        <f t="shared" si="103"/>
        <v>166.66666666666666</v>
      </c>
      <c r="N91" s="7">
        <f t="shared" si="103"/>
        <v>166.66666666666666</v>
      </c>
      <c r="O91" s="7">
        <f t="shared" si="103"/>
        <v>166.66666666666666</v>
      </c>
      <c r="P91" s="7">
        <f t="shared" si="103"/>
        <v>166.66666666666666</v>
      </c>
    </row>
    <row r="92" spans="1:16" x14ac:dyDescent="0.25">
      <c r="A92" s="379" t="s">
        <v>165</v>
      </c>
      <c r="B92" s="369">
        <f>'6-Year - Springs (new campus)'!C194</f>
        <v>78000</v>
      </c>
      <c r="C92" s="7">
        <f>D92-B92</f>
        <v>0</v>
      </c>
      <c r="D92" s="370">
        <f>SUM(E92:P92)</f>
        <v>77999.999999999985</v>
      </c>
      <c r="E92" s="364">
        <v>0</v>
      </c>
      <c r="F92" s="7">
        <f>B92/11</f>
        <v>7090.909090909091</v>
      </c>
      <c r="G92" s="7">
        <f t="shared" ref="G92:P92" si="104">F92</f>
        <v>7090.909090909091</v>
      </c>
      <c r="H92" s="7">
        <f t="shared" si="104"/>
        <v>7090.909090909091</v>
      </c>
      <c r="I92" s="7">
        <f t="shared" si="104"/>
        <v>7090.909090909091</v>
      </c>
      <c r="J92" s="7">
        <f t="shared" si="104"/>
        <v>7090.909090909091</v>
      </c>
      <c r="K92" s="7">
        <f t="shared" si="104"/>
        <v>7090.909090909091</v>
      </c>
      <c r="L92" s="7">
        <f t="shared" si="104"/>
        <v>7090.909090909091</v>
      </c>
      <c r="M92" s="7">
        <f t="shared" si="104"/>
        <v>7090.909090909091</v>
      </c>
      <c r="N92" s="7">
        <f t="shared" si="104"/>
        <v>7090.909090909091</v>
      </c>
      <c r="O92" s="7">
        <f t="shared" si="104"/>
        <v>7090.909090909091</v>
      </c>
      <c r="P92" s="7">
        <f t="shared" si="104"/>
        <v>7090.909090909091</v>
      </c>
    </row>
    <row r="93" spans="1:16" x14ac:dyDescent="0.25">
      <c r="A93" s="379" t="s">
        <v>166</v>
      </c>
      <c r="B93" s="369">
        <f>'6-Year - Springs (new campus)'!C195</f>
        <v>0</v>
      </c>
      <c r="C93" s="7">
        <f t="shared" ref="C93:C102" si="105">D93-B93</f>
        <v>0</v>
      </c>
      <c r="D93" s="370">
        <f t="shared" ref="D93:D102" si="106">SUM(E93:P93)</f>
        <v>0</v>
      </c>
      <c r="E93" s="364">
        <v>0</v>
      </c>
      <c r="F93" s="7">
        <f t="shared" ref="F93:F102" si="107">B93/11</f>
        <v>0</v>
      </c>
      <c r="G93" s="7">
        <f t="shared" ref="G93:P93" si="108">F93</f>
        <v>0</v>
      </c>
      <c r="H93" s="7">
        <f t="shared" si="108"/>
        <v>0</v>
      </c>
      <c r="I93" s="7">
        <f t="shared" si="108"/>
        <v>0</v>
      </c>
      <c r="J93" s="7">
        <f t="shared" si="108"/>
        <v>0</v>
      </c>
      <c r="K93" s="7">
        <f t="shared" si="108"/>
        <v>0</v>
      </c>
      <c r="L93" s="7">
        <f t="shared" si="108"/>
        <v>0</v>
      </c>
      <c r="M93" s="7">
        <f t="shared" si="108"/>
        <v>0</v>
      </c>
      <c r="N93" s="7">
        <f t="shared" si="108"/>
        <v>0</v>
      </c>
      <c r="O93" s="7">
        <f t="shared" si="108"/>
        <v>0</v>
      </c>
      <c r="P93" s="7">
        <f t="shared" si="108"/>
        <v>0</v>
      </c>
    </row>
    <row r="94" spans="1:16" x14ac:dyDescent="0.25">
      <c r="A94" s="379" t="s">
        <v>167</v>
      </c>
      <c r="B94" s="369">
        <f>'6-Year - Springs (new campus)'!C196</f>
        <v>20400</v>
      </c>
      <c r="C94" s="7">
        <f t="shared" si="105"/>
        <v>0</v>
      </c>
      <c r="D94" s="370">
        <f t="shared" si="106"/>
        <v>20400</v>
      </c>
      <c r="E94" s="364">
        <v>0</v>
      </c>
      <c r="F94" s="7">
        <f t="shared" si="107"/>
        <v>1854.5454545454545</v>
      </c>
      <c r="G94" s="7">
        <f t="shared" ref="G94:P94" si="109">F94</f>
        <v>1854.5454545454545</v>
      </c>
      <c r="H94" s="7">
        <f t="shared" si="109"/>
        <v>1854.5454545454545</v>
      </c>
      <c r="I94" s="7">
        <f t="shared" si="109"/>
        <v>1854.5454545454545</v>
      </c>
      <c r="J94" s="7">
        <f t="shared" si="109"/>
        <v>1854.5454545454545</v>
      </c>
      <c r="K94" s="7">
        <f t="shared" si="109"/>
        <v>1854.5454545454545</v>
      </c>
      <c r="L94" s="7">
        <f t="shared" si="109"/>
        <v>1854.5454545454545</v>
      </c>
      <c r="M94" s="7">
        <f t="shared" si="109"/>
        <v>1854.5454545454545</v>
      </c>
      <c r="N94" s="7">
        <f t="shared" si="109"/>
        <v>1854.5454545454545</v>
      </c>
      <c r="O94" s="7">
        <f t="shared" si="109"/>
        <v>1854.5454545454545</v>
      </c>
      <c r="P94" s="7">
        <f t="shared" si="109"/>
        <v>1854.5454545454545</v>
      </c>
    </row>
    <row r="95" spans="1:16" x14ac:dyDescent="0.25">
      <c r="A95" s="379" t="s">
        <v>168</v>
      </c>
      <c r="B95" s="369">
        <f>'6-Year - Springs (new campus)'!C197</f>
        <v>12000</v>
      </c>
      <c r="C95" s="7">
        <f t="shared" si="105"/>
        <v>0</v>
      </c>
      <c r="D95" s="370">
        <f t="shared" si="106"/>
        <v>12000.000000000004</v>
      </c>
      <c r="E95" s="364">
        <v>0</v>
      </c>
      <c r="F95" s="7">
        <f t="shared" si="107"/>
        <v>1090.909090909091</v>
      </c>
      <c r="G95" s="7">
        <f t="shared" ref="G95:P95" si="110">F95</f>
        <v>1090.909090909091</v>
      </c>
      <c r="H95" s="7">
        <f t="shared" si="110"/>
        <v>1090.909090909091</v>
      </c>
      <c r="I95" s="7">
        <f t="shared" si="110"/>
        <v>1090.909090909091</v>
      </c>
      <c r="J95" s="7">
        <f t="shared" si="110"/>
        <v>1090.909090909091</v>
      </c>
      <c r="K95" s="7">
        <f t="shared" si="110"/>
        <v>1090.909090909091</v>
      </c>
      <c r="L95" s="7">
        <f t="shared" si="110"/>
        <v>1090.909090909091</v>
      </c>
      <c r="M95" s="7">
        <f t="shared" si="110"/>
        <v>1090.909090909091</v>
      </c>
      <c r="N95" s="7">
        <f t="shared" si="110"/>
        <v>1090.909090909091</v>
      </c>
      <c r="O95" s="7">
        <f t="shared" si="110"/>
        <v>1090.909090909091</v>
      </c>
      <c r="P95" s="7">
        <f t="shared" si="110"/>
        <v>1090.909090909091</v>
      </c>
    </row>
    <row r="96" spans="1:16" x14ac:dyDescent="0.25">
      <c r="A96" s="379" t="s">
        <v>169</v>
      </c>
      <c r="B96" s="369">
        <f>'6-Year - Springs (new campus)'!C198</f>
        <v>6000</v>
      </c>
      <c r="C96" s="7">
        <f t="shared" si="105"/>
        <v>0</v>
      </c>
      <c r="D96" s="370">
        <f t="shared" si="106"/>
        <v>6000</v>
      </c>
      <c r="E96" s="364">
        <f>B96*0.7</f>
        <v>4200</v>
      </c>
      <c r="F96" s="7">
        <v>0</v>
      </c>
      <c r="G96" s="7">
        <v>0</v>
      </c>
      <c r="H96" s="7">
        <v>0</v>
      </c>
      <c r="I96" s="7">
        <v>0</v>
      </c>
      <c r="J96" s="7">
        <f>B96*0.3</f>
        <v>1800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</row>
    <row r="97" spans="1:16" x14ac:dyDescent="0.25">
      <c r="A97" s="379" t="s">
        <v>170</v>
      </c>
      <c r="B97" s="369">
        <f>'6-Year - Springs (new campus)'!C199</f>
        <v>81900</v>
      </c>
      <c r="C97" s="7">
        <f t="shared" si="105"/>
        <v>0</v>
      </c>
      <c r="D97" s="370">
        <f t="shared" si="106"/>
        <v>81900</v>
      </c>
      <c r="E97" s="364">
        <v>0</v>
      </c>
      <c r="F97" s="7">
        <f t="shared" si="107"/>
        <v>7445.454545454545</v>
      </c>
      <c r="G97" s="7">
        <f t="shared" ref="G97:P97" si="111">F97</f>
        <v>7445.454545454545</v>
      </c>
      <c r="H97" s="7">
        <f t="shared" si="111"/>
        <v>7445.454545454545</v>
      </c>
      <c r="I97" s="7">
        <f t="shared" si="111"/>
        <v>7445.454545454545</v>
      </c>
      <c r="J97" s="7">
        <f t="shared" si="111"/>
        <v>7445.454545454545</v>
      </c>
      <c r="K97" s="7">
        <f t="shared" si="111"/>
        <v>7445.454545454545</v>
      </c>
      <c r="L97" s="7">
        <f t="shared" si="111"/>
        <v>7445.454545454545</v>
      </c>
      <c r="M97" s="7">
        <f t="shared" si="111"/>
        <v>7445.454545454545</v>
      </c>
      <c r="N97" s="7">
        <f t="shared" si="111"/>
        <v>7445.454545454545</v>
      </c>
      <c r="O97" s="7">
        <f t="shared" si="111"/>
        <v>7445.454545454545</v>
      </c>
      <c r="P97" s="7">
        <f t="shared" si="111"/>
        <v>7445.454545454545</v>
      </c>
    </row>
    <row r="98" spans="1:16" x14ac:dyDescent="0.25">
      <c r="A98" s="379" t="s">
        <v>171</v>
      </c>
      <c r="B98" s="369">
        <f>'6-Year - Springs (new campus)'!C200</f>
        <v>20640</v>
      </c>
      <c r="C98" s="7">
        <f t="shared" si="105"/>
        <v>0</v>
      </c>
      <c r="D98" s="370">
        <f t="shared" si="106"/>
        <v>20640</v>
      </c>
      <c r="E98" s="364">
        <f>B98/12</f>
        <v>1720</v>
      </c>
      <c r="F98" s="7">
        <f>E98</f>
        <v>1720</v>
      </c>
      <c r="G98" s="7">
        <f t="shared" ref="G98:P98" si="112">F98</f>
        <v>1720</v>
      </c>
      <c r="H98" s="7">
        <f t="shared" si="112"/>
        <v>1720</v>
      </c>
      <c r="I98" s="7">
        <f t="shared" si="112"/>
        <v>1720</v>
      </c>
      <c r="J98" s="7">
        <f t="shared" si="112"/>
        <v>1720</v>
      </c>
      <c r="K98" s="7">
        <f t="shared" si="112"/>
        <v>1720</v>
      </c>
      <c r="L98" s="7">
        <f t="shared" si="112"/>
        <v>1720</v>
      </c>
      <c r="M98" s="7">
        <f t="shared" si="112"/>
        <v>1720</v>
      </c>
      <c r="N98" s="7">
        <f t="shared" si="112"/>
        <v>1720</v>
      </c>
      <c r="O98" s="7">
        <f t="shared" si="112"/>
        <v>1720</v>
      </c>
      <c r="P98" s="7">
        <f t="shared" si="112"/>
        <v>1720</v>
      </c>
    </row>
    <row r="99" spans="1:16" x14ac:dyDescent="0.25">
      <c r="A99" s="379" t="s">
        <v>173</v>
      </c>
      <c r="B99" s="369">
        <f>'6-Year - Springs (new campus)'!C201</f>
        <v>22500</v>
      </c>
      <c r="C99" s="7">
        <f t="shared" si="105"/>
        <v>0</v>
      </c>
      <c r="D99" s="370">
        <f t="shared" si="106"/>
        <v>22500</v>
      </c>
      <c r="E99" s="364">
        <v>0</v>
      </c>
      <c r="F99" s="7">
        <f t="shared" si="107"/>
        <v>2045.4545454545455</v>
      </c>
      <c r="G99" s="7">
        <f t="shared" ref="G99:P99" si="113">F99</f>
        <v>2045.4545454545455</v>
      </c>
      <c r="H99" s="7">
        <f t="shared" si="113"/>
        <v>2045.4545454545455</v>
      </c>
      <c r="I99" s="7">
        <f t="shared" si="113"/>
        <v>2045.4545454545455</v>
      </c>
      <c r="J99" s="7">
        <f t="shared" si="113"/>
        <v>2045.4545454545455</v>
      </c>
      <c r="K99" s="7">
        <f t="shared" si="113"/>
        <v>2045.4545454545455</v>
      </c>
      <c r="L99" s="7">
        <f t="shared" si="113"/>
        <v>2045.4545454545455</v>
      </c>
      <c r="M99" s="7">
        <f t="shared" si="113"/>
        <v>2045.4545454545455</v>
      </c>
      <c r="N99" s="7">
        <f t="shared" si="113"/>
        <v>2045.4545454545455</v>
      </c>
      <c r="O99" s="7">
        <f t="shared" si="113"/>
        <v>2045.4545454545455</v>
      </c>
      <c r="P99" s="7">
        <f t="shared" si="113"/>
        <v>2045.4545454545455</v>
      </c>
    </row>
    <row r="100" spans="1:16" x14ac:dyDescent="0.25">
      <c r="A100" s="379" t="s">
        <v>174</v>
      </c>
      <c r="B100" s="369">
        <f>'6-Year - Springs (new campus)'!C202</f>
        <v>12000</v>
      </c>
      <c r="C100" s="7">
        <f t="shared" si="105"/>
        <v>0</v>
      </c>
      <c r="D100" s="370">
        <f t="shared" si="106"/>
        <v>12000.000000000004</v>
      </c>
      <c r="E100" s="364">
        <v>0</v>
      </c>
      <c r="F100" s="7">
        <f t="shared" si="107"/>
        <v>1090.909090909091</v>
      </c>
      <c r="G100" s="7">
        <f t="shared" ref="G100:P100" si="114">F100</f>
        <v>1090.909090909091</v>
      </c>
      <c r="H100" s="7">
        <f t="shared" si="114"/>
        <v>1090.909090909091</v>
      </c>
      <c r="I100" s="7">
        <f t="shared" si="114"/>
        <v>1090.909090909091</v>
      </c>
      <c r="J100" s="7">
        <f t="shared" si="114"/>
        <v>1090.909090909091</v>
      </c>
      <c r="K100" s="7">
        <f t="shared" si="114"/>
        <v>1090.909090909091</v>
      </c>
      <c r="L100" s="7">
        <f t="shared" si="114"/>
        <v>1090.909090909091</v>
      </c>
      <c r="M100" s="7">
        <f t="shared" si="114"/>
        <v>1090.909090909091</v>
      </c>
      <c r="N100" s="7">
        <f t="shared" si="114"/>
        <v>1090.909090909091</v>
      </c>
      <c r="O100" s="7">
        <f t="shared" si="114"/>
        <v>1090.909090909091</v>
      </c>
      <c r="P100" s="7">
        <f t="shared" si="114"/>
        <v>1090.909090909091</v>
      </c>
    </row>
    <row r="101" spans="1:16" x14ac:dyDescent="0.25">
      <c r="A101" s="379" t="s">
        <v>175</v>
      </c>
      <c r="B101" s="369">
        <f>'6-Year - Springs (new campus)'!C203</f>
        <v>0</v>
      </c>
      <c r="C101" s="7">
        <f t="shared" si="105"/>
        <v>0</v>
      </c>
      <c r="D101" s="370">
        <f t="shared" si="106"/>
        <v>0</v>
      </c>
      <c r="E101" s="364">
        <v>0</v>
      </c>
      <c r="F101" s="7">
        <f t="shared" si="107"/>
        <v>0</v>
      </c>
      <c r="G101" s="7">
        <f t="shared" ref="G101:P101" si="115">F101</f>
        <v>0</v>
      </c>
      <c r="H101" s="7">
        <f t="shared" si="115"/>
        <v>0</v>
      </c>
      <c r="I101" s="7">
        <f t="shared" si="115"/>
        <v>0</v>
      </c>
      <c r="J101" s="7">
        <f t="shared" si="115"/>
        <v>0</v>
      </c>
      <c r="K101" s="7">
        <f t="shared" si="115"/>
        <v>0</v>
      </c>
      <c r="L101" s="7">
        <f t="shared" si="115"/>
        <v>0</v>
      </c>
      <c r="M101" s="7">
        <f t="shared" si="115"/>
        <v>0</v>
      </c>
      <c r="N101" s="7">
        <f t="shared" si="115"/>
        <v>0</v>
      </c>
      <c r="O101" s="7">
        <f t="shared" si="115"/>
        <v>0</v>
      </c>
      <c r="P101" s="7">
        <f t="shared" si="115"/>
        <v>0</v>
      </c>
    </row>
    <row r="102" spans="1:16" x14ac:dyDescent="0.25">
      <c r="A102" s="379" t="s">
        <v>176</v>
      </c>
      <c r="B102" s="369">
        <f>'6-Year - Springs (new campus)'!C204</f>
        <v>12500</v>
      </c>
      <c r="C102" s="7">
        <f t="shared" si="105"/>
        <v>0</v>
      </c>
      <c r="D102" s="370">
        <f t="shared" si="106"/>
        <v>12499.999999999998</v>
      </c>
      <c r="E102" s="364">
        <v>0</v>
      </c>
      <c r="F102" s="7">
        <f t="shared" si="107"/>
        <v>1136.3636363636363</v>
      </c>
      <c r="G102" s="7">
        <f t="shared" ref="G102:P102" si="116">F102</f>
        <v>1136.3636363636363</v>
      </c>
      <c r="H102" s="7">
        <f t="shared" si="116"/>
        <v>1136.3636363636363</v>
      </c>
      <c r="I102" s="7">
        <f t="shared" si="116"/>
        <v>1136.3636363636363</v>
      </c>
      <c r="J102" s="7">
        <f t="shared" si="116"/>
        <v>1136.3636363636363</v>
      </c>
      <c r="K102" s="7">
        <f t="shared" si="116"/>
        <v>1136.3636363636363</v>
      </c>
      <c r="L102" s="7">
        <f t="shared" si="116"/>
        <v>1136.3636363636363</v>
      </c>
      <c r="M102" s="7">
        <f t="shared" si="116"/>
        <v>1136.3636363636363</v>
      </c>
      <c r="N102" s="7">
        <f t="shared" si="116"/>
        <v>1136.3636363636363</v>
      </c>
      <c r="O102" s="7">
        <f t="shared" si="116"/>
        <v>1136.3636363636363</v>
      </c>
      <c r="P102" s="7">
        <f t="shared" si="116"/>
        <v>1136.3636363636363</v>
      </c>
    </row>
    <row r="103" spans="1:16" x14ac:dyDescent="0.25">
      <c r="A103" s="362" t="s">
        <v>179</v>
      </c>
      <c r="B103" s="369">
        <f>'6-Year - Springs (new campus)'!C209</f>
        <v>1000000</v>
      </c>
      <c r="C103" s="7">
        <f>D103-B103</f>
        <v>0</v>
      </c>
      <c r="D103" s="370">
        <f>SUM(E103:P103)</f>
        <v>1000000.0000000001</v>
      </c>
      <c r="E103" s="364">
        <f>B103/12</f>
        <v>83333.333333333328</v>
      </c>
      <c r="F103" s="7">
        <f>E103</f>
        <v>83333.333333333328</v>
      </c>
      <c r="G103" s="7">
        <f t="shared" ref="G103:P103" si="117">F103</f>
        <v>83333.333333333328</v>
      </c>
      <c r="H103" s="7">
        <f t="shared" si="117"/>
        <v>83333.333333333328</v>
      </c>
      <c r="I103" s="7">
        <f t="shared" si="117"/>
        <v>83333.333333333328</v>
      </c>
      <c r="J103" s="7">
        <f t="shared" si="117"/>
        <v>83333.333333333328</v>
      </c>
      <c r="K103" s="7">
        <f t="shared" si="117"/>
        <v>83333.333333333328</v>
      </c>
      <c r="L103" s="7">
        <f t="shared" si="117"/>
        <v>83333.333333333328</v>
      </c>
      <c r="M103" s="7">
        <f t="shared" si="117"/>
        <v>83333.333333333328</v>
      </c>
      <c r="N103" s="7">
        <f t="shared" si="117"/>
        <v>83333.333333333328</v>
      </c>
      <c r="O103" s="7">
        <f t="shared" si="117"/>
        <v>83333.333333333328</v>
      </c>
      <c r="P103" s="7">
        <f t="shared" si="117"/>
        <v>83333.333333333328</v>
      </c>
    </row>
    <row r="104" spans="1:16" x14ac:dyDescent="0.25">
      <c r="A104" s="363"/>
      <c r="B104" s="369"/>
      <c r="C104" s="7"/>
      <c r="D104" s="370"/>
      <c r="E104" s="364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</row>
    <row r="105" spans="1:16" ht="15.75" thickBot="1" x14ac:dyDescent="0.3">
      <c r="A105" s="144" t="s">
        <v>183</v>
      </c>
      <c r="B105" s="145">
        <f>SUM(B19:B104)</f>
        <v>5087733.9781125002</v>
      </c>
      <c r="C105" s="387">
        <f t="shared" ref="C105:D105" si="118">SUM(C19:C104)</f>
        <v>-185881.81249999988</v>
      </c>
      <c r="D105" s="145">
        <f t="shared" si="118"/>
        <v>4901852.1656125002</v>
      </c>
      <c r="E105" s="368">
        <f>SUM(E19:E104)</f>
        <v>266080.22734270839</v>
      </c>
      <c r="F105" s="145">
        <f>SUM(F19:F103)</f>
        <v>419554.26711543568</v>
      </c>
      <c r="G105" s="145">
        <f t="shared" ref="G105:P105" si="119">SUM(G19:G103)</f>
        <v>438054.26711543568</v>
      </c>
      <c r="H105" s="145">
        <f t="shared" si="119"/>
        <v>417054.26711543568</v>
      </c>
      <c r="I105" s="145">
        <f t="shared" si="119"/>
        <v>417054.26711543568</v>
      </c>
      <c r="J105" s="145">
        <f t="shared" si="119"/>
        <v>432729.26711543568</v>
      </c>
      <c r="K105" s="145">
        <f t="shared" si="119"/>
        <v>417054.26711543568</v>
      </c>
      <c r="L105" s="145">
        <f t="shared" si="119"/>
        <v>426054.26711543568</v>
      </c>
      <c r="M105" s="145">
        <f t="shared" si="119"/>
        <v>417054.26711543568</v>
      </c>
      <c r="N105" s="145">
        <f t="shared" si="119"/>
        <v>417054.26711543568</v>
      </c>
      <c r="O105" s="145">
        <f t="shared" si="119"/>
        <v>417054.26711543568</v>
      </c>
      <c r="P105" s="145">
        <f t="shared" si="119"/>
        <v>417054.26711543568</v>
      </c>
    </row>
    <row r="106" spans="1:16" x14ac:dyDescent="0.25">
      <c r="B106" s="111"/>
      <c r="C106" s="111"/>
      <c r="D106" s="381" t="s">
        <v>294</v>
      </c>
      <c r="E106" s="382">
        <f>E16-E105</f>
        <v>131961.17307395826</v>
      </c>
      <c r="F106" s="382">
        <f>F16-F105</f>
        <v>-21512.866698769038</v>
      </c>
      <c r="G106" s="382">
        <f t="shared" ref="G106:P106" si="120">G16-G105</f>
        <v>-8348.8666987690376</v>
      </c>
      <c r="H106" s="382">
        <f t="shared" si="120"/>
        <v>12651.133301230962</v>
      </c>
      <c r="I106" s="382">
        <f t="shared" si="120"/>
        <v>12651.133301230962</v>
      </c>
      <c r="J106" s="382">
        <f t="shared" si="120"/>
        <v>-3023.8666987690376</v>
      </c>
      <c r="K106" s="382">
        <f t="shared" si="120"/>
        <v>12651.133301230962</v>
      </c>
      <c r="L106" s="382">
        <f t="shared" si="120"/>
        <v>3651.1333012309624</v>
      </c>
      <c r="M106" s="382">
        <f t="shared" si="120"/>
        <v>12651.133301230962</v>
      </c>
      <c r="N106" s="382">
        <f t="shared" si="120"/>
        <v>12651.133301230962</v>
      </c>
      <c r="O106" s="382">
        <f t="shared" si="120"/>
        <v>12651.133301230962</v>
      </c>
      <c r="P106" s="382">
        <f t="shared" si="120"/>
        <v>12651.133301230962</v>
      </c>
    </row>
    <row r="107" spans="1:16" ht="15.75" thickBot="1" x14ac:dyDescent="0.3">
      <c r="B107" s="111"/>
      <c r="C107" s="111"/>
      <c r="D107" s="383" t="s">
        <v>295</v>
      </c>
      <c r="E107" s="384">
        <f>E106</f>
        <v>131961.17307395826</v>
      </c>
      <c r="F107" s="384">
        <f t="shared" ref="F107" si="121">E107+F106</f>
        <v>110448.30637518922</v>
      </c>
      <c r="G107" s="384">
        <f t="shared" ref="G107" si="122">F107+G106</f>
        <v>102099.43967642018</v>
      </c>
      <c r="H107" s="384">
        <f t="shared" ref="H107" si="123">G107+H106</f>
        <v>114750.57297765114</v>
      </c>
      <c r="I107" s="384">
        <f t="shared" ref="I107" si="124">H107+I106</f>
        <v>127401.70627888211</v>
      </c>
      <c r="J107" s="384">
        <f t="shared" ref="J107" si="125">I107+J106</f>
        <v>124377.83958011307</v>
      </c>
      <c r="K107" s="384">
        <f t="shared" ref="K107" si="126">J107+K106</f>
        <v>137028.97288134403</v>
      </c>
      <c r="L107" s="384">
        <f t="shared" ref="L107" si="127">K107+L106</f>
        <v>140680.10618257499</v>
      </c>
      <c r="M107" s="384">
        <f t="shared" ref="M107" si="128">L107+M106</f>
        <v>153331.23948380596</v>
      </c>
      <c r="N107" s="384">
        <f t="shared" ref="N107" si="129">M107+N106</f>
        <v>165982.37278503692</v>
      </c>
      <c r="O107" s="384">
        <f t="shared" ref="O107" si="130">N107+O106</f>
        <v>178633.50608626788</v>
      </c>
      <c r="P107" s="384">
        <f t="shared" ref="P107" si="131">O107+P106</f>
        <v>191284.63938749884</v>
      </c>
    </row>
    <row r="108" spans="1:16" ht="15.75" thickTop="1" x14ac:dyDescent="0.25"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</row>
    <row r="109" spans="1:16" ht="15.75" x14ac:dyDescent="0.25">
      <c r="A109" s="386" t="s">
        <v>296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385">
        <f>P107+C105</f>
        <v>5402.826887498959</v>
      </c>
    </row>
    <row r="110" spans="1:16" x14ac:dyDescent="0.25"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385">
        <f>P109-'6-Year - Springs (new campus)'!C220</f>
        <v>-1.0477378964424133E-9</v>
      </c>
    </row>
    <row r="111" spans="1:16" x14ac:dyDescent="0.25"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</row>
    <row r="112" spans="1:16" x14ac:dyDescent="0.25">
      <c r="A112" s="112" t="str">
        <f>A1</f>
        <v>Pinecrest Academy of Nevada - Springs</v>
      </c>
      <c r="B112" s="377" t="str">
        <f>B3</f>
        <v>Budget</v>
      </c>
      <c r="C112" s="377" t="str">
        <f t="shared" ref="C112:P112" si="132">C3</f>
        <v>Difference</v>
      </c>
      <c r="D112" s="377" t="str">
        <f t="shared" si="132"/>
        <v>Total</v>
      </c>
      <c r="E112" s="377" t="str">
        <f t="shared" si="132"/>
        <v>July</v>
      </c>
      <c r="F112" s="377" t="str">
        <f t="shared" si="132"/>
        <v>August</v>
      </c>
      <c r="G112" s="377" t="str">
        <f t="shared" si="132"/>
        <v>September</v>
      </c>
      <c r="H112" s="377" t="str">
        <f t="shared" si="132"/>
        <v>October</v>
      </c>
      <c r="I112" s="377" t="str">
        <f t="shared" si="132"/>
        <v>November</v>
      </c>
      <c r="J112" s="377" t="str">
        <f t="shared" si="132"/>
        <v>December</v>
      </c>
      <c r="K112" s="377" t="str">
        <f t="shared" si="132"/>
        <v>January</v>
      </c>
      <c r="L112" s="377" t="str">
        <f t="shared" si="132"/>
        <v>February</v>
      </c>
      <c r="M112" s="377" t="str">
        <f t="shared" si="132"/>
        <v>March</v>
      </c>
      <c r="N112" s="377" t="str">
        <f t="shared" si="132"/>
        <v>April</v>
      </c>
      <c r="O112" s="377" t="str">
        <f t="shared" si="132"/>
        <v>May</v>
      </c>
      <c r="P112" s="377" t="str">
        <f t="shared" si="132"/>
        <v>June</v>
      </c>
    </row>
    <row r="113" spans="1:5" x14ac:dyDescent="0.25">
      <c r="B113" s="109"/>
      <c r="C113" s="109"/>
      <c r="D113" s="109"/>
      <c r="E113" s="109"/>
    </row>
    <row r="114" spans="1:5" x14ac:dyDescent="0.25">
      <c r="A114" s="112"/>
      <c r="B114" s="71"/>
      <c r="C114" s="71"/>
      <c r="D114" s="71"/>
      <c r="E114" s="71"/>
    </row>
    <row r="115" spans="1:5" x14ac:dyDescent="0.25">
      <c r="B115" s="109"/>
      <c r="C115" s="109"/>
      <c r="D115" s="109"/>
      <c r="E115" s="109"/>
    </row>
  </sheetData>
  <phoneticPr fontId="46" type="noConversion"/>
  <pageMargins left="0.7" right="0.7" top="0.75" bottom="0.75" header="0.3" footer="0.3"/>
  <pageSetup scale="3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66"/>
  <sheetViews>
    <sheetView topLeftCell="A170" zoomScale="75" zoomScaleNormal="75" workbookViewId="0">
      <pane xSplit="1" topLeftCell="B1" activePane="topRight" state="frozen"/>
      <selection pane="topRight" activeCell="C143" sqref="C143"/>
    </sheetView>
  </sheetViews>
  <sheetFormatPr defaultRowHeight="15" x14ac:dyDescent="0.25"/>
  <cols>
    <col min="1" max="1" width="50.140625" bestFit="1" customWidth="1"/>
    <col min="2" max="2" width="16.42578125" customWidth="1"/>
    <col min="3" max="3" width="14.85546875" customWidth="1"/>
    <col min="4" max="4" width="16.42578125" customWidth="1"/>
    <col min="5" max="7" width="14.85546875" customWidth="1"/>
    <col min="10" max="10" width="9.5703125" customWidth="1"/>
  </cols>
  <sheetData>
    <row r="1" spans="1:14" x14ac:dyDescent="0.25">
      <c r="A1" s="1" t="s">
        <v>297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25">
      <c r="A2" s="6" t="s">
        <v>7</v>
      </c>
      <c r="B2" s="7">
        <f>'FY23'!F2</f>
        <v>7293</v>
      </c>
      <c r="C2" s="7">
        <f>'FY24'!F2</f>
        <v>7387.8089999999993</v>
      </c>
      <c r="D2" s="7">
        <f>'FY25'!F2</f>
        <v>7483.8505169999989</v>
      </c>
      <c r="E2" s="7">
        <f>'FY26'!F2</f>
        <v>7581.140573720998</v>
      </c>
      <c r="F2" s="7">
        <f>'FY27'!F2</f>
        <v>7679.6954011793705</v>
      </c>
      <c r="G2" s="7">
        <f>'FY28'!F2</f>
        <v>7779.5314413947017</v>
      </c>
      <c r="J2" s="157">
        <f>(C2-B2)/B2</f>
        <v>1.2999999999999902E-2</v>
      </c>
      <c r="K2" s="157">
        <f t="shared" ref="K2:N2" si="0">(D2-C2)/C2</f>
        <v>1.2999999999999954E-2</v>
      </c>
      <c r="L2" s="157">
        <f t="shared" si="0"/>
        <v>1.2999999999999871E-2</v>
      </c>
      <c r="M2" s="157">
        <f t="shared" si="0"/>
        <v>1.2999999999999942E-2</v>
      </c>
      <c r="N2" s="157">
        <f t="shared" si="0"/>
        <v>1.299999999999992E-2</v>
      </c>
    </row>
    <row r="3" spans="1:14" hidden="1" x14ac:dyDescent="0.25">
      <c r="A3" s="8"/>
      <c r="B3" s="7">
        <f>'FY23'!AV3</f>
        <v>0</v>
      </c>
      <c r="C3" s="7">
        <f>'FY24'!BB3</f>
        <v>0</v>
      </c>
      <c r="D3" s="7">
        <f>'FY25'!BB3</f>
        <v>0</v>
      </c>
      <c r="E3" s="7">
        <f>'FY26'!BB3</f>
        <v>0</v>
      </c>
      <c r="F3" s="7">
        <f>'FY27'!BB3</f>
        <v>0</v>
      </c>
      <c r="G3" s="7">
        <f>'FY27'!BC3</f>
        <v>0</v>
      </c>
    </row>
    <row r="4" spans="1:14" hidden="1" x14ac:dyDescent="0.25">
      <c r="A4" s="8"/>
      <c r="B4" s="7">
        <f>'FY23'!AV4</f>
        <v>0</v>
      </c>
      <c r="C4" s="7">
        <f>'FY24'!BB4</f>
        <v>0</v>
      </c>
      <c r="D4" s="7">
        <f>'FY25'!BB4</f>
        <v>0</v>
      </c>
      <c r="E4" s="7">
        <f>'FY26'!BB4</f>
        <v>0</v>
      </c>
      <c r="F4" s="7">
        <f>'FY27'!BB4</f>
        <v>0</v>
      </c>
      <c r="G4" s="7">
        <f>'FY27'!BC4</f>
        <v>0</v>
      </c>
    </row>
    <row r="5" spans="1:14" x14ac:dyDescent="0.25">
      <c r="A5" s="8" t="s">
        <v>8</v>
      </c>
      <c r="B5" s="9">
        <f>B6+B7+B8+B9+B10+B11+B12+B13+B14+B15+B16+B17+B18</f>
        <v>899</v>
      </c>
      <c r="C5" s="9">
        <f t="shared" ref="C5:G5" si="1">C6+C7+C8+C9+C10+C11+C12+C13+C14+C15+C16+C17+C18</f>
        <v>936</v>
      </c>
      <c r="D5" s="9">
        <f t="shared" si="1"/>
        <v>936</v>
      </c>
      <c r="E5" s="9">
        <f t="shared" si="1"/>
        <v>936</v>
      </c>
      <c r="F5" s="9">
        <f t="shared" si="1"/>
        <v>936</v>
      </c>
      <c r="G5" s="9">
        <f t="shared" si="1"/>
        <v>936</v>
      </c>
    </row>
    <row r="6" spans="1:14" x14ac:dyDescent="0.25">
      <c r="A6" s="10" t="s">
        <v>9</v>
      </c>
      <c r="B6" s="11">
        <f>'FY23'!F6</f>
        <v>150</v>
      </c>
      <c r="C6" s="11">
        <f>'FY24'!F6</f>
        <v>150</v>
      </c>
      <c r="D6" s="11">
        <f>'FY25'!F6</f>
        <v>150</v>
      </c>
      <c r="E6" s="11">
        <f>'FY26'!F6</f>
        <v>150</v>
      </c>
      <c r="F6" s="94">
        <f>'FY27'!F6</f>
        <v>150</v>
      </c>
      <c r="G6" s="94">
        <f>'FY28'!F6</f>
        <v>150</v>
      </c>
      <c r="I6" s="155">
        <f>'FY23'!G6</f>
        <v>6</v>
      </c>
      <c r="J6" s="327">
        <f>'FY24'!G6</f>
        <v>6</v>
      </c>
      <c r="K6" s="327">
        <f>'FY25'!G6</f>
        <v>6</v>
      </c>
      <c r="L6" s="327">
        <f>'FY26'!G6</f>
        <v>6</v>
      </c>
      <c r="M6" s="327">
        <f>'FY27'!G6</f>
        <v>6</v>
      </c>
      <c r="N6" s="327">
        <f>'FY28'!G6</f>
        <v>6</v>
      </c>
    </row>
    <row r="7" spans="1:14" x14ac:dyDescent="0.25">
      <c r="A7" s="12" t="s">
        <v>10</v>
      </c>
      <c r="B7" s="11">
        <f>'FY23'!F7</f>
        <v>150</v>
      </c>
      <c r="C7" s="11">
        <f>'FY24'!F7</f>
        <v>150</v>
      </c>
      <c r="D7" s="11">
        <f>'FY25'!F7</f>
        <v>150</v>
      </c>
      <c r="E7" s="11">
        <f>'FY26'!F7</f>
        <v>150</v>
      </c>
      <c r="F7" s="94">
        <f>'FY27'!F7</f>
        <v>150</v>
      </c>
      <c r="G7" s="94">
        <f>'FY28'!F7</f>
        <v>150</v>
      </c>
      <c r="I7" s="155">
        <f>'FY23'!G7</f>
        <v>6</v>
      </c>
      <c r="J7" s="327">
        <f>'FY24'!G7</f>
        <v>6</v>
      </c>
      <c r="K7" s="327">
        <f>'FY25'!G7</f>
        <v>6</v>
      </c>
      <c r="L7" s="327">
        <f>'FY26'!G7</f>
        <v>6</v>
      </c>
      <c r="M7" s="327">
        <f>'FY27'!G7</f>
        <v>6</v>
      </c>
      <c r="N7" s="327">
        <f>'FY28'!G7</f>
        <v>6</v>
      </c>
    </row>
    <row r="8" spans="1:14" x14ac:dyDescent="0.25">
      <c r="A8" s="12" t="s">
        <v>11</v>
      </c>
      <c r="B8" s="11">
        <f>'FY23'!F8</f>
        <v>156</v>
      </c>
      <c r="C8" s="11">
        <f>'FY24'!F8</f>
        <v>156</v>
      </c>
      <c r="D8" s="11">
        <f>'FY25'!F8</f>
        <v>156</v>
      </c>
      <c r="E8" s="11">
        <f>'FY26'!F8</f>
        <v>156</v>
      </c>
      <c r="F8" s="94">
        <f>'FY27'!F8</f>
        <v>156</v>
      </c>
      <c r="G8" s="94">
        <f>'FY28'!F8</f>
        <v>156</v>
      </c>
      <c r="I8" s="155">
        <f>'FY23'!G8</f>
        <v>6</v>
      </c>
      <c r="J8" s="327">
        <f>'FY24'!G8</f>
        <v>6</v>
      </c>
      <c r="K8" s="327">
        <f>'FY25'!G8</f>
        <v>6</v>
      </c>
      <c r="L8" s="327">
        <f>'FY26'!G8</f>
        <v>6</v>
      </c>
      <c r="M8" s="327">
        <f>'FY27'!G8</f>
        <v>6</v>
      </c>
      <c r="N8" s="327">
        <f>'FY28'!G8</f>
        <v>6</v>
      </c>
    </row>
    <row r="9" spans="1:14" x14ac:dyDescent="0.25">
      <c r="A9" s="13" t="s">
        <v>12</v>
      </c>
      <c r="B9" s="11">
        <f>'FY23'!F9</f>
        <v>156</v>
      </c>
      <c r="C9" s="11">
        <f>'FY24'!F9</f>
        <v>156</v>
      </c>
      <c r="D9" s="11">
        <f>'FY25'!F9</f>
        <v>156</v>
      </c>
      <c r="E9" s="11">
        <f>'FY26'!F9</f>
        <v>156</v>
      </c>
      <c r="F9" s="94">
        <f>'FY27'!F9</f>
        <v>156</v>
      </c>
      <c r="G9" s="94">
        <f>'FY28'!F9</f>
        <v>156</v>
      </c>
      <c r="I9" s="155">
        <f>'FY23'!G9</f>
        <v>6</v>
      </c>
      <c r="J9" s="327">
        <f>'FY24'!G9</f>
        <v>6</v>
      </c>
      <c r="K9" s="327">
        <f>'FY25'!G9</f>
        <v>6</v>
      </c>
      <c r="L9" s="327">
        <f>'FY26'!G9</f>
        <v>6</v>
      </c>
      <c r="M9" s="327">
        <f>'FY27'!G9</f>
        <v>6</v>
      </c>
      <c r="N9" s="327">
        <f>'FY28'!G9</f>
        <v>6</v>
      </c>
    </row>
    <row r="10" spans="1:14" x14ac:dyDescent="0.25">
      <c r="A10" s="13" t="s">
        <v>13</v>
      </c>
      <c r="B10" s="11">
        <f>'FY23'!F10</f>
        <v>162</v>
      </c>
      <c r="C10" s="11">
        <f>'FY24'!F10</f>
        <v>162</v>
      </c>
      <c r="D10" s="11">
        <f>'FY25'!F10</f>
        <v>162</v>
      </c>
      <c r="E10" s="11">
        <f>'FY26'!F10</f>
        <v>162</v>
      </c>
      <c r="F10" s="94">
        <f>'FY27'!F10</f>
        <v>162</v>
      </c>
      <c r="G10" s="94">
        <f>'FY28'!F10</f>
        <v>162</v>
      </c>
      <c r="I10" s="155">
        <f>'FY23'!G10</f>
        <v>6</v>
      </c>
      <c r="J10" s="327">
        <f>'FY24'!G10</f>
        <v>6</v>
      </c>
      <c r="K10" s="327">
        <f>'FY25'!G10</f>
        <v>6</v>
      </c>
      <c r="L10" s="327">
        <f>'FY26'!G10</f>
        <v>6</v>
      </c>
      <c r="M10" s="327">
        <f>'FY27'!G10</f>
        <v>6</v>
      </c>
      <c r="N10" s="327">
        <f>'FY28'!G10</f>
        <v>6</v>
      </c>
    </row>
    <row r="11" spans="1:14" x14ac:dyDescent="0.25">
      <c r="A11" s="13" t="s">
        <v>14</v>
      </c>
      <c r="B11" s="11">
        <f>'FY23'!F11</f>
        <v>125</v>
      </c>
      <c r="C11" s="11">
        <f>'FY24'!F11</f>
        <v>162</v>
      </c>
      <c r="D11" s="11">
        <f>'FY25'!F11</f>
        <v>162</v>
      </c>
      <c r="E11" s="11">
        <f>'FY26'!F11</f>
        <v>162</v>
      </c>
      <c r="F11" s="94">
        <f>'FY27'!F11</f>
        <v>162</v>
      </c>
      <c r="G11" s="94">
        <f>'FY28'!F11</f>
        <v>162</v>
      </c>
      <c r="I11" s="155">
        <f>'FY23'!G11</f>
        <v>5</v>
      </c>
      <c r="J11" s="327">
        <f>'FY24'!G11</f>
        <v>6</v>
      </c>
      <c r="K11" s="327">
        <f>'FY25'!G11</f>
        <v>6</v>
      </c>
      <c r="L11" s="327">
        <f>'FY26'!G11</f>
        <v>6</v>
      </c>
      <c r="M11" s="327">
        <f>'FY27'!G11</f>
        <v>6</v>
      </c>
      <c r="N11" s="327">
        <f>'FY28'!G11</f>
        <v>6</v>
      </c>
    </row>
    <row r="12" spans="1:14" x14ac:dyDescent="0.25">
      <c r="A12" s="13" t="s">
        <v>15</v>
      </c>
      <c r="B12" s="11">
        <f>'FY23'!F12</f>
        <v>0</v>
      </c>
      <c r="C12" s="11">
        <f>'FY24'!F12</f>
        <v>0</v>
      </c>
      <c r="D12" s="11">
        <f>'FY25'!F12</f>
        <v>0</v>
      </c>
      <c r="E12" s="11">
        <f>'FY26'!F12</f>
        <v>0</v>
      </c>
      <c r="F12" s="94">
        <f>'FY27'!F12</f>
        <v>0</v>
      </c>
      <c r="G12" s="94">
        <f>'FY28'!F12</f>
        <v>0</v>
      </c>
      <c r="I12" s="155"/>
      <c r="J12" s="155"/>
      <c r="K12" s="155"/>
      <c r="L12" s="155"/>
      <c r="M12" s="155"/>
      <c r="N12" s="155"/>
    </row>
    <row r="13" spans="1:14" x14ac:dyDescent="0.25">
      <c r="A13" s="13" t="s">
        <v>16</v>
      </c>
      <c r="B13" s="11">
        <f>'FY23'!F13</f>
        <v>0</v>
      </c>
      <c r="C13" s="11">
        <f>'FY24'!F13</f>
        <v>0</v>
      </c>
      <c r="D13" s="11">
        <f>'FY25'!F13</f>
        <v>0</v>
      </c>
      <c r="E13" s="11">
        <f>'FY26'!F13</f>
        <v>0</v>
      </c>
      <c r="F13" s="94">
        <f>'FY27'!F13</f>
        <v>0</v>
      </c>
      <c r="G13" s="94">
        <f>'FY28'!F13</f>
        <v>0</v>
      </c>
      <c r="I13" s="155"/>
      <c r="J13" s="155"/>
      <c r="K13" s="155"/>
      <c r="L13" s="155"/>
      <c r="M13" s="155"/>
      <c r="N13" s="155"/>
    </row>
    <row r="14" spans="1:14" x14ac:dyDescent="0.25">
      <c r="A14" s="13" t="s">
        <v>17</v>
      </c>
      <c r="B14" s="11">
        <f>'FY23'!F14</f>
        <v>0</v>
      </c>
      <c r="C14" s="11">
        <f>'FY24'!F14</f>
        <v>0</v>
      </c>
      <c r="D14" s="11">
        <f>'FY25'!F14</f>
        <v>0</v>
      </c>
      <c r="E14" s="11">
        <f>'FY26'!F14</f>
        <v>0</v>
      </c>
      <c r="F14" s="94">
        <f>'FY27'!F14</f>
        <v>0</v>
      </c>
      <c r="G14" s="94">
        <f>'FY28'!F14</f>
        <v>0</v>
      </c>
      <c r="I14" s="155"/>
      <c r="J14" s="155"/>
      <c r="K14" s="155"/>
      <c r="L14" s="155"/>
      <c r="M14" s="155"/>
      <c r="N14" s="155"/>
    </row>
    <row r="15" spans="1:14" x14ac:dyDescent="0.25">
      <c r="A15" s="13" t="s">
        <v>18</v>
      </c>
      <c r="B15" s="11">
        <f>'FY23'!F15</f>
        <v>0</v>
      </c>
      <c r="C15" s="11">
        <f>'FY24'!F15</f>
        <v>0</v>
      </c>
      <c r="D15" s="11">
        <f>'FY25'!F15</f>
        <v>0</v>
      </c>
      <c r="E15" s="11">
        <f>'FY26'!F15</f>
        <v>0</v>
      </c>
      <c r="F15" s="94">
        <f>'FY27'!F15</f>
        <v>0</v>
      </c>
      <c r="G15" s="94">
        <f>'FY28'!F15</f>
        <v>0</v>
      </c>
      <c r="I15" s="155"/>
      <c r="J15" s="155"/>
      <c r="K15" s="155"/>
      <c r="L15" s="155"/>
      <c r="M15" s="155"/>
      <c r="N15" s="155"/>
    </row>
    <row r="16" spans="1:14" x14ac:dyDescent="0.25">
      <c r="A16" s="13" t="s">
        <v>19</v>
      </c>
      <c r="B16" s="11">
        <f>'FY23'!F16</f>
        <v>0</v>
      </c>
      <c r="C16" s="11">
        <f>'FY24'!F16</f>
        <v>0</v>
      </c>
      <c r="D16" s="11">
        <f>'FY25'!F16</f>
        <v>0</v>
      </c>
      <c r="E16" s="11">
        <f>'FY26'!F16</f>
        <v>0</v>
      </c>
      <c r="F16" s="94">
        <f>'FY27'!F16</f>
        <v>0</v>
      </c>
      <c r="G16" s="94">
        <f>'FY28'!F16</f>
        <v>0</v>
      </c>
      <c r="I16" s="155"/>
      <c r="J16" s="155"/>
      <c r="K16" s="155"/>
      <c r="L16" s="155"/>
      <c r="M16" s="155"/>
      <c r="N16" s="155"/>
    </row>
    <row r="17" spans="1:14" x14ac:dyDescent="0.25">
      <c r="A17" s="13" t="s">
        <v>20</v>
      </c>
      <c r="B17" s="11">
        <f>'FY23'!F17</f>
        <v>0</v>
      </c>
      <c r="C17" s="11">
        <f>'FY24'!F17</f>
        <v>0</v>
      </c>
      <c r="D17" s="11">
        <f>'FY25'!F17</f>
        <v>0</v>
      </c>
      <c r="E17" s="11">
        <f>'FY26'!F17</f>
        <v>0</v>
      </c>
      <c r="F17" s="94">
        <f>'FY27'!F17</f>
        <v>0</v>
      </c>
      <c r="G17" s="94">
        <f>'FY28'!F17</f>
        <v>0</v>
      </c>
      <c r="I17" s="155"/>
      <c r="J17" s="155"/>
      <c r="K17" s="155"/>
      <c r="L17" s="155"/>
      <c r="M17" s="155"/>
      <c r="N17" s="155"/>
    </row>
    <row r="18" spans="1:14" x14ac:dyDescent="0.25">
      <c r="A18" s="13" t="s">
        <v>21</v>
      </c>
      <c r="B18" s="11">
        <f>'FY23'!F18</f>
        <v>0</v>
      </c>
      <c r="C18" s="11">
        <f>'FY24'!F18</f>
        <v>0</v>
      </c>
      <c r="D18" s="11">
        <f>'FY25'!F18</f>
        <v>0</v>
      </c>
      <c r="E18" s="11">
        <f>'FY26'!F18</f>
        <v>0</v>
      </c>
      <c r="F18" s="94">
        <f>'FY27'!F18</f>
        <v>0</v>
      </c>
      <c r="G18" s="94">
        <f>'FY28'!F18</f>
        <v>0</v>
      </c>
      <c r="I18" s="155"/>
      <c r="J18" s="155"/>
      <c r="K18" s="155"/>
      <c r="L18" s="155"/>
      <c r="M18" s="155"/>
      <c r="N18" s="155"/>
    </row>
    <row r="19" spans="1:14" x14ac:dyDescent="0.25">
      <c r="A19" s="13" t="s">
        <v>8</v>
      </c>
      <c r="B19" s="9">
        <f>SUM(B6:B18)</f>
        <v>899</v>
      </c>
      <c r="C19" s="9">
        <f t="shared" ref="C19:G19" si="2">SUM(C6:C18)</f>
        <v>936</v>
      </c>
      <c r="D19" s="9">
        <f t="shared" si="2"/>
        <v>936</v>
      </c>
      <c r="E19" s="9">
        <f t="shared" si="2"/>
        <v>936</v>
      </c>
      <c r="F19" s="9">
        <f t="shared" si="2"/>
        <v>936</v>
      </c>
      <c r="G19" s="9">
        <f t="shared" si="2"/>
        <v>936</v>
      </c>
      <c r="I19" s="155">
        <f>SUM(I6:I18)</f>
        <v>35</v>
      </c>
      <c r="J19" s="155">
        <f>SUM(J6:J18)</f>
        <v>36</v>
      </c>
      <c r="K19" s="155">
        <f>SUM(K6:K18)</f>
        <v>36</v>
      </c>
      <c r="L19" s="155">
        <f t="shared" ref="L19:N19" si="3">SUM(L6:L18)</f>
        <v>36</v>
      </c>
      <c r="M19" s="155">
        <f t="shared" si="3"/>
        <v>36</v>
      </c>
      <c r="N19" s="155">
        <f t="shared" si="3"/>
        <v>36</v>
      </c>
    </row>
    <row r="20" spans="1:14" x14ac:dyDescent="0.25">
      <c r="A20" s="16"/>
      <c r="B20" s="7"/>
      <c r="C20" s="7"/>
      <c r="D20" s="7"/>
      <c r="E20" s="7"/>
      <c r="F20" s="7"/>
      <c r="G20" s="7"/>
    </row>
    <row r="21" spans="1:14" x14ac:dyDescent="0.25">
      <c r="A21" s="17" t="s">
        <v>22</v>
      </c>
      <c r="B21" s="18"/>
      <c r="C21" s="18"/>
      <c r="D21" s="18"/>
      <c r="E21" s="18"/>
      <c r="F21" s="18"/>
      <c r="G21" s="18"/>
    </row>
    <row r="22" spans="1:14" x14ac:dyDescent="0.25">
      <c r="A22" s="140" t="s">
        <v>23</v>
      </c>
      <c r="B22" s="7">
        <f>'FY23'!F22</f>
        <v>97</v>
      </c>
      <c r="C22" s="7">
        <f>'FY24'!F22</f>
        <v>100.99221357063404</v>
      </c>
      <c r="D22" s="7">
        <f>'FY25'!F22</f>
        <v>100.99221357063404</v>
      </c>
      <c r="E22" s="7">
        <f>'FY26'!F22</f>
        <v>100.99221357063404</v>
      </c>
      <c r="F22" s="7">
        <f>'FY27'!F22</f>
        <v>100.99221357063404</v>
      </c>
      <c r="G22" s="7">
        <f>'FY28'!F22</f>
        <v>100.99221357063404</v>
      </c>
      <c r="J22" s="278">
        <f>C22/C19</f>
        <v>0.10789766407119021</v>
      </c>
    </row>
    <row r="23" spans="1:14" x14ac:dyDescent="0.25">
      <c r="A23" s="140" t="s">
        <v>24</v>
      </c>
      <c r="B23" s="7">
        <f>'FY23'!F23</f>
        <v>15</v>
      </c>
      <c r="C23" s="7">
        <f>'FY24'!F23</f>
        <v>15.617352614015573</v>
      </c>
      <c r="D23" s="7">
        <f>'FY25'!F23</f>
        <v>15.617352614015573</v>
      </c>
      <c r="E23" s="7">
        <f>'FY26'!F23</f>
        <v>15.617352614015573</v>
      </c>
      <c r="F23" s="7">
        <f>'FY27'!F23</f>
        <v>15.617352614015573</v>
      </c>
      <c r="G23" s="7">
        <f>'FY28'!F23</f>
        <v>15.617352614015573</v>
      </c>
      <c r="J23" s="278">
        <f>C23/C19</f>
        <v>1.6685205784204672E-2</v>
      </c>
    </row>
    <row r="24" spans="1:14" x14ac:dyDescent="0.25">
      <c r="A24" s="140" t="s">
        <v>25</v>
      </c>
      <c r="B24" s="7">
        <f>'FY23'!F24</f>
        <v>44</v>
      </c>
      <c r="C24" s="7">
        <f>'FY24'!F24</f>
        <v>45.810901001112349</v>
      </c>
      <c r="D24" s="7">
        <f>'FY25'!F24</f>
        <v>45.810901001112349</v>
      </c>
      <c r="E24" s="7">
        <f>'FY26'!F24</f>
        <v>45.810901001112349</v>
      </c>
      <c r="F24" s="7">
        <f>'FY27'!F24</f>
        <v>45.810901001112349</v>
      </c>
      <c r="G24" s="7">
        <f>'FY28'!F24</f>
        <v>45.810901001112349</v>
      </c>
    </row>
    <row r="25" spans="1:14" x14ac:dyDescent="0.25">
      <c r="A25" s="140" t="s">
        <v>26</v>
      </c>
      <c r="B25" s="19">
        <f>'FY23'!F25</f>
        <v>0.32379999999999998</v>
      </c>
      <c r="C25" s="19">
        <f>'FY24'!F25</f>
        <v>0.38</v>
      </c>
      <c r="D25" s="19">
        <f>'FY25'!F25</f>
        <v>0.38</v>
      </c>
      <c r="E25" s="19">
        <f>'FY26'!F25</f>
        <v>0.38</v>
      </c>
      <c r="F25" s="19">
        <f>'FY27'!F25</f>
        <v>0.38</v>
      </c>
      <c r="G25" s="19">
        <f>'FY28'!F25</f>
        <v>0.38</v>
      </c>
    </row>
    <row r="26" spans="1:14" x14ac:dyDescent="0.25">
      <c r="A26" s="140" t="s">
        <v>27</v>
      </c>
      <c r="B26" s="7">
        <f>'FY23'!F26</f>
        <v>232</v>
      </c>
      <c r="C26" s="7">
        <f>'FY24'!F26</f>
        <v>241.54838709677418</v>
      </c>
      <c r="D26" s="7">
        <f>'FY25'!F26</f>
        <v>241.54838709677418</v>
      </c>
      <c r="E26" s="7">
        <f>'FY26'!F26</f>
        <v>241.54838709677418</v>
      </c>
      <c r="F26" s="7">
        <f>'FY27'!F26</f>
        <v>241.54838709677418</v>
      </c>
      <c r="G26" s="7">
        <f>'FY28'!F26</f>
        <v>241.54838709677418</v>
      </c>
    </row>
    <row r="27" spans="1:14" x14ac:dyDescent="0.25">
      <c r="A27" s="20"/>
      <c r="B27" s="7"/>
      <c r="C27" s="7"/>
      <c r="D27" s="7"/>
      <c r="E27" s="7"/>
      <c r="F27" s="7">
        <f t="shared" ref="F27:G27" si="4">SUM(B27:E27)</f>
        <v>0</v>
      </c>
      <c r="G27" s="7">
        <f t="shared" si="4"/>
        <v>0</v>
      </c>
    </row>
    <row r="28" spans="1:14" x14ac:dyDescent="0.25">
      <c r="A28" s="17" t="s">
        <v>28</v>
      </c>
      <c r="B28" s="18"/>
      <c r="C28" s="18"/>
      <c r="D28" s="18"/>
      <c r="E28" s="18"/>
      <c r="F28" s="18"/>
      <c r="G28" s="18"/>
    </row>
    <row r="29" spans="1:14" x14ac:dyDescent="0.25">
      <c r="A29" s="21" t="s">
        <v>29</v>
      </c>
      <c r="B29" s="23">
        <f>'FY23'!F29</f>
        <v>35</v>
      </c>
      <c r="C29" s="23">
        <f>'FY24'!F29</f>
        <v>36</v>
      </c>
      <c r="D29" s="23">
        <f>'FY25'!F29</f>
        <v>36</v>
      </c>
      <c r="E29" s="23">
        <f>'FY26'!F29</f>
        <v>36</v>
      </c>
      <c r="F29" s="23">
        <f>'FY27'!F29</f>
        <v>36</v>
      </c>
      <c r="G29" s="23">
        <f>'FY28'!F29</f>
        <v>36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25">
      <c r="A30" s="21" t="s">
        <v>30</v>
      </c>
      <c r="B30" s="23">
        <f>'FY23'!F30</f>
        <v>4</v>
      </c>
      <c r="C30" s="23">
        <f>'FY24'!F30</f>
        <v>4</v>
      </c>
      <c r="D30" s="23">
        <f>'FY25'!F30</f>
        <v>4</v>
      </c>
      <c r="E30" s="23">
        <f>'FY26'!F30</f>
        <v>4</v>
      </c>
      <c r="F30" s="23">
        <f>'FY27'!F30</f>
        <v>4</v>
      </c>
      <c r="G30" s="23">
        <f>'FY28'!F30</f>
        <v>4</v>
      </c>
    </row>
    <row r="31" spans="1:14" x14ac:dyDescent="0.25">
      <c r="A31" s="21" t="s">
        <v>31</v>
      </c>
      <c r="B31" s="23">
        <f>'FY23'!F31</f>
        <v>1</v>
      </c>
      <c r="C31" s="23">
        <f>'FY24'!F31</f>
        <v>1</v>
      </c>
      <c r="D31" s="23">
        <f>'FY25'!F31</f>
        <v>1</v>
      </c>
      <c r="E31" s="23">
        <f>'FY26'!F31</f>
        <v>1</v>
      </c>
      <c r="F31" s="23">
        <f>'FY27'!F31</f>
        <v>1</v>
      </c>
      <c r="G31" s="23">
        <f>'FY28'!F31</f>
        <v>1</v>
      </c>
    </row>
    <row r="32" spans="1:14" x14ac:dyDescent="0.25">
      <c r="A32" s="21" t="s">
        <v>32</v>
      </c>
      <c r="B32" s="23">
        <f>'FY23'!F32</f>
        <v>1</v>
      </c>
      <c r="C32" s="23">
        <f>'FY24'!F32</f>
        <v>1</v>
      </c>
      <c r="D32" s="23">
        <f>'FY25'!F32</f>
        <v>1</v>
      </c>
      <c r="E32" s="23">
        <f>'FY26'!F32</f>
        <v>1</v>
      </c>
      <c r="F32" s="23">
        <f>'FY27'!F32</f>
        <v>1</v>
      </c>
      <c r="G32" s="23">
        <f>'FY28'!F32</f>
        <v>1</v>
      </c>
    </row>
    <row r="33" spans="1:7" x14ac:dyDescent="0.25">
      <c r="A33" s="21" t="s">
        <v>33</v>
      </c>
      <c r="B33" s="23">
        <f>'FY23'!F33</f>
        <v>1</v>
      </c>
      <c r="C33" s="23">
        <f>'FY24'!F33</f>
        <v>1</v>
      </c>
      <c r="D33" s="23">
        <f>'FY25'!F33</f>
        <v>1</v>
      </c>
      <c r="E33" s="23">
        <f>'FY26'!F33</f>
        <v>1</v>
      </c>
      <c r="F33" s="23">
        <f>'FY27'!F33</f>
        <v>1</v>
      </c>
      <c r="G33" s="23">
        <f>'FY28'!F33</f>
        <v>1</v>
      </c>
    </row>
    <row r="34" spans="1:7" x14ac:dyDescent="0.25">
      <c r="A34" s="24" t="s">
        <v>34</v>
      </c>
      <c r="B34" s="23">
        <f>'FY23'!F34</f>
        <v>0</v>
      </c>
      <c r="C34" s="23">
        <f>'FY24'!F34</f>
        <v>0</v>
      </c>
      <c r="D34" s="23">
        <f>'FY25'!F34</f>
        <v>0</v>
      </c>
      <c r="E34" s="23">
        <f>'FY26'!F34</f>
        <v>0</v>
      </c>
      <c r="F34" s="23">
        <f>'FY27'!F34</f>
        <v>0</v>
      </c>
      <c r="G34" s="23">
        <f>'FY28'!F34</f>
        <v>0</v>
      </c>
    </row>
    <row r="35" spans="1:7" x14ac:dyDescent="0.25">
      <c r="A35" s="27" t="s">
        <v>35</v>
      </c>
      <c r="B35" s="23">
        <f>'FY23'!F35</f>
        <v>1</v>
      </c>
      <c r="C35" s="23">
        <f>'FY24'!F35</f>
        <v>1</v>
      </c>
      <c r="D35" s="23">
        <f>'FY25'!F35</f>
        <v>1</v>
      </c>
      <c r="E35" s="23">
        <f>'FY26'!F35</f>
        <v>1</v>
      </c>
      <c r="F35" s="23">
        <f>'FY27'!F35</f>
        <v>1</v>
      </c>
      <c r="G35" s="23">
        <f>'FY28'!F35</f>
        <v>1</v>
      </c>
    </row>
    <row r="36" spans="1:7" x14ac:dyDescent="0.25">
      <c r="A36" s="28" t="s">
        <v>36</v>
      </c>
      <c r="B36" s="23">
        <f>'FY23'!F36</f>
        <v>0</v>
      </c>
      <c r="C36" s="23">
        <f>'FY24'!F36</f>
        <v>0</v>
      </c>
      <c r="D36" s="23">
        <f>'FY25'!F36</f>
        <v>0</v>
      </c>
      <c r="E36" s="23">
        <f>'FY26'!F36</f>
        <v>0</v>
      </c>
      <c r="F36" s="23">
        <f>'FY27'!F36</f>
        <v>0</v>
      </c>
      <c r="G36" s="23">
        <f>'FY28'!F36</f>
        <v>0</v>
      </c>
    </row>
    <row r="37" spans="1:7" x14ac:dyDescent="0.25">
      <c r="A37" s="27" t="s">
        <v>37</v>
      </c>
      <c r="B37" s="23">
        <f>'FY23'!F37</f>
        <v>1</v>
      </c>
      <c r="C37" s="23">
        <f>'FY24'!F37</f>
        <v>1</v>
      </c>
      <c r="D37" s="23">
        <f>'FY25'!F37</f>
        <v>1</v>
      </c>
      <c r="E37" s="23">
        <f>'FY26'!F37</f>
        <v>1</v>
      </c>
      <c r="F37" s="23">
        <f>'FY27'!F37</f>
        <v>1</v>
      </c>
      <c r="G37" s="23">
        <f>'FY28'!F37</f>
        <v>1</v>
      </c>
    </row>
    <row r="38" spans="1:7" x14ac:dyDescent="0.25">
      <c r="A38" s="27" t="s">
        <v>38</v>
      </c>
      <c r="B38" s="23">
        <f>'FY23'!F38</f>
        <v>0.5</v>
      </c>
      <c r="C38" s="23">
        <f>'FY24'!F38</f>
        <v>0.5</v>
      </c>
      <c r="D38" s="23">
        <f>'FY25'!F38</f>
        <v>0.5</v>
      </c>
      <c r="E38" s="23">
        <f>'FY26'!F38</f>
        <v>0.5</v>
      </c>
      <c r="F38" s="23">
        <f>'FY27'!F38</f>
        <v>0.5</v>
      </c>
      <c r="G38" s="23">
        <f>'FY28'!F38</f>
        <v>0.5</v>
      </c>
    </row>
    <row r="39" spans="1:7" x14ac:dyDescent="0.25">
      <c r="A39" s="29" t="s">
        <v>39</v>
      </c>
      <c r="B39" s="30">
        <f>SUM(B29:B38)</f>
        <v>44.5</v>
      </c>
      <c r="C39" s="30">
        <f t="shared" ref="C39:G39" si="6">SUM(C29:C38)</f>
        <v>45.5</v>
      </c>
      <c r="D39" s="30">
        <f t="shared" si="6"/>
        <v>45.5</v>
      </c>
      <c r="E39" s="30">
        <f t="shared" si="6"/>
        <v>45.5</v>
      </c>
      <c r="F39" s="30">
        <f t="shared" si="6"/>
        <v>45.5</v>
      </c>
      <c r="G39" s="30">
        <f t="shared" si="6"/>
        <v>45.5</v>
      </c>
    </row>
    <row r="40" spans="1:7" x14ac:dyDescent="0.25">
      <c r="A40" s="31"/>
      <c r="B40" s="23"/>
      <c r="C40" s="23"/>
      <c r="D40" s="23"/>
      <c r="E40" s="23"/>
      <c r="F40" s="23"/>
      <c r="G40" s="23"/>
    </row>
    <row r="41" spans="1:7" x14ac:dyDescent="0.25">
      <c r="A41" s="17" t="s">
        <v>40</v>
      </c>
      <c r="B41" s="32" t="str">
        <f>B1</f>
        <v xml:space="preserve"> FY 23</v>
      </c>
      <c r="C41" s="32" t="str">
        <f t="shared" ref="C41:G41" si="7">C1</f>
        <v xml:space="preserve"> FY 24</v>
      </c>
      <c r="D41" s="32" t="str">
        <f t="shared" si="7"/>
        <v xml:space="preserve"> FY 25</v>
      </c>
      <c r="E41" s="32" t="str">
        <f t="shared" si="7"/>
        <v xml:space="preserve"> FY 26</v>
      </c>
      <c r="F41" s="32" t="str">
        <f t="shared" si="7"/>
        <v xml:space="preserve"> FY 27</v>
      </c>
      <c r="G41" s="32" t="str">
        <f t="shared" si="7"/>
        <v xml:space="preserve"> FY 28</v>
      </c>
    </row>
    <row r="42" spans="1:7" x14ac:dyDescent="0.25">
      <c r="A42" s="21" t="s">
        <v>41</v>
      </c>
      <c r="B42" s="23">
        <f>'FY23'!F42</f>
        <v>1</v>
      </c>
      <c r="C42" s="23">
        <f>'FY24'!F42</f>
        <v>1</v>
      </c>
      <c r="D42" s="23">
        <f>'FY25'!F42</f>
        <v>1</v>
      </c>
      <c r="E42" s="23">
        <f>'FY26'!F42</f>
        <v>1</v>
      </c>
      <c r="F42" s="23">
        <f>'FY27'!F42</f>
        <v>1</v>
      </c>
      <c r="G42" s="23">
        <f>'FY28'!F42</f>
        <v>1</v>
      </c>
    </row>
    <row r="43" spans="1:7" x14ac:dyDescent="0.25">
      <c r="A43" s="21" t="s">
        <v>42</v>
      </c>
      <c r="B43" s="23">
        <f>'FY23'!F43</f>
        <v>3</v>
      </c>
      <c r="C43" s="23">
        <f>'FY24'!F43</f>
        <v>3</v>
      </c>
      <c r="D43" s="23">
        <f>'FY25'!F43</f>
        <v>3</v>
      </c>
      <c r="E43" s="23">
        <f>'FY26'!F43</f>
        <v>3</v>
      </c>
      <c r="F43" s="23">
        <f>'FY27'!F43</f>
        <v>3</v>
      </c>
      <c r="G43" s="23">
        <f>'FY28'!F43</f>
        <v>3</v>
      </c>
    </row>
    <row r="44" spans="1:7" x14ac:dyDescent="0.25">
      <c r="A44" s="34" t="s">
        <v>43</v>
      </c>
      <c r="B44" s="23">
        <f>'FY23'!F44</f>
        <v>0</v>
      </c>
      <c r="C44" s="23">
        <f>'FY24'!F44</f>
        <v>0</v>
      </c>
      <c r="D44" s="23">
        <f>'FY25'!F44</f>
        <v>0</v>
      </c>
      <c r="E44" s="23">
        <f>'FY26'!F44</f>
        <v>0</v>
      </c>
      <c r="F44" s="23">
        <f>'FY27'!F44</f>
        <v>0</v>
      </c>
      <c r="G44" s="23">
        <f>'FY28'!F44</f>
        <v>0</v>
      </c>
    </row>
    <row r="45" spans="1:7" x14ac:dyDescent="0.25">
      <c r="A45" s="33" t="s">
        <v>44</v>
      </c>
      <c r="B45" s="23">
        <f>'FY23'!F45</f>
        <v>1</v>
      </c>
      <c r="C45" s="23">
        <f>'FY24'!F45</f>
        <v>1</v>
      </c>
      <c r="D45" s="23">
        <f>'FY25'!F45</f>
        <v>1</v>
      </c>
      <c r="E45" s="23">
        <f>'FY26'!F45</f>
        <v>1</v>
      </c>
      <c r="F45" s="23">
        <f>'FY27'!F45</f>
        <v>1</v>
      </c>
      <c r="G45" s="23">
        <f>'FY28'!F45</f>
        <v>1</v>
      </c>
    </row>
    <row r="46" spans="1:7" x14ac:dyDescent="0.25">
      <c r="A46" s="33" t="s">
        <v>45</v>
      </c>
      <c r="B46" s="23">
        <f>'FY23'!F46</f>
        <v>0</v>
      </c>
      <c r="C46" s="23">
        <f>'FY24'!F46</f>
        <v>0</v>
      </c>
      <c r="D46" s="23">
        <f>'FY25'!F46</f>
        <v>0</v>
      </c>
      <c r="E46" s="23">
        <f>'FY26'!F46</f>
        <v>0</v>
      </c>
      <c r="F46" s="23">
        <f>'FY27'!F46</f>
        <v>0</v>
      </c>
      <c r="G46" s="23">
        <f>'FY28'!F46</f>
        <v>0</v>
      </c>
    </row>
    <row r="47" spans="1:7" x14ac:dyDescent="0.25">
      <c r="A47" s="21" t="s">
        <v>200</v>
      </c>
      <c r="B47" s="23">
        <f>'FY23'!F47</f>
        <v>1</v>
      </c>
      <c r="C47" s="23">
        <f>'FY24'!F47</f>
        <v>1</v>
      </c>
      <c r="D47" s="23">
        <f>'FY25'!F47</f>
        <v>1</v>
      </c>
      <c r="E47" s="23">
        <f>'FY26'!F47</f>
        <v>1</v>
      </c>
      <c r="F47" s="23">
        <f>'FY27'!F47</f>
        <v>1</v>
      </c>
      <c r="G47" s="23">
        <f>'FY28'!F47</f>
        <v>1</v>
      </c>
    </row>
    <row r="48" spans="1:7" x14ac:dyDescent="0.25">
      <c r="A48" s="21" t="s">
        <v>47</v>
      </c>
      <c r="B48" s="23">
        <f>'FY23'!F48</f>
        <v>1</v>
      </c>
      <c r="C48" s="23">
        <f>'FY24'!F48</f>
        <v>1</v>
      </c>
      <c r="D48" s="23">
        <f>'FY25'!F48</f>
        <v>1</v>
      </c>
      <c r="E48" s="23">
        <f>'FY26'!F48</f>
        <v>1</v>
      </c>
      <c r="F48" s="23">
        <f>'FY27'!F48</f>
        <v>1</v>
      </c>
      <c r="G48" s="23">
        <f>'FY28'!F48</f>
        <v>1</v>
      </c>
    </row>
    <row r="49" spans="1:7" x14ac:dyDescent="0.25">
      <c r="A49" s="21" t="s">
        <v>48</v>
      </c>
      <c r="B49" s="23">
        <f>'FY23'!F49</f>
        <v>1</v>
      </c>
      <c r="C49" s="23">
        <f>'FY24'!F49</f>
        <v>1</v>
      </c>
      <c r="D49" s="23">
        <f>'FY25'!F49</f>
        <v>1</v>
      </c>
      <c r="E49" s="23">
        <f>'FY26'!F49</f>
        <v>1</v>
      </c>
      <c r="F49" s="23">
        <f>'FY27'!F49</f>
        <v>1</v>
      </c>
      <c r="G49" s="23">
        <f>'FY28'!F49</f>
        <v>1</v>
      </c>
    </row>
    <row r="50" spans="1:7" x14ac:dyDescent="0.25">
      <c r="A50" s="21" t="s">
        <v>49</v>
      </c>
      <c r="B50" s="23">
        <f>'FY23'!F50</f>
        <v>1</v>
      </c>
      <c r="C50" s="23">
        <f>'FY24'!F50</f>
        <v>1</v>
      </c>
      <c r="D50" s="23">
        <f>'FY25'!F50</f>
        <v>1</v>
      </c>
      <c r="E50" s="23">
        <f>'FY26'!F50</f>
        <v>1</v>
      </c>
      <c r="F50" s="23">
        <f>'FY27'!F50</f>
        <v>1</v>
      </c>
      <c r="G50" s="23">
        <f>'FY28'!F50</f>
        <v>1</v>
      </c>
    </row>
    <row r="51" spans="1:7" x14ac:dyDescent="0.25">
      <c r="A51" s="21" t="s">
        <v>50</v>
      </c>
      <c r="B51" s="23">
        <f>'FY23'!F51</f>
        <v>5.5</v>
      </c>
      <c r="C51" s="23">
        <f>'FY24'!F51</f>
        <v>5.5</v>
      </c>
      <c r="D51" s="23">
        <f>'FY25'!F51</f>
        <v>5.5</v>
      </c>
      <c r="E51" s="23">
        <f>'FY26'!F51</f>
        <v>5.5</v>
      </c>
      <c r="F51" s="23">
        <f>'FY27'!F51</f>
        <v>5.5</v>
      </c>
      <c r="G51" s="23">
        <f>'FY28'!F51</f>
        <v>5.5</v>
      </c>
    </row>
    <row r="52" spans="1:7" x14ac:dyDescent="0.25">
      <c r="A52" s="21" t="s">
        <v>51</v>
      </c>
      <c r="B52" s="23">
        <f>'FY23'!F52</f>
        <v>1</v>
      </c>
      <c r="C52" s="23">
        <f>'FY24'!F52</f>
        <v>1</v>
      </c>
      <c r="D52" s="23">
        <f>'FY25'!F52</f>
        <v>1</v>
      </c>
      <c r="E52" s="23">
        <f>'FY26'!F52</f>
        <v>1</v>
      </c>
      <c r="F52" s="23">
        <f>'FY27'!F52</f>
        <v>1</v>
      </c>
      <c r="G52" s="23">
        <f>'FY28'!F52</f>
        <v>1</v>
      </c>
    </row>
    <row r="53" spans="1:7" x14ac:dyDescent="0.25">
      <c r="A53" s="21" t="s">
        <v>52</v>
      </c>
      <c r="B53" s="23">
        <f>'FY23'!F53</f>
        <v>1</v>
      </c>
      <c r="C53" s="23">
        <f>'FY24'!F53</f>
        <v>1</v>
      </c>
      <c r="D53" s="23">
        <f>'FY25'!F53</f>
        <v>1</v>
      </c>
      <c r="E53" s="23">
        <f>'FY26'!F53</f>
        <v>1</v>
      </c>
      <c r="F53" s="23">
        <f>'FY27'!F53</f>
        <v>1</v>
      </c>
      <c r="G53" s="23">
        <f>'FY28'!F53</f>
        <v>1</v>
      </c>
    </row>
    <row r="54" spans="1:7" x14ac:dyDescent="0.25">
      <c r="A54" s="21" t="s">
        <v>244</v>
      </c>
      <c r="B54" s="23">
        <f>'FY23'!F54</f>
        <v>0</v>
      </c>
      <c r="C54" s="23">
        <f>'FY24'!F54</f>
        <v>0</v>
      </c>
      <c r="D54" s="23">
        <f>'FY25'!F54</f>
        <v>0</v>
      </c>
      <c r="E54" s="23">
        <f>'FY26'!F54</f>
        <v>0</v>
      </c>
      <c r="F54" s="23">
        <f>'FY27'!F54</f>
        <v>0</v>
      </c>
      <c r="G54" s="23">
        <f>'FY28'!F54</f>
        <v>0</v>
      </c>
    </row>
    <row r="55" spans="1:7" x14ac:dyDescent="0.25">
      <c r="A55" s="34" t="s">
        <v>54</v>
      </c>
      <c r="B55" s="23">
        <f>'FY23'!F55</f>
        <v>1</v>
      </c>
      <c r="C55" s="23">
        <f>'FY24'!F55</f>
        <v>1</v>
      </c>
      <c r="D55" s="23">
        <f>'FY25'!F55</f>
        <v>1</v>
      </c>
      <c r="E55" s="23">
        <f>'FY26'!F55</f>
        <v>1</v>
      </c>
      <c r="F55" s="23">
        <f>'FY27'!F55</f>
        <v>1</v>
      </c>
      <c r="G55" s="23">
        <f>'FY28'!F55</f>
        <v>1</v>
      </c>
    </row>
    <row r="56" spans="1:7" x14ac:dyDescent="0.25">
      <c r="A56" s="34" t="s">
        <v>55</v>
      </c>
      <c r="B56" s="23">
        <f>'FY23'!F56</f>
        <v>0</v>
      </c>
      <c r="C56" s="23">
        <f>'FY24'!F56</f>
        <v>0</v>
      </c>
      <c r="D56" s="23">
        <f>'FY25'!F56</f>
        <v>0</v>
      </c>
      <c r="E56" s="23">
        <f>'FY26'!F56</f>
        <v>0</v>
      </c>
      <c r="F56" s="23">
        <f>'FY27'!F56</f>
        <v>0</v>
      </c>
      <c r="G56" s="23">
        <f>'FY28'!F56</f>
        <v>0</v>
      </c>
    </row>
    <row r="57" spans="1:7" x14ac:dyDescent="0.25">
      <c r="A57" s="34" t="s">
        <v>56</v>
      </c>
      <c r="B57" s="23">
        <f>'FY23'!F57</f>
        <v>0</v>
      </c>
      <c r="C57" s="23">
        <f>'FY24'!F57</f>
        <v>0</v>
      </c>
      <c r="D57" s="23">
        <f>'FY25'!F57</f>
        <v>0</v>
      </c>
      <c r="E57" s="23">
        <f>'FY26'!F57</f>
        <v>0</v>
      </c>
      <c r="F57" s="23">
        <f>'FY27'!F57</f>
        <v>0</v>
      </c>
      <c r="G57" s="23">
        <f>'FY28'!F57</f>
        <v>0</v>
      </c>
    </row>
    <row r="58" spans="1:7" x14ac:dyDescent="0.25">
      <c r="A58" s="34" t="s">
        <v>57</v>
      </c>
      <c r="B58" s="23">
        <f>'FY23'!F58</f>
        <v>0</v>
      </c>
      <c r="C58" s="23">
        <f>'FY24'!F58</f>
        <v>0</v>
      </c>
      <c r="D58" s="23">
        <f>'FY25'!F58</f>
        <v>0</v>
      </c>
      <c r="E58" s="23">
        <f>'FY26'!F58</f>
        <v>0</v>
      </c>
      <c r="F58" s="23">
        <f>'FY27'!F58</f>
        <v>0</v>
      </c>
      <c r="G58" s="23">
        <f>'FY28'!F58</f>
        <v>0</v>
      </c>
    </row>
    <row r="59" spans="1:7" x14ac:dyDescent="0.25">
      <c r="A59" s="34" t="s">
        <v>58</v>
      </c>
      <c r="B59" s="23">
        <f>'FY23'!F59</f>
        <v>0</v>
      </c>
      <c r="C59" s="23">
        <f>'FY24'!F59</f>
        <v>0</v>
      </c>
      <c r="D59" s="23">
        <f>'FY25'!F59</f>
        <v>0</v>
      </c>
      <c r="E59" s="23">
        <f>'FY26'!F59</f>
        <v>0</v>
      </c>
      <c r="F59" s="23">
        <f>'FY27'!F59</f>
        <v>0</v>
      </c>
      <c r="G59" s="23">
        <f>'FY28'!F59</f>
        <v>0</v>
      </c>
    </row>
    <row r="60" spans="1:7" x14ac:dyDescent="0.25">
      <c r="A60" s="34" t="s">
        <v>59</v>
      </c>
      <c r="B60" s="23">
        <f>'FY23'!F60</f>
        <v>0.5</v>
      </c>
      <c r="C60" s="23">
        <f>'FY24'!F60</f>
        <v>0.5</v>
      </c>
      <c r="D60" s="23">
        <f>'FY25'!F60</f>
        <v>0.5</v>
      </c>
      <c r="E60" s="23">
        <f>'FY26'!F60</f>
        <v>0.5</v>
      </c>
      <c r="F60" s="23">
        <f>'FY27'!F60</f>
        <v>0.5</v>
      </c>
      <c r="G60" s="23">
        <f>'FY28'!F60</f>
        <v>0.5</v>
      </c>
    </row>
    <row r="61" spans="1:7" x14ac:dyDescent="0.25">
      <c r="A61" s="35" t="s">
        <v>245</v>
      </c>
      <c r="B61" s="23">
        <f>'FY23'!F61</f>
        <v>0</v>
      </c>
      <c r="C61" s="23">
        <f>'FY24'!F61</f>
        <v>0</v>
      </c>
      <c r="D61" s="23">
        <f>'FY25'!F61</f>
        <v>0</v>
      </c>
      <c r="E61" s="23">
        <f>'FY26'!F61</f>
        <v>0</v>
      </c>
      <c r="F61" s="23">
        <f>'FY27'!F61</f>
        <v>0</v>
      </c>
      <c r="G61" s="23">
        <f>'FY28'!F61</f>
        <v>0</v>
      </c>
    </row>
    <row r="62" spans="1:7" x14ac:dyDescent="0.25">
      <c r="A62" s="29" t="s">
        <v>60</v>
      </c>
      <c r="B62" s="30">
        <f>SUM(B42:B61)</f>
        <v>18</v>
      </c>
      <c r="C62" s="30">
        <f t="shared" ref="C62:G62" si="8">SUM(C42:C61)</f>
        <v>18</v>
      </c>
      <c r="D62" s="30">
        <f t="shared" si="8"/>
        <v>18</v>
      </c>
      <c r="E62" s="30">
        <f t="shared" si="8"/>
        <v>18</v>
      </c>
      <c r="F62" s="30">
        <f t="shared" si="8"/>
        <v>18</v>
      </c>
      <c r="G62" s="30">
        <f t="shared" si="8"/>
        <v>18</v>
      </c>
    </row>
    <row r="63" spans="1:7" ht="15.75" thickBot="1" x14ac:dyDescent="0.3">
      <c r="A63" s="36"/>
      <c r="B63" s="38"/>
      <c r="C63" s="38"/>
      <c r="D63" s="38"/>
      <c r="E63" s="38"/>
      <c r="F63" s="38"/>
      <c r="G63" s="38"/>
    </row>
    <row r="64" spans="1:7" x14ac:dyDescent="0.25">
      <c r="A64" s="40" t="s">
        <v>61</v>
      </c>
      <c r="B64" s="39">
        <f>B39</f>
        <v>44.5</v>
      </c>
      <c r="C64" s="39">
        <f>C39</f>
        <v>45.5</v>
      </c>
      <c r="D64" s="39">
        <f>D39</f>
        <v>45.5</v>
      </c>
      <c r="E64" s="39">
        <f t="shared" ref="E64" si="9">E39</f>
        <v>45.5</v>
      </c>
      <c r="F64" s="39">
        <f>F39</f>
        <v>45.5</v>
      </c>
      <c r="G64" s="39">
        <f>G39</f>
        <v>45.5</v>
      </c>
    </row>
    <row r="65" spans="1:7" ht="15.75" thickBot="1" x14ac:dyDescent="0.3">
      <c r="A65" s="42" t="s">
        <v>62</v>
      </c>
      <c r="B65" s="41">
        <f>B62</f>
        <v>18</v>
      </c>
      <c r="C65" s="41">
        <f>C62</f>
        <v>18</v>
      </c>
      <c r="D65" s="41">
        <f>D62</f>
        <v>18</v>
      </c>
      <c r="E65" s="41">
        <f t="shared" ref="E65:G65" si="10">E62</f>
        <v>18</v>
      </c>
      <c r="F65" s="41">
        <f t="shared" si="10"/>
        <v>18</v>
      </c>
      <c r="G65" s="41">
        <f t="shared" si="10"/>
        <v>18</v>
      </c>
    </row>
    <row r="66" spans="1:7" ht="15.75" thickBot="1" x14ac:dyDescent="0.3">
      <c r="A66" s="44" t="s">
        <v>63</v>
      </c>
      <c r="B66" s="43">
        <f>SUM(B64:B65)</f>
        <v>62.5</v>
      </c>
      <c r="C66" s="43">
        <f>SUM(C64:C65)</f>
        <v>63.5</v>
      </c>
      <c r="D66" s="43">
        <f>SUM(D64:D65)</f>
        <v>63.5</v>
      </c>
      <c r="E66" s="43">
        <f t="shared" ref="E66:G66" si="11">SUM(E64:E65)</f>
        <v>63.5</v>
      </c>
      <c r="F66" s="43">
        <f t="shared" si="11"/>
        <v>63.5</v>
      </c>
      <c r="G66" s="43">
        <f t="shared" si="11"/>
        <v>63.5</v>
      </c>
    </row>
    <row r="67" spans="1:7" ht="15.75" thickBot="1" x14ac:dyDescent="0.3">
      <c r="A67" s="34"/>
      <c r="B67" s="45"/>
      <c r="C67" s="45"/>
      <c r="D67" s="45"/>
      <c r="E67" s="45"/>
      <c r="F67" s="45"/>
      <c r="G67" s="45"/>
    </row>
    <row r="68" spans="1:7" x14ac:dyDescent="0.25">
      <c r="A68" s="47" t="s">
        <v>64</v>
      </c>
      <c r="B68" s="46">
        <f t="shared" ref="B68" si="12">B139/(SUM(B207:B217))</f>
        <v>0.63522966621145527</v>
      </c>
      <c r="C68" s="46">
        <f t="shared" ref="C68:E68" si="13">C139/(SUM(C207:C217))</f>
        <v>0.63090080898043677</v>
      </c>
      <c r="D68" s="46">
        <f t="shared" si="13"/>
        <v>0.63346986993650178</v>
      </c>
      <c r="E68" s="46">
        <f t="shared" si="13"/>
        <v>0.63670909562037281</v>
      </c>
      <c r="F68" s="46">
        <f>F139/(SUM(F207:F217))</f>
        <v>0.63977880800560061</v>
      </c>
      <c r="G68" s="46">
        <f>G139/(SUM(G207:G217))</f>
        <v>0.64307634315652451</v>
      </c>
    </row>
    <row r="69" spans="1:7" x14ac:dyDescent="0.25">
      <c r="A69" s="49" t="s">
        <v>65</v>
      </c>
      <c r="B69" s="48">
        <f t="shared" ref="B69" si="14">(B108+B109+B110+B113)/B129</f>
        <v>0.74738288196887526</v>
      </c>
      <c r="C69" s="48">
        <f t="shared" ref="C69:G69" si="15">(C108+C109+C110+C113)/C129</f>
        <v>0.75175012415704778</v>
      </c>
      <c r="D69" s="48">
        <f t="shared" si="15"/>
        <v>0.75204484429448348</v>
      </c>
      <c r="E69" s="48">
        <f t="shared" si="15"/>
        <v>0.752264717773657</v>
      </c>
      <c r="F69" s="48">
        <f t="shared" si="15"/>
        <v>0.75258407794144866</v>
      </c>
      <c r="G69" s="48">
        <f t="shared" si="15"/>
        <v>0.75282752639705186</v>
      </c>
    </row>
    <row r="70" spans="1:7" x14ac:dyDescent="0.25">
      <c r="A70" s="51" t="s">
        <v>66</v>
      </c>
      <c r="B70" s="48">
        <f t="shared" ref="B70" si="16">(B103+B104+B106+B107+B111+B112+B114+B115+B118+B119+B120+B121+B122+B105+B123+B124+B125+B126+B127)/B129</f>
        <v>0.25261711803112474</v>
      </c>
      <c r="C70" s="48">
        <f t="shared" ref="C70:G70" si="17">(C103+C104+C106+C107+C111+C112+C114+C115+C118+C119+C120+C121+C122+C105+C123+C124+C125+C126+C127)/C129</f>
        <v>0.24824987584295219</v>
      </c>
      <c r="D70" s="48">
        <f t="shared" si="17"/>
        <v>0.24795515570551652</v>
      </c>
      <c r="E70" s="48">
        <f t="shared" si="17"/>
        <v>0.24773528222634308</v>
      </c>
      <c r="F70" s="48">
        <f t="shared" si="17"/>
        <v>0.2474159220585514</v>
      </c>
      <c r="G70" s="48">
        <f t="shared" si="17"/>
        <v>0.24717247360294822</v>
      </c>
    </row>
    <row r="71" spans="1:7" ht="15.75" thickBot="1" x14ac:dyDescent="0.3">
      <c r="A71" s="53" t="s">
        <v>67</v>
      </c>
      <c r="B71" s="52">
        <f t="shared" ref="B71" si="18">SUM(B209:B217)/B86</f>
        <v>0.12322759580151885</v>
      </c>
      <c r="C71" s="52">
        <f t="shared" ref="C71:E71" si="19">SUM(C209:C217)/C86</f>
        <v>0.1243336141326906</v>
      </c>
      <c r="D71" s="52">
        <f t="shared" si="19"/>
        <v>0.12320180974098573</v>
      </c>
      <c r="E71" s="52">
        <f t="shared" si="19"/>
        <v>0.12185992028508372</v>
      </c>
      <c r="F71" s="52">
        <f>SUM(F209:F217)/F86</f>
        <v>0.12028117862943032</v>
      </c>
      <c r="G71" s="52">
        <f>SUM(G209:G217)/G86</f>
        <v>0.11870417255406142</v>
      </c>
    </row>
    <row r="72" spans="1:7" x14ac:dyDescent="0.25">
      <c r="A72" s="54"/>
      <c r="B72" s="55"/>
      <c r="C72" s="55"/>
      <c r="D72" s="55"/>
      <c r="E72" s="55"/>
      <c r="F72" s="55"/>
      <c r="G72" s="55"/>
    </row>
    <row r="73" spans="1:7" x14ac:dyDescent="0.25">
      <c r="A73" s="57" t="s">
        <v>246</v>
      </c>
      <c r="B73" s="58" t="str">
        <f>B1</f>
        <v xml:space="preserve"> FY 23</v>
      </c>
      <c r="C73" s="58" t="str">
        <f>C1</f>
        <v xml:space="preserve"> FY 24</v>
      </c>
      <c r="D73" s="58" t="str">
        <f>D1</f>
        <v xml:space="preserve"> FY 25</v>
      </c>
      <c r="E73" s="58" t="str">
        <f t="shared" ref="E73" si="20">E1</f>
        <v xml:space="preserve"> FY 26</v>
      </c>
      <c r="F73" s="58" t="str">
        <f>F1</f>
        <v xml:space="preserve"> FY 27</v>
      </c>
      <c r="G73" s="58" t="str">
        <f>G1</f>
        <v xml:space="preserve"> FY 28</v>
      </c>
    </row>
    <row r="74" spans="1:7" x14ac:dyDescent="0.25">
      <c r="A74" s="60" t="s">
        <v>69</v>
      </c>
      <c r="B74" s="7">
        <f>'FY23'!F74</f>
        <v>6556407</v>
      </c>
      <c r="C74" s="7">
        <f>'FY24'!F74</f>
        <v>6914989.2239999995</v>
      </c>
      <c r="D74" s="7">
        <f>'FY25'!F74</f>
        <v>7004884.0839119991</v>
      </c>
      <c r="E74" s="7">
        <f>'FY26'!F74</f>
        <v>7095947.5770028541</v>
      </c>
      <c r="F74" s="7">
        <f>'FY27'!F74</f>
        <v>7188194.8955038907</v>
      </c>
      <c r="G74" s="7">
        <f>'FY28'!F74</f>
        <v>7281641.4291454405</v>
      </c>
    </row>
    <row r="75" spans="1:7" x14ac:dyDescent="0.25">
      <c r="A75" s="62" t="s">
        <v>70</v>
      </c>
      <c r="B75" s="7">
        <f>'FY23'!F75</f>
        <v>0</v>
      </c>
      <c r="C75" s="7">
        <f>'FY24'!F75</f>
        <v>0</v>
      </c>
      <c r="D75" s="7">
        <f>'FY25'!F75</f>
        <v>0</v>
      </c>
      <c r="E75" s="7">
        <f>'FY26'!F75</f>
        <v>0</v>
      </c>
      <c r="F75" s="7">
        <f>'FY27'!F75</f>
        <v>0</v>
      </c>
      <c r="G75" s="7">
        <f>'FY28'!F75</f>
        <v>0</v>
      </c>
    </row>
    <row r="76" spans="1:7" x14ac:dyDescent="0.25">
      <c r="A76" s="62" t="s">
        <v>71</v>
      </c>
      <c r="B76" s="7">
        <f>'FY23'!F76</f>
        <v>183390.60599999997</v>
      </c>
      <c r="C76" s="7">
        <f>'FY24'!F76</f>
        <v>224078.40000000002</v>
      </c>
      <c r="D76" s="7">
        <f>'FY25'!F76</f>
        <v>224078.40000000002</v>
      </c>
      <c r="E76" s="7">
        <f>'FY26'!F76</f>
        <v>224078.40000000002</v>
      </c>
      <c r="F76" s="7">
        <f>'FY27'!F76</f>
        <v>224078.40000000002</v>
      </c>
      <c r="G76" s="7">
        <f>'FY28'!F76</f>
        <v>224078.40000000002</v>
      </c>
    </row>
    <row r="77" spans="1:7" x14ac:dyDescent="0.25">
      <c r="A77" s="62" t="s">
        <v>72</v>
      </c>
      <c r="B77" s="7">
        <f>'FY23'!F77</f>
        <v>92150</v>
      </c>
      <c r="C77" s="7">
        <f>'FY24'!F77</f>
        <v>95942.602892102339</v>
      </c>
      <c r="D77" s="7">
        <f>'FY25'!F77</f>
        <v>95942.602892102339</v>
      </c>
      <c r="E77" s="7">
        <f>'FY26'!F77</f>
        <v>95942.602892102339</v>
      </c>
      <c r="F77" s="7">
        <f>'FY27'!F77</f>
        <v>95942.602892102339</v>
      </c>
      <c r="G77" s="7">
        <f>'FY28'!F77</f>
        <v>95942.602892102339</v>
      </c>
    </row>
    <row r="78" spans="1:7" x14ac:dyDescent="0.25">
      <c r="A78" s="141" t="s">
        <v>73</v>
      </c>
      <c r="B78" s="7">
        <f>'FY23'!F78</f>
        <v>267235</v>
      </c>
      <c r="C78" s="7">
        <f>'FY24'!F78</f>
        <v>252480.53392658508</v>
      </c>
      <c r="D78" s="7">
        <f>'FY25'!F78</f>
        <v>252480.53392658508</v>
      </c>
      <c r="E78" s="7">
        <f>'FY26'!F78</f>
        <v>257530.1446051168</v>
      </c>
      <c r="F78" s="7">
        <f>'FY27'!F78</f>
        <v>262579.7552836485</v>
      </c>
      <c r="G78" s="7">
        <f>'FY28'!F78</f>
        <v>262579.7552836485</v>
      </c>
    </row>
    <row r="79" spans="1:7" x14ac:dyDescent="0.25">
      <c r="A79" s="62" t="s">
        <v>74</v>
      </c>
      <c r="B79" s="7">
        <f>'FY23'!F79</f>
        <v>24525</v>
      </c>
      <c r="C79" s="7">
        <f>'FY24'!F79</f>
        <v>25534.371523915463</v>
      </c>
      <c r="D79" s="7">
        <f>'FY25'!F79</f>
        <v>25534.371523915463</v>
      </c>
      <c r="E79" s="7">
        <f>'FY26'!F79</f>
        <v>25534.371523915463</v>
      </c>
      <c r="F79" s="7">
        <f>'FY27'!F79</f>
        <v>25534.371523915463</v>
      </c>
      <c r="G79" s="7">
        <f>'FY28'!F79</f>
        <v>28376.729699666295</v>
      </c>
    </row>
    <row r="80" spans="1:7" x14ac:dyDescent="0.25">
      <c r="A80" s="62" t="s">
        <v>75</v>
      </c>
      <c r="B80" s="7">
        <f>'FY23'!F80</f>
        <v>37312</v>
      </c>
      <c r="C80" s="7">
        <f>'FY24'!F80</f>
        <v>38847.644048943272</v>
      </c>
      <c r="D80" s="7">
        <f>'FY25'!F80</f>
        <v>38847.644048943272</v>
      </c>
      <c r="E80" s="7">
        <f>'FY26'!F80</f>
        <v>38847.644048943272</v>
      </c>
      <c r="F80" s="7">
        <f>'FY27'!F80</f>
        <v>38847.644048943272</v>
      </c>
      <c r="G80" s="7">
        <f>'FY28'!F80</f>
        <v>42512.516129032258</v>
      </c>
    </row>
    <row r="81" spans="1:7" x14ac:dyDescent="0.25">
      <c r="A81" s="62" t="s">
        <v>76</v>
      </c>
      <c r="B81" s="7">
        <f>'FY23'!F81</f>
        <v>55912</v>
      </c>
      <c r="C81" s="7">
        <f>'FY24'!F81</f>
        <v>58213.161290322576</v>
      </c>
      <c r="D81" s="7">
        <f>'FY25'!F81</f>
        <v>58213.161290322576</v>
      </c>
      <c r="E81" s="7">
        <f>'FY26'!F81</f>
        <v>58213.161290322576</v>
      </c>
      <c r="F81" s="7">
        <f>'FY27'!F81</f>
        <v>58213.161290322576</v>
      </c>
      <c r="G81" s="7">
        <f>'FY28'!F81</f>
        <v>65459.612903225803</v>
      </c>
    </row>
    <row r="82" spans="1:7" x14ac:dyDescent="0.25">
      <c r="A82" s="62" t="s">
        <v>247</v>
      </c>
      <c r="B82" s="7">
        <f>'FY23'!F82</f>
        <v>0</v>
      </c>
      <c r="C82" s="7">
        <f>'FY24'!F82</f>
        <v>0</v>
      </c>
      <c r="D82" s="7">
        <f>'FY25'!F82</f>
        <v>0</v>
      </c>
      <c r="E82" s="7">
        <f>'FY26'!F82</f>
        <v>0</v>
      </c>
      <c r="F82" s="7">
        <f>'FY27'!F82</f>
        <v>0</v>
      </c>
      <c r="G82" s="7">
        <f>'FY28'!F82</f>
        <v>0</v>
      </c>
    </row>
    <row r="83" spans="1:7" x14ac:dyDescent="0.25">
      <c r="A83" s="154" t="s">
        <v>78</v>
      </c>
      <c r="B83" s="7">
        <f>'FY23'!F83</f>
        <v>0</v>
      </c>
      <c r="C83" s="7">
        <f>'FY24'!F83</f>
        <v>0</v>
      </c>
      <c r="D83" s="7">
        <f>'FY25'!F83</f>
        <v>0</v>
      </c>
      <c r="E83" s="7">
        <f>'FY26'!F83</f>
        <v>0</v>
      </c>
      <c r="F83" s="7">
        <f>'FY27'!F83</f>
        <v>0</v>
      </c>
      <c r="G83" s="7">
        <f>'FY28'!F83</f>
        <v>0</v>
      </c>
    </row>
    <row r="84" spans="1:7" x14ac:dyDescent="0.25">
      <c r="A84" s="62" t="s">
        <v>77</v>
      </c>
      <c r="B84" s="7">
        <f>'FY23'!F84</f>
        <v>0</v>
      </c>
      <c r="C84" s="7">
        <f>'FY24'!F84</f>
        <v>0</v>
      </c>
      <c r="D84" s="7">
        <f>'FY25'!F84</f>
        <v>0</v>
      </c>
      <c r="E84" s="7">
        <f>'FY26'!F84</f>
        <v>0</v>
      </c>
      <c r="F84" s="7">
        <f>'FY27'!F84</f>
        <v>0</v>
      </c>
      <c r="G84" s="7">
        <f>'FY28'!F84</f>
        <v>0</v>
      </c>
    </row>
    <row r="85" spans="1:7" ht="15.75" thickBot="1" x14ac:dyDescent="0.3">
      <c r="A85" s="65" t="s">
        <v>79</v>
      </c>
      <c r="B85" s="7">
        <f>'FY23'!F85</f>
        <v>17000</v>
      </c>
      <c r="C85" s="7">
        <f>'FY24'!F85</f>
        <v>17240</v>
      </c>
      <c r="D85" s="7">
        <f>'FY25'!F85</f>
        <v>17000</v>
      </c>
      <c r="E85" s="7">
        <f>'FY26'!F85</f>
        <v>17000</v>
      </c>
      <c r="F85" s="7">
        <f>'FY27'!F85</f>
        <v>17240</v>
      </c>
      <c r="G85" s="7">
        <f>'FY28'!F85</f>
        <v>17240</v>
      </c>
    </row>
    <row r="86" spans="1:7" ht="15.75" thickBot="1" x14ac:dyDescent="0.3">
      <c r="A86" s="67" t="s">
        <v>80</v>
      </c>
      <c r="B86" s="68">
        <f>SUM(B74:B85)</f>
        <v>7233931.6059999997</v>
      </c>
      <c r="C86" s="68">
        <f>SUM(C74:C85)</f>
        <v>7627325.9376818687</v>
      </c>
      <c r="D86" s="68">
        <f>SUM(D74:D85)</f>
        <v>7716980.7975938683</v>
      </c>
      <c r="E86" s="68">
        <f t="shared" ref="E86:G86" si="21">SUM(E74:E85)</f>
        <v>7813093.9013632555</v>
      </c>
      <c r="F86" s="68">
        <f t="shared" si="21"/>
        <v>7910630.8305428233</v>
      </c>
      <c r="G86" s="68">
        <f t="shared" si="21"/>
        <v>8017831.0460531171</v>
      </c>
    </row>
    <row r="87" spans="1:7" x14ac:dyDescent="0.25">
      <c r="A87" s="60" t="s">
        <v>69</v>
      </c>
      <c r="B87" s="7">
        <f>'FY23'!F87</f>
        <v>6556407</v>
      </c>
      <c r="C87" s="7">
        <f>'FY24'!F87</f>
        <v>6914989.2239999995</v>
      </c>
      <c r="D87" s="7">
        <f>'FY25'!F87</f>
        <v>7004884.0839119991</v>
      </c>
      <c r="E87" s="7">
        <f>'FY26'!F87</f>
        <v>7095947.5770028541</v>
      </c>
      <c r="F87" s="7">
        <f>'FY27'!F87</f>
        <v>7188194.8955038907</v>
      </c>
      <c r="G87" s="7">
        <f>'FY28'!F87</f>
        <v>7281641.4291454405</v>
      </c>
    </row>
    <row r="88" spans="1:7" x14ac:dyDescent="0.25">
      <c r="A88" s="62" t="s">
        <v>201</v>
      </c>
      <c r="B88" s="7">
        <f>'FY23'!F88</f>
        <v>0</v>
      </c>
      <c r="C88" s="7">
        <f>'FY24'!F88</f>
        <v>0</v>
      </c>
      <c r="D88" s="7">
        <f>'FY25'!F88</f>
        <v>0</v>
      </c>
      <c r="E88" s="7">
        <f>'FY26'!F88</f>
        <v>0</v>
      </c>
      <c r="F88" s="7">
        <f>'FY27'!F88</f>
        <v>0</v>
      </c>
      <c r="G88" s="7">
        <f>'FY28'!F88</f>
        <v>0</v>
      </c>
    </row>
    <row r="89" spans="1:7" x14ac:dyDescent="0.25">
      <c r="A89" s="62" t="s">
        <v>71</v>
      </c>
      <c r="B89" s="7">
        <f>'FY23'!F89</f>
        <v>183390.60599999997</v>
      </c>
      <c r="C89" s="7">
        <f>'FY24'!F89</f>
        <v>224078.40000000002</v>
      </c>
      <c r="D89" s="7">
        <f>'FY25'!F89</f>
        <v>224078.40000000002</v>
      </c>
      <c r="E89" s="7">
        <f>'FY26'!F89</f>
        <v>224078.40000000002</v>
      </c>
      <c r="F89" s="7">
        <f>'FY27'!F89</f>
        <v>224078.40000000002</v>
      </c>
      <c r="G89" s="7">
        <f>'FY28'!F89</f>
        <v>224078.40000000002</v>
      </c>
    </row>
    <row r="90" spans="1:7" x14ac:dyDescent="0.25">
      <c r="A90" s="62" t="s">
        <v>72</v>
      </c>
      <c r="B90" s="7">
        <f>'FY23'!F90</f>
        <v>92150</v>
      </c>
      <c r="C90" s="7">
        <f>'FY24'!F90</f>
        <v>95942.602892102339</v>
      </c>
      <c r="D90" s="7">
        <f>'FY25'!F90</f>
        <v>95942.602892102339</v>
      </c>
      <c r="E90" s="7">
        <f>'FY26'!F90</f>
        <v>95942.602892102339</v>
      </c>
      <c r="F90" s="7">
        <f>'FY27'!F90</f>
        <v>95942.602892102339</v>
      </c>
      <c r="G90" s="7">
        <f>'FY28'!F90</f>
        <v>95942.602892102339</v>
      </c>
    </row>
    <row r="91" spans="1:7" x14ac:dyDescent="0.25">
      <c r="A91" s="141" t="s">
        <v>73</v>
      </c>
      <c r="B91" s="7">
        <f>'FY23'!F91</f>
        <v>267235</v>
      </c>
      <c r="C91" s="7">
        <f>'FY24'!F91</f>
        <v>252480.53392658508</v>
      </c>
      <c r="D91" s="7">
        <f>'FY25'!F91</f>
        <v>252480.53392658508</v>
      </c>
      <c r="E91" s="7">
        <f>'FY26'!F91</f>
        <v>257530.1446051168</v>
      </c>
      <c r="F91" s="7">
        <f>'FY27'!F91</f>
        <v>262579.7552836485</v>
      </c>
      <c r="G91" s="7">
        <f>'FY28'!F91</f>
        <v>262579.7552836485</v>
      </c>
    </row>
    <row r="92" spans="1:7" x14ac:dyDescent="0.25">
      <c r="A92" s="62" t="s">
        <v>74</v>
      </c>
      <c r="B92" s="7">
        <f>'FY23'!F92</f>
        <v>24525</v>
      </c>
      <c r="C92" s="7">
        <f>'FY24'!F92</f>
        <v>25534.371523915463</v>
      </c>
      <c r="D92" s="7">
        <f>'FY25'!F92</f>
        <v>25534.371523915463</v>
      </c>
      <c r="E92" s="7">
        <f>'FY26'!F92</f>
        <v>25534.371523915463</v>
      </c>
      <c r="F92" s="7">
        <f>'FY27'!F92</f>
        <v>25534.371523915463</v>
      </c>
      <c r="G92" s="7">
        <f>'FY28'!F92</f>
        <v>28376.729699666295</v>
      </c>
    </row>
    <row r="93" spans="1:7" x14ac:dyDescent="0.25">
      <c r="A93" s="62" t="s">
        <v>75</v>
      </c>
      <c r="B93" s="7">
        <f>'FY23'!F93</f>
        <v>37312</v>
      </c>
      <c r="C93" s="7">
        <f>'FY24'!F93</f>
        <v>38847.644048943272</v>
      </c>
      <c r="D93" s="7">
        <f>'FY25'!F93</f>
        <v>38847.644048943272</v>
      </c>
      <c r="E93" s="7">
        <f>'FY26'!F93</f>
        <v>38847.644048943272</v>
      </c>
      <c r="F93" s="7">
        <f>'FY27'!F93</f>
        <v>38847.644048943272</v>
      </c>
      <c r="G93" s="7">
        <f>'FY28'!F93</f>
        <v>42512.516129032258</v>
      </c>
    </row>
    <row r="94" spans="1:7" x14ac:dyDescent="0.25">
      <c r="A94" s="62" t="s">
        <v>76</v>
      </c>
      <c r="B94" s="7">
        <f>'FY23'!F94</f>
        <v>55912</v>
      </c>
      <c r="C94" s="7">
        <f>'FY24'!F94</f>
        <v>58213.161290322576</v>
      </c>
      <c r="D94" s="7">
        <f>'FY25'!F94</f>
        <v>58213.161290322576</v>
      </c>
      <c r="E94" s="7">
        <f>'FY26'!F94</f>
        <v>58213.161290322576</v>
      </c>
      <c r="F94" s="7">
        <f>'FY27'!F94</f>
        <v>58213.161290322576</v>
      </c>
      <c r="G94" s="7">
        <f>'FY28'!F94</f>
        <v>65459.612903225803</v>
      </c>
    </row>
    <row r="95" spans="1:7" x14ac:dyDescent="0.25">
      <c r="A95" s="62" t="s">
        <v>202</v>
      </c>
      <c r="B95" s="7">
        <f>'FY23'!F95</f>
        <v>0</v>
      </c>
      <c r="C95" s="7">
        <f>'FY24'!F95</f>
        <v>0</v>
      </c>
      <c r="D95" s="7">
        <f>'FY25'!F95</f>
        <v>0</v>
      </c>
      <c r="E95" s="7">
        <f>'FY26'!F95</f>
        <v>0</v>
      </c>
      <c r="F95" s="7">
        <f>'FY27'!F95</f>
        <v>0</v>
      </c>
      <c r="G95" s="7">
        <f>'FY28'!F95</f>
        <v>0</v>
      </c>
    </row>
    <row r="96" spans="1:7" x14ac:dyDescent="0.25">
      <c r="A96" s="62" t="s">
        <v>203</v>
      </c>
      <c r="B96" s="7">
        <f>'FY23'!F96</f>
        <v>0</v>
      </c>
      <c r="C96" s="7">
        <f>'FY24'!F96</f>
        <v>0</v>
      </c>
      <c r="D96" s="7">
        <f>'FY25'!F96</f>
        <v>0</v>
      </c>
      <c r="E96" s="7">
        <f>'FY26'!F96</f>
        <v>0</v>
      </c>
      <c r="F96" s="7">
        <f>'FY27'!F96</f>
        <v>0</v>
      </c>
      <c r="G96" s="7">
        <f>'FY28'!F96</f>
        <v>0</v>
      </c>
    </row>
    <row r="97" spans="1:7" x14ac:dyDescent="0.25">
      <c r="A97" s="62" t="s">
        <v>77</v>
      </c>
      <c r="B97" s="7">
        <f>'FY23'!F97</f>
        <v>0</v>
      </c>
      <c r="C97" s="7">
        <f>'FY24'!F97</f>
        <v>0</v>
      </c>
      <c r="D97" s="7">
        <f>'FY25'!F97</f>
        <v>0</v>
      </c>
      <c r="E97" s="7">
        <f>'FY26'!F97</f>
        <v>0</v>
      </c>
      <c r="F97" s="7">
        <f>'FY27'!F97</f>
        <v>0</v>
      </c>
      <c r="G97" s="7">
        <f>'FY28'!F97</f>
        <v>0</v>
      </c>
    </row>
    <row r="98" spans="1:7" ht="15.75" thickBot="1" x14ac:dyDescent="0.3">
      <c r="A98" s="65" t="s">
        <v>204</v>
      </c>
      <c r="B98" s="7">
        <f>'FY23'!F98</f>
        <v>17000</v>
      </c>
      <c r="C98" s="7">
        <f>'FY24'!F98</f>
        <v>17240</v>
      </c>
      <c r="D98" s="7">
        <f>'FY25'!F98</f>
        <v>17000</v>
      </c>
      <c r="E98" s="7">
        <f>'FY26'!F98</f>
        <v>17000</v>
      </c>
      <c r="F98" s="7">
        <f>'FY27'!F98</f>
        <v>17240</v>
      </c>
      <c r="G98" s="7">
        <f>'FY28'!F98</f>
        <v>17240</v>
      </c>
    </row>
    <row r="99" spans="1:7" ht="15.75" thickBot="1" x14ac:dyDescent="0.3">
      <c r="A99" s="67" t="s">
        <v>81</v>
      </c>
      <c r="B99" s="68">
        <f>SUM(B87:B98)</f>
        <v>7233931.6059999997</v>
      </c>
      <c r="C99" s="68">
        <f>SUM(C87:C98)</f>
        <v>7627325.9376818687</v>
      </c>
      <c r="D99" s="68">
        <f>SUM(D87:D98)</f>
        <v>7716980.7975938683</v>
      </c>
      <c r="E99" s="68">
        <f t="shared" ref="E99:G99" si="22">SUM(E87:E98)</f>
        <v>7813093.9013632555</v>
      </c>
      <c r="F99" s="68">
        <f t="shared" si="22"/>
        <v>7910630.8305428233</v>
      </c>
      <c r="G99" s="68">
        <f t="shared" si="22"/>
        <v>8017831.0460531171</v>
      </c>
    </row>
    <row r="100" spans="1:7" x14ac:dyDescent="0.25">
      <c r="A100" s="70"/>
      <c r="B100" s="55"/>
      <c r="C100" s="55"/>
      <c r="D100" s="55"/>
      <c r="E100" s="55"/>
      <c r="F100" s="55"/>
      <c r="G100" s="55"/>
    </row>
    <row r="101" spans="1:7" ht="15.75" thickBot="1" x14ac:dyDescent="0.3">
      <c r="A101" s="73" t="s">
        <v>82</v>
      </c>
      <c r="B101" s="74" t="str">
        <f>B1</f>
        <v xml:space="preserve"> FY 23</v>
      </c>
      <c r="C101" s="74" t="str">
        <f>C1</f>
        <v xml:space="preserve"> FY 24</v>
      </c>
      <c r="D101" s="74" t="str">
        <f>D1</f>
        <v xml:space="preserve"> FY 25</v>
      </c>
      <c r="E101" s="74" t="str">
        <f t="shared" ref="E101:G101" si="23">E1</f>
        <v xml:space="preserve"> FY 26</v>
      </c>
      <c r="F101" s="74" t="str">
        <f t="shared" si="23"/>
        <v xml:space="preserve"> FY 27</v>
      </c>
      <c r="G101" s="74" t="str">
        <f t="shared" si="23"/>
        <v xml:space="preserve"> FY 28</v>
      </c>
    </row>
    <row r="102" spans="1:7" x14ac:dyDescent="0.25">
      <c r="A102" s="76" t="s">
        <v>83</v>
      </c>
      <c r="B102" s="77"/>
      <c r="C102" s="77"/>
      <c r="D102" s="77"/>
      <c r="E102" s="77"/>
      <c r="F102" s="77"/>
      <c r="G102" s="77"/>
    </row>
    <row r="103" spans="1:7" x14ac:dyDescent="0.25">
      <c r="A103" s="62" t="s">
        <v>41</v>
      </c>
      <c r="B103" s="7">
        <f>'FY23'!F103</f>
        <v>117300</v>
      </c>
      <c r="C103" s="7">
        <f>'FY24'!F103</f>
        <v>119646</v>
      </c>
      <c r="D103" s="7">
        <f>'FY25'!F103</f>
        <v>122038.92</v>
      </c>
      <c r="E103" s="7">
        <f>'FY26'!F103</f>
        <v>124479.69839999999</v>
      </c>
      <c r="F103" s="7">
        <f>'FY27'!F103</f>
        <v>126969.29236799999</v>
      </c>
      <c r="G103" s="7">
        <f>'FY28'!F103</f>
        <v>129508.67821535999</v>
      </c>
    </row>
    <row r="104" spans="1:7" x14ac:dyDescent="0.25">
      <c r="A104" s="62" t="s">
        <v>84</v>
      </c>
      <c r="B104" s="7">
        <f>'FY23'!F104</f>
        <v>228956.09519999998</v>
      </c>
      <c r="C104" s="7">
        <f>'FY24'!F104</f>
        <v>233535.21710399998</v>
      </c>
      <c r="D104" s="7">
        <f>'FY25'!F104</f>
        <v>238205.92144607997</v>
      </c>
      <c r="E104" s="7">
        <f>'FY26'!F104</f>
        <v>242970.03987500159</v>
      </c>
      <c r="F104" s="7">
        <f>'FY27'!F104</f>
        <v>247829.44067250163</v>
      </c>
      <c r="G104" s="7">
        <f>'FY28'!F104</f>
        <v>252786.02948595164</v>
      </c>
    </row>
    <row r="105" spans="1:7" x14ac:dyDescent="0.25">
      <c r="A105" s="62" t="s">
        <v>45</v>
      </c>
      <c r="B105" s="7">
        <f>'FY23'!F105</f>
        <v>0</v>
      </c>
      <c r="C105" s="7">
        <f>'FY24'!F105</f>
        <v>0</v>
      </c>
      <c r="D105" s="7">
        <f>'FY25'!F105</f>
        <v>0</v>
      </c>
      <c r="E105" s="7">
        <f>'FY26'!F105</f>
        <v>0</v>
      </c>
      <c r="F105" s="7">
        <f>'FY27'!F105</f>
        <v>0</v>
      </c>
      <c r="G105" s="7">
        <f>'FY28'!F105</f>
        <v>0</v>
      </c>
    </row>
    <row r="106" spans="1:7" x14ac:dyDescent="0.25">
      <c r="A106" s="62" t="s">
        <v>210</v>
      </c>
      <c r="B106" s="7">
        <f>'FY23'!F106</f>
        <v>0</v>
      </c>
      <c r="C106" s="7">
        <f>'FY24'!F106</f>
        <v>0</v>
      </c>
      <c r="D106" s="7">
        <f>'FY25'!F106</f>
        <v>0</v>
      </c>
      <c r="E106" s="7">
        <f>'FY26'!F106</f>
        <v>0</v>
      </c>
      <c r="F106" s="7">
        <f>'FY27'!F106</f>
        <v>0</v>
      </c>
      <c r="G106" s="7">
        <f>'FY28'!F106</f>
        <v>0</v>
      </c>
    </row>
    <row r="107" spans="1:7" x14ac:dyDescent="0.25">
      <c r="A107" s="62" t="s">
        <v>87</v>
      </c>
      <c r="B107" s="7">
        <f>'FY23'!F107</f>
        <v>57222</v>
      </c>
      <c r="C107" s="7">
        <f>'FY24'!F107</f>
        <v>58366.44</v>
      </c>
      <c r="D107" s="7">
        <f>'FY25'!F107</f>
        <v>59533.768800000005</v>
      </c>
      <c r="E107" s="7">
        <f>'FY26'!F107</f>
        <v>60724.444176000005</v>
      </c>
      <c r="F107" s="7">
        <f>'FY27'!F107</f>
        <v>61938.933059520008</v>
      </c>
      <c r="G107" s="7">
        <f>'FY28'!F107</f>
        <v>63177.711720710409</v>
      </c>
    </row>
    <row r="108" spans="1:7" x14ac:dyDescent="0.25">
      <c r="A108" s="62" t="s">
        <v>89</v>
      </c>
      <c r="B108" s="7">
        <f>'FY23'!F108</f>
        <v>1932862.5</v>
      </c>
      <c r="C108" s="7">
        <f>'FY24'!F108</f>
        <v>2021050</v>
      </c>
      <c r="D108" s="7">
        <f>'FY25'!F108</f>
        <v>2062550</v>
      </c>
      <c r="E108" s="7">
        <f>'FY26'!F108</f>
        <v>2104050</v>
      </c>
      <c r="F108" s="7">
        <f>'FY27'!F108</f>
        <v>2147625</v>
      </c>
      <c r="G108" s="7">
        <f>'FY28'!F108</f>
        <v>2191200</v>
      </c>
    </row>
    <row r="109" spans="1:7" x14ac:dyDescent="0.25">
      <c r="A109" s="62" t="s">
        <v>90</v>
      </c>
      <c r="B109" s="7">
        <f>'FY23'!F109</f>
        <v>0</v>
      </c>
      <c r="C109" s="7">
        <f>'FY24'!F109</f>
        <v>0</v>
      </c>
      <c r="D109" s="7">
        <f>'FY25'!F109</f>
        <v>0</v>
      </c>
      <c r="E109" s="7">
        <f>'FY26'!F109</f>
        <v>0</v>
      </c>
      <c r="F109" s="7">
        <f>'FY27'!F109</f>
        <v>0</v>
      </c>
      <c r="G109" s="7">
        <f>'FY28'!F109</f>
        <v>0</v>
      </c>
    </row>
    <row r="110" spans="1:7" x14ac:dyDescent="0.25">
      <c r="A110" s="62" t="s">
        <v>30</v>
      </c>
      <c r="B110" s="7">
        <f>'FY23'!F110</f>
        <v>190900</v>
      </c>
      <c r="C110" s="7">
        <f>'FY24'!F110</f>
        <v>194800</v>
      </c>
      <c r="D110" s="7">
        <f>'FY25'!F110</f>
        <v>198800</v>
      </c>
      <c r="E110" s="7">
        <f>'FY26'!F110</f>
        <v>202800</v>
      </c>
      <c r="F110" s="7">
        <f>'FY27'!F110</f>
        <v>207000</v>
      </c>
      <c r="G110" s="7">
        <f>'FY28'!F110</f>
        <v>211200</v>
      </c>
    </row>
    <row r="111" spans="1:7" x14ac:dyDescent="0.25">
      <c r="A111" s="62" t="s">
        <v>91</v>
      </c>
      <c r="B111" s="7">
        <f>'FY23'!F111</f>
        <v>113719.17412799998</v>
      </c>
      <c r="C111" s="7">
        <f>'FY24'!F111</f>
        <v>115993.55761055999</v>
      </c>
      <c r="D111" s="7">
        <f>'FY25'!F111</f>
        <v>118313.42876277119</v>
      </c>
      <c r="E111" s="7">
        <f>'FY26'!F111</f>
        <v>120679.69733802661</v>
      </c>
      <c r="F111" s="7">
        <f>'FY27'!F111</f>
        <v>123093.29128478715</v>
      </c>
      <c r="G111" s="7">
        <f>'FY28'!F111</f>
        <v>125555.15711048289</v>
      </c>
    </row>
    <row r="112" spans="1:7" x14ac:dyDescent="0.25">
      <c r="A112" s="62" t="s">
        <v>92</v>
      </c>
      <c r="B112" s="7">
        <f>'FY23'!F112</f>
        <v>59195.472335999999</v>
      </c>
      <c r="C112" s="7">
        <f>'FY24'!F112</f>
        <v>60379.381782719996</v>
      </c>
      <c r="D112" s="7">
        <f>'FY25'!F112</f>
        <v>61586.9694183744</v>
      </c>
      <c r="E112" s="7">
        <f>'FY26'!F112</f>
        <v>62818.708806741888</v>
      </c>
      <c r="F112" s="7">
        <f>'FY27'!F112</f>
        <v>64075.082982876724</v>
      </c>
      <c r="G112" s="7">
        <f>'FY28'!F112</f>
        <v>65356.584642534261</v>
      </c>
    </row>
    <row r="113" spans="1:7" x14ac:dyDescent="0.25">
      <c r="A113" s="62" t="s">
        <v>93</v>
      </c>
      <c r="B113" s="7">
        <f>'FY23'!F113</f>
        <v>110880</v>
      </c>
      <c r="C113" s="7">
        <f>'FY24'!F113</f>
        <v>112860</v>
      </c>
      <c r="D113" s="7">
        <f>'FY25'!F113</f>
        <v>114840</v>
      </c>
      <c r="E113" s="7">
        <f>'FY26'!F113</f>
        <v>116820</v>
      </c>
      <c r="F113" s="7">
        <f>'FY27'!F113</f>
        <v>118800</v>
      </c>
      <c r="G113" s="7">
        <f>'FY28'!F113</f>
        <v>120780</v>
      </c>
    </row>
    <row r="114" spans="1:7" x14ac:dyDescent="0.25">
      <c r="A114" s="62" t="s">
        <v>94</v>
      </c>
      <c r="B114" s="7">
        <f>'FY23'!F114</f>
        <v>44160</v>
      </c>
      <c r="C114" s="7">
        <f>'FY24'!F114</f>
        <v>44160</v>
      </c>
      <c r="D114" s="7">
        <f>'FY25'!F114</f>
        <v>44640</v>
      </c>
      <c r="E114" s="7">
        <f>'FY26'!F114</f>
        <v>45120</v>
      </c>
      <c r="F114" s="7">
        <f>'FY27'!F114</f>
        <v>45600</v>
      </c>
      <c r="G114" s="7">
        <f>'FY28'!F114</f>
        <v>46080</v>
      </c>
    </row>
    <row r="115" spans="1:7" x14ac:dyDescent="0.25">
      <c r="A115" s="62" t="s">
        <v>248</v>
      </c>
      <c r="B115" s="7">
        <f>'FY23'!F115</f>
        <v>0</v>
      </c>
      <c r="C115" s="7">
        <f>'FY24'!F115</f>
        <v>0</v>
      </c>
      <c r="D115" s="7">
        <f>'FY25'!F115</f>
        <v>0</v>
      </c>
      <c r="E115" s="7">
        <f>'FY26'!F115</f>
        <v>0</v>
      </c>
      <c r="F115" s="7">
        <f>'FY27'!F115</f>
        <v>0</v>
      </c>
      <c r="G115" s="7">
        <f>'FY28'!F115</f>
        <v>0</v>
      </c>
    </row>
    <row r="116" spans="1:7" ht="15.75" thickBot="1" x14ac:dyDescent="0.3">
      <c r="A116" s="82" t="s">
        <v>95</v>
      </c>
      <c r="B116" s="83">
        <f>SUM(B103:B115)</f>
        <v>2855195.2416639999</v>
      </c>
      <c r="C116" s="83">
        <f>SUM(C103:C115)</f>
        <v>2960790.5964972801</v>
      </c>
      <c r="D116" s="83">
        <f t="shared" ref="D116:G116" si="24">SUM(D103:D115)</f>
        <v>3020509.0084272255</v>
      </c>
      <c r="E116" s="83">
        <f t="shared" si="24"/>
        <v>3080462.5885957698</v>
      </c>
      <c r="F116" s="83">
        <f t="shared" si="24"/>
        <v>3142931.0403676853</v>
      </c>
      <c r="G116" s="83">
        <f t="shared" si="24"/>
        <v>3205644.1611750391</v>
      </c>
    </row>
    <row r="117" spans="1:7" x14ac:dyDescent="0.25">
      <c r="A117" s="84" t="s">
        <v>96</v>
      </c>
      <c r="B117" s="150" t="str">
        <f>B1</f>
        <v xml:space="preserve"> FY 23</v>
      </c>
      <c r="C117" s="150" t="str">
        <f>C1</f>
        <v xml:space="preserve"> FY 24</v>
      </c>
      <c r="D117" s="150" t="str">
        <f>D1</f>
        <v xml:space="preserve"> FY 25</v>
      </c>
      <c r="E117" s="150" t="str">
        <f t="shared" ref="E117:G117" si="25">E1</f>
        <v xml:space="preserve"> FY 26</v>
      </c>
      <c r="F117" s="150" t="str">
        <f t="shared" si="25"/>
        <v xml:space="preserve"> FY 27</v>
      </c>
      <c r="G117" s="150" t="str">
        <f t="shared" si="25"/>
        <v xml:space="preserve"> FY 28</v>
      </c>
    </row>
    <row r="118" spans="1:7" x14ac:dyDescent="0.25">
      <c r="A118" s="62"/>
      <c r="B118" s="7">
        <f>'FY23'!F118</f>
        <v>0</v>
      </c>
      <c r="C118" s="7">
        <f>'FY24'!F118</f>
        <v>0</v>
      </c>
      <c r="D118" s="7">
        <f>'FY25'!F118</f>
        <v>0</v>
      </c>
      <c r="E118" s="7">
        <f>'FY26'!F118</f>
        <v>0</v>
      </c>
      <c r="F118" s="7">
        <f>'FY27'!F118</f>
        <v>0</v>
      </c>
      <c r="G118" s="7">
        <f>'FY28'!F118</f>
        <v>0</v>
      </c>
    </row>
    <row r="119" spans="1:7" x14ac:dyDescent="0.25">
      <c r="A119" s="62" t="s">
        <v>54</v>
      </c>
      <c r="B119" s="7">
        <f>'FY23'!F119</f>
        <v>66013.38</v>
      </c>
      <c r="C119" s="7">
        <f>'FY24'!F119</f>
        <v>67333.647600000011</v>
      </c>
      <c r="D119" s="7">
        <f>'FY25'!F119</f>
        <v>68680.320552000019</v>
      </c>
      <c r="E119" s="7">
        <f>'FY26'!F119</f>
        <v>70053.926963040023</v>
      </c>
      <c r="F119" s="7">
        <f>'FY27'!F119</f>
        <v>71455.005502300832</v>
      </c>
      <c r="G119" s="7">
        <f>'FY28'!F119</f>
        <v>72884.105612346844</v>
      </c>
    </row>
    <row r="120" spans="1:7" x14ac:dyDescent="0.25">
      <c r="A120" s="62" t="s">
        <v>55</v>
      </c>
      <c r="B120" s="7">
        <f>'FY23'!F120</f>
        <v>0</v>
      </c>
      <c r="C120" s="7">
        <f>'FY24'!F120</f>
        <v>0</v>
      </c>
      <c r="D120" s="7">
        <f>'FY25'!F120</f>
        <v>0</v>
      </c>
      <c r="E120" s="7">
        <f>'FY26'!F120</f>
        <v>0</v>
      </c>
      <c r="F120" s="7">
        <f>'FY27'!F120</f>
        <v>0</v>
      </c>
      <c r="G120" s="7">
        <f>'FY28'!F120</f>
        <v>0</v>
      </c>
    </row>
    <row r="121" spans="1:7" x14ac:dyDescent="0.25">
      <c r="A121" s="62" t="s">
        <v>56</v>
      </c>
      <c r="B121" s="7">
        <f>'FY23'!F121</f>
        <v>0</v>
      </c>
      <c r="C121" s="7">
        <f>'FY24'!F121</f>
        <v>0</v>
      </c>
      <c r="D121" s="7">
        <f>'FY25'!F121</f>
        <v>0</v>
      </c>
      <c r="E121" s="7">
        <f>'FY26'!F121</f>
        <v>0</v>
      </c>
      <c r="F121" s="7">
        <f>'FY27'!F121</f>
        <v>0</v>
      </c>
      <c r="G121" s="7">
        <f>'FY28'!F121</f>
        <v>0</v>
      </c>
    </row>
    <row r="122" spans="1:7" x14ac:dyDescent="0.25">
      <c r="A122" s="62" t="s">
        <v>97</v>
      </c>
      <c r="B122" s="7">
        <f>'FY23'!F122</f>
        <v>0</v>
      </c>
      <c r="C122" s="7">
        <f>'FY24'!F122</f>
        <v>0</v>
      </c>
      <c r="D122" s="7">
        <f>'FY25'!F122</f>
        <v>0</v>
      </c>
      <c r="E122" s="7">
        <f>'FY26'!F122</f>
        <v>0</v>
      </c>
      <c r="F122" s="7">
        <f>'FY27'!F122</f>
        <v>0</v>
      </c>
      <c r="G122" s="7">
        <f>'FY28'!F122</f>
        <v>0</v>
      </c>
    </row>
    <row r="123" spans="1:7" x14ac:dyDescent="0.25">
      <c r="A123" s="62" t="s">
        <v>58</v>
      </c>
      <c r="B123" s="7">
        <f>'FY23'!F123</f>
        <v>0</v>
      </c>
      <c r="C123" s="7">
        <f>'FY24'!F123</f>
        <v>0</v>
      </c>
      <c r="D123" s="7">
        <f>'FY25'!F123</f>
        <v>0</v>
      </c>
      <c r="E123" s="7">
        <f>'FY26'!F123</f>
        <v>0</v>
      </c>
      <c r="F123" s="7">
        <f>'FY27'!F123</f>
        <v>0</v>
      </c>
      <c r="G123" s="7">
        <f>'FY28'!F123</f>
        <v>0</v>
      </c>
    </row>
    <row r="124" spans="1:7" x14ac:dyDescent="0.25">
      <c r="A124" s="62" t="s">
        <v>98</v>
      </c>
      <c r="B124" s="7">
        <f>'FY23'!F124</f>
        <v>24288.138000000003</v>
      </c>
      <c r="C124" s="7">
        <f>'FY24'!F124</f>
        <v>24773.900760000004</v>
      </c>
      <c r="D124" s="7">
        <f>'FY25'!F124</f>
        <v>25269.378775200006</v>
      </c>
      <c r="E124" s="7">
        <f>'FY26'!F124</f>
        <v>25774.766350704005</v>
      </c>
      <c r="F124" s="7">
        <f>'FY27'!F124</f>
        <v>26290.261677718085</v>
      </c>
      <c r="G124" s="7">
        <f>'FY28'!F124</f>
        <v>26816.066911272446</v>
      </c>
    </row>
    <row r="125" spans="1:7" x14ac:dyDescent="0.25">
      <c r="A125" s="62" t="s">
        <v>99</v>
      </c>
      <c r="B125" s="7">
        <f>'FY23'!F125</f>
        <v>0</v>
      </c>
      <c r="C125" s="7">
        <f>'FY24'!F125</f>
        <v>0</v>
      </c>
      <c r="D125" s="7">
        <f>'FY25'!F125</f>
        <v>0</v>
      </c>
      <c r="E125" s="7">
        <f>'FY26'!F125</f>
        <v>0</v>
      </c>
      <c r="F125" s="7">
        <f>'FY27'!F125</f>
        <v>0</v>
      </c>
      <c r="G125" s="7">
        <f>'FY28'!F125</f>
        <v>0</v>
      </c>
    </row>
    <row r="126" spans="1:7" x14ac:dyDescent="0.25">
      <c r="A126" s="62" t="s">
        <v>100</v>
      </c>
      <c r="B126" s="7">
        <f>'FY23'!F126</f>
        <v>20160</v>
      </c>
      <c r="C126" s="7">
        <f>'FY24'!F126</f>
        <v>20520</v>
      </c>
      <c r="D126" s="7">
        <f>'FY25'!F126</f>
        <v>20880</v>
      </c>
      <c r="E126" s="7">
        <f>'FY26'!F126</f>
        <v>21240</v>
      </c>
      <c r="F126" s="7">
        <f>'FY27'!F126</f>
        <v>21600</v>
      </c>
      <c r="G126" s="7">
        <f>'FY28'!F126</f>
        <v>21960</v>
      </c>
    </row>
    <row r="127" spans="1:7" x14ac:dyDescent="0.25">
      <c r="A127" s="62" t="s">
        <v>101</v>
      </c>
      <c r="B127" s="7">
        <f>'FY23'!F127</f>
        <v>24300</v>
      </c>
      <c r="C127" s="7">
        <f>'FY24'!F127</f>
        <v>24300</v>
      </c>
      <c r="D127" s="7">
        <f>'FY25'!F127</f>
        <v>24300</v>
      </c>
      <c r="E127" s="7">
        <f>'FY26'!F127</f>
        <v>24300</v>
      </c>
      <c r="F127" s="7">
        <f>'FY27'!F127</f>
        <v>24300</v>
      </c>
      <c r="G127" s="7">
        <f>'FY28'!F127</f>
        <v>24300</v>
      </c>
    </row>
    <row r="128" spans="1:7" ht="15.75" thickBot="1" x14ac:dyDescent="0.3">
      <c r="A128" s="82" t="s">
        <v>102</v>
      </c>
      <c r="B128" s="87">
        <f>SUM(B118:B127)</f>
        <v>134761.51800000001</v>
      </c>
      <c r="C128" s="87">
        <f>SUM(C118:C127)</f>
        <v>136927.54836000002</v>
      </c>
      <c r="D128" s="87">
        <f>SUM(D118:D127)</f>
        <v>139129.69932720001</v>
      </c>
      <c r="E128" s="87">
        <f t="shared" ref="E128:G128" si="26">SUM(E118:E127)</f>
        <v>141368.69331374404</v>
      </c>
      <c r="F128" s="87">
        <f t="shared" si="26"/>
        <v>143645.26718001891</v>
      </c>
      <c r="G128" s="87">
        <f t="shared" si="26"/>
        <v>145960.17252361929</v>
      </c>
    </row>
    <row r="129" spans="1:7" ht="15.75" thickBot="1" x14ac:dyDescent="0.3">
      <c r="A129" s="89" t="s">
        <v>103</v>
      </c>
      <c r="B129" s="90">
        <f>B116+B128</f>
        <v>2989956.759664</v>
      </c>
      <c r="C129" s="90">
        <f>C116+C128</f>
        <v>3097718.14485728</v>
      </c>
      <c r="D129" s="90">
        <f>D116+D128</f>
        <v>3159638.7077544257</v>
      </c>
      <c r="E129" s="90">
        <f t="shared" ref="E129" si="27">E116+E128</f>
        <v>3221831.2819095138</v>
      </c>
      <c r="F129" s="90">
        <f>F116+F128</f>
        <v>3286576.3075477043</v>
      </c>
      <c r="G129" s="90">
        <f>G116+G128</f>
        <v>3351604.3336986583</v>
      </c>
    </row>
    <row r="130" spans="1:7" x14ac:dyDescent="0.25">
      <c r="A130" s="62" t="s">
        <v>104</v>
      </c>
      <c r="B130" s="7">
        <f>'FY23'!F130</f>
        <v>889512.13600003987</v>
      </c>
      <c r="C130" s="7">
        <f>'FY24'!F130</f>
        <v>921571.1480950407</v>
      </c>
      <c r="D130" s="7">
        <f>'FY25'!F130</f>
        <v>939992.51555694151</v>
      </c>
      <c r="E130" s="7">
        <f>'FY26'!F130</f>
        <v>958494.80636808043</v>
      </c>
      <c r="F130" s="7">
        <f>'FY27'!F130</f>
        <v>977756.45149544207</v>
      </c>
      <c r="G130" s="7">
        <f>'FY28'!F130</f>
        <v>997102.28927535075</v>
      </c>
    </row>
    <row r="131" spans="1:7" x14ac:dyDescent="0.25">
      <c r="A131" s="62" t="s">
        <v>105</v>
      </c>
      <c r="B131" s="7">
        <f>'FY23'!F131</f>
        <v>493078.50960336794</v>
      </c>
      <c r="C131" s="7">
        <f>'FY24'!F131</f>
        <v>557589.26607431041</v>
      </c>
      <c r="D131" s="7">
        <f>'FY25'!F131</f>
        <v>576634.06416518264</v>
      </c>
      <c r="E131" s="7">
        <f>'FY26'!F131</f>
        <v>596038.78715326008</v>
      </c>
      <c r="F131" s="7">
        <f>'FY27'!F131</f>
        <v>616233.05766519462</v>
      </c>
      <c r="G131" s="7">
        <f>'FY28'!F131</f>
        <v>636804.82340274507</v>
      </c>
    </row>
    <row r="132" spans="1:7" x14ac:dyDescent="0.25">
      <c r="A132" s="62" t="s">
        <v>249</v>
      </c>
      <c r="B132" s="7">
        <f>'FY23'!F132</f>
        <v>51524</v>
      </c>
      <c r="C132" s="7">
        <f>'FY24'!F132</f>
        <v>52404</v>
      </c>
      <c r="D132" s="7">
        <f>'FY25'!F132</f>
        <v>52404</v>
      </c>
      <c r="E132" s="7">
        <f>'FY26'!F132</f>
        <v>52404</v>
      </c>
      <c r="F132" s="7">
        <f>'FY27'!F132</f>
        <v>52404</v>
      </c>
      <c r="G132" s="7">
        <f>'FY28'!F132</f>
        <v>52404</v>
      </c>
    </row>
    <row r="133" spans="1:7" x14ac:dyDescent="0.25">
      <c r="A133" s="62" t="s">
        <v>250</v>
      </c>
      <c r="B133" s="7">
        <f>'FY23'!F133</f>
        <v>10312.5</v>
      </c>
      <c r="C133" s="7">
        <f>'FY24'!F133</f>
        <v>10437.5</v>
      </c>
      <c r="D133" s="7">
        <f>'FY25'!F133</f>
        <v>10437.5</v>
      </c>
      <c r="E133" s="7">
        <f>'FY26'!F133</f>
        <v>10437.5</v>
      </c>
      <c r="F133" s="7">
        <f>'FY27'!F133</f>
        <v>10437.5</v>
      </c>
      <c r="G133" s="7">
        <f>'FY28'!F133</f>
        <v>10437.5</v>
      </c>
    </row>
    <row r="134" spans="1:7" x14ac:dyDescent="0.25">
      <c r="A134" s="62" t="s">
        <v>107</v>
      </c>
      <c r="B134" s="7">
        <f>'FY23'!F134</f>
        <v>2500</v>
      </c>
      <c r="C134" s="7">
        <f>'FY24'!F134</f>
        <v>2500</v>
      </c>
      <c r="D134" s="7">
        <f>'FY25'!F134</f>
        <v>2500</v>
      </c>
      <c r="E134" s="7">
        <f>'FY26'!F134</f>
        <v>2500</v>
      </c>
      <c r="F134" s="7">
        <f>'FY27'!F134</f>
        <v>2500</v>
      </c>
      <c r="G134" s="7">
        <f>'FY28'!F134</f>
        <v>2500</v>
      </c>
    </row>
    <row r="135" spans="1:7" x14ac:dyDescent="0.25">
      <c r="A135" s="62" t="s">
        <v>251</v>
      </c>
      <c r="B135" s="7">
        <f>'FY23'!F135</f>
        <v>28875</v>
      </c>
      <c r="C135" s="7">
        <f>'FY24'!F135</f>
        <v>29375</v>
      </c>
      <c r="D135" s="7">
        <f>'FY25'!F135</f>
        <v>29375</v>
      </c>
      <c r="E135" s="7">
        <f>'FY26'!F135</f>
        <v>29375</v>
      </c>
      <c r="F135" s="7">
        <f>'FY27'!F135</f>
        <v>29375</v>
      </c>
      <c r="G135" s="7">
        <f>'FY28'!F135</f>
        <v>29375</v>
      </c>
    </row>
    <row r="136" spans="1:7" x14ac:dyDescent="0.25">
      <c r="A136" s="62" t="s">
        <v>108</v>
      </c>
      <c r="B136" s="7">
        <f>'FY23'!F136</f>
        <v>7500</v>
      </c>
      <c r="C136" s="7">
        <f>'FY24'!F136</f>
        <v>7500</v>
      </c>
      <c r="D136" s="7">
        <f>'FY25'!F136</f>
        <v>7500</v>
      </c>
      <c r="E136" s="7">
        <f>'FY26'!F136</f>
        <v>7500</v>
      </c>
      <c r="F136" s="7">
        <f>'FY27'!F136</f>
        <v>7500</v>
      </c>
      <c r="G136" s="7">
        <f>'FY28'!F136</f>
        <v>7500</v>
      </c>
    </row>
    <row r="137" spans="1:7" x14ac:dyDescent="0.25">
      <c r="A137" s="62" t="s">
        <v>109</v>
      </c>
      <c r="B137" s="7">
        <f>'FY23'!F137</f>
        <v>54825</v>
      </c>
      <c r="C137" s="7">
        <f>'FY24'!F137</f>
        <v>55325</v>
      </c>
      <c r="D137" s="7">
        <f>'FY25'!F137</f>
        <v>55325</v>
      </c>
      <c r="E137" s="7">
        <f>'FY26'!F137</f>
        <v>55325</v>
      </c>
      <c r="F137" s="7">
        <f>'FY27'!F137</f>
        <v>55325</v>
      </c>
      <c r="G137" s="7">
        <f>'FY28'!F137</f>
        <v>55325</v>
      </c>
    </row>
    <row r="138" spans="1:7" ht="15.75" thickBot="1" x14ac:dyDescent="0.3">
      <c r="A138" s="91" t="s">
        <v>110</v>
      </c>
      <c r="B138" s="87">
        <f>SUM(B130:B137)</f>
        <v>1538127.1456034079</v>
      </c>
      <c r="C138" s="87">
        <f>SUM(C130:C137)</f>
        <v>1636701.9141693511</v>
      </c>
      <c r="D138" s="87">
        <f>SUM(D130:D137)</f>
        <v>1674168.0797221242</v>
      </c>
      <c r="E138" s="87">
        <f t="shared" ref="E138:G138" si="28">SUM(E130:E137)</f>
        <v>1712075.0935213405</v>
      </c>
      <c r="F138" s="87">
        <f t="shared" si="28"/>
        <v>1751531.0091606367</v>
      </c>
      <c r="G138" s="87">
        <f t="shared" si="28"/>
        <v>1791448.6126780957</v>
      </c>
    </row>
    <row r="139" spans="1:7" ht="15.75" thickBot="1" x14ac:dyDescent="0.3">
      <c r="A139" s="95" t="s">
        <v>111</v>
      </c>
      <c r="B139" s="90">
        <f>B129+B138</f>
        <v>4528083.9052674081</v>
      </c>
      <c r="C139" s="90">
        <f>C129+C138</f>
        <v>4734420.0590266306</v>
      </c>
      <c r="D139" s="90">
        <f>D129+D138</f>
        <v>4833806.7874765499</v>
      </c>
      <c r="E139" s="90">
        <f t="shared" ref="E139:G139" si="29">E129+E138</f>
        <v>4933906.375430854</v>
      </c>
      <c r="F139" s="90">
        <f t="shared" si="29"/>
        <v>5038107.3167083412</v>
      </c>
      <c r="G139" s="90">
        <f t="shared" si="29"/>
        <v>5143052.946376754</v>
      </c>
    </row>
    <row r="140" spans="1:7" x14ac:dyDescent="0.25">
      <c r="A140" s="97" t="s">
        <v>112</v>
      </c>
      <c r="B140" s="149" t="str">
        <f>B1</f>
        <v xml:space="preserve"> FY 23</v>
      </c>
      <c r="C140" s="149" t="str">
        <f>C1</f>
        <v xml:space="preserve"> FY 24</v>
      </c>
      <c r="D140" s="149" t="str">
        <f>D1</f>
        <v xml:space="preserve"> FY 25</v>
      </c>
      <c r="E140" s="149" t="str">
        <f t="shared" ref="E140:G140" si="30">E1</f>
        <v xml:space="preserve"> FY 26</v>
      </c>
      <c r="F140" s="149" t="str">
        <f t="shared" si="30"/>
        <v xml:space="preserve"> FY 27</v>
      </c>
      <c r="G140" s="149" t="str">
        <f t="shared" si="30"/>
        <v xml:space="preserve"> FY 28</v>
      </c>
    </row>
    <row r="141" spans="1:7" x14ac:dyDescent="0.25">
      <c r="A141" s="98" t="s">
        <v>113</v>
      </c>
      <c r="B141" s="7">
        <f>'FY23'!F141</f>
        <v>125860</v>
      </c>
      <c r="C141" s="7">
        <f>'FY24'!F141</f>
        <v>140400</v>
      </c>
      <c r="D141" s="7">
        <f>'FY25'!F141</f>
        <v>140400</v>
      </c>
      <c r="E141" s="7">
        <f>'FY26'!F141</f>
        <v>140400</v>
      </c>
      <c r="F141" s="7">
        <f>'FY27'!F141</f>
        <v>140400</v>
      </c>
      <c r="G141" s="7">
        <f>'FY28'!F141</f>
        <v>140400</v>
      </c>
    </row>
    <row r="142" spans="1:7" x14ac:dyDescent="0.25">
      <c r="A142" s="99" t="s">
        <v>252</v>
      </c>
      <c r="B142" s="7">
        <f>'FY23'!F142</f>
        <v>0</v>
      </c>
      <c r="C142" s="7">
        <f>'FY24'!F142</f>
        <v>0</v>
      </c>
      <c r="D142" s="7">
        <f>'FY25'!F142</f>
        <v>0</v>
      </c>
      <c r="E142" s="7">
        <f>'FY26'!F142</f>
        <v>0</v>
      </c>
      <c r="F142" s="7">
        <f>'FY27'!F142</f>
        <v>0</v>
      </c>
      <c r="G142" s="7">
        <f>'FY28'!F142</f>
        <v>0</v>
      </c>
    </row>
    <row r="143" spans="1:7" x14ac:dyDescent="0.25">
      <c r="A143" s="62" t="s">
        <v>115</v>
      </c>
      <c r="B143" s="7">
        <f>'FY23'!F143</f>
        <v>1100</v>
      </c>
      <c r="C143" s="7">
        <f>'FY24'!F143</f>
        <v>9000</v>
      </c>
      <c r="D143" s="7">
        <f>'FY25'!F143</f>
        <v>15000</v>
      </c>
      <c r="E143" s="7">
        <f>'FY26'!F143</f>
        <v>15000</v>
      </c>
      <c r="F143" s="7">
        <f>'FY27'!F143</f>
        <v>15000</v>
      </c>
      <c r="G143" s="7">
        <f>'FY28'!F143</f>
        <v>15000</v>
      </c>
    </row>
    <row r="144" spans="1:7" x14ac:dyDescent="0.25">
      <c r="A144" s="62" t="s">
        <v>116</v>
      </c>
      <c r="B144" s="7">
        <f>'FY23'!F144</f>
        <v>0</v>
      </c>
      <c r="C144" s="7">
        <f>'FY24'!F144</f>
        <v>0</v>
      </c>
      <c r="D144" s="7">
        <f>'FY25'!F144</f>
        <v>0</v>
      </c>
      <c r="E144" s="7">
        <f>'FY26'!F144</f>
        <v>0</v>
      </c>
      <c r="F144" s="7">
        <f>'FY27'!F144</f>
        <v>0</v>
      </c>
      <c r="G144" s="7">
        <f>'FY28'!F144</f>
        <v>0</v>
      </c>
    </row>
    <row r="145" spans="1:7" x14ac:dyDescent="0.25">
      <c r="A145" s="62" t="s">
        <v>117</v>
      </c>
      <c r="B145" s="7">
        <f>'FY23'!F145</f>
        <v>12586</v>
      </c>
      <c r="C145" s="7">
        <f>'FY24'!F145</f>
        <v>13104</v>
      </c>
      <c r="D145" s="7">
        <f>'FY25'!F145</f>
        <v>13104</v>
      </c>
      <c r="E145" s="7">
        <f>'FY26'!F145</f>
        <v>13104</v>
      </c>
      <c r="F145" s="7">
        <f>'FY27'!F145</f>
        <v>13104</v>
      </c>
      <c r="G145" s="7">
        <f>'FY28'!F145</f>
        <v>13104</v>
      </c>
    </row>
    <row r="146" spans="1:7" x14ac:dyDescent="0.25">
      <c r="A146" s="62" t="s">
        <v>118</v>
      </c>
      <c r="B146" s="7">
        <f>'FY23'!F146</f>
        <v>26071</v>
      </c>
      <c r="C146" s="7">
        <f>'FY24'!F146</f>
        <v>27144</v>
      </c>
      <c r="D146" s="7">
        <f>'FY25'!F146</f>
        <v>27144</v>
      </c>
      <c r="E146" s="7">
        <f>'FY26'!F146</f>
        <v>27144</v>
      </c>
      <c r="F146" s="7">
        <f>'FY27'!F146</f>
        <v>27144</v>
      </c>
      <c r="G146" s="7">
        <f>'FY28'!F146</f>
        <v>27144</v>
      </c>
    </row>
    <row r="147" spans="1:7" x14ac:dyDescent="0.25">
      <c r="A147" s="62" t="s">
        <v>119</v>
      </c>
      <c r="B147" s="7">
        <f>'FY23'!F147</f>
        <v>3820.75</v>
      </c>
      <c r="C147" s="7">
        <f>'FY24'!F147</f>
        <v>3978</v>
      </c>
      <c r="D147" s="7">
        <f>'FY25'!F147</f>
        <v>3978</v>
      </c>
      <c r="E147" s="7">
        <f>'FY26'!F147</f>
        <v>3978</v>
      </c>
      <c r="F147" s="7">
        <f>'FY27'!F147</f>
        <v>3978</v>
      </c>
      <c r="G147" s="7">
        <f>'FY28'!F147</f>
        <v>3978</v>
      </c>
    </row>
    <row r="148" spans="1:7" x14ac:dyDescent="0.25">
      <c r="A148" s="62" t="s">
        <v>120</v>
      </c>
      <c r="B148" s="7">
        <f>'FY23'!F148</f>
        <v>2921.75</v>
      </c>
      <c r="C148" s="7">
        <f>'FY24'!F148</f>
        <v>3042</v>
      </c>
      <c r="D148" s="7">
        <f>'FY25'!F148</f>
        <v>3042</v>
      </c>
      <c r="E148" s="7">
        <f>'FY26'!F148</f>
        <v>3042</v>
      </c>
      <c r="F148" s="7">
        <f>'FY27'!F148</f>
        <v>3042</v>
      </c>
      <c r="G148" s="7">
        <f>'FY28'!F148</f>
        <v>3042</v>
      </c>
    </row>
    <row r="149" spans="1:7" x14ac:dyDescent="0.25">
      <c r="A149" s="62" t="s">
        <v>121</v>
      </c>
      <c r="B149" s="7">
        <f>'FY23'!F149</f>
        <v>12513</v>
      </c>
      <c r="C149" s="7">
        <f>'FY24'!F149</f>
        <v>13027.995550611791</v>
      </c>
      <c r="D149" s="7">
        <f>'FY25'!F149</f>
        <v>13027.995550611791</v>
      </c>
      <c r="E149" s="7">
        <f>'FY26'!F149</f>
        <v>13027.995550611791</v>
      </c>
      <c r="F149" s="7">
        <f>'FY27'!F149</f>
        <v>13027.995550611791</v>
      </c>
      <c r="G149" s="7">
        <f>'FY28'!F149</f>
        <v>13027.995550611791</v>
      </c>
    </row>
    <row r="150" spans="1:7" ht="15.75" thickBot="1" x14ac:dyDescent="0.3">
      <c r="A150" s="62" t="s">
        <v>122</v>
      </c>
      <c r="B150" s="7">
        <f>'FY23'!F150</f>
        <v>0</v>
      </c>
      <c r="C150" s="7">
        <f>'FY24'!F150</f>
        <v>0</v>
      </c>
      <c r="D150" s="7">
        <f>'FY25'!F150</f>
        <v>0</v>
      </c>
      <c r="E150" s="7">
        <f>'FY26'!F150</f>
        <v>0</v>
      </c>
      <c r="F150" s="7">
        <f>'FY27'!F150</f>
        <v>0</v>
      </c>
      <c r="G150" s="7">
        <f>'FY28'!F150</f>
        <v>0</v>
      </c>
    </row>
    <row r="151" spans="1:7" ht="15.75" thickBot="1" x14ac:dyDescent="0.3">
      <c r="A151" s="95" t="s">
        <v>123</v>
      </c>
      <c r="B151" s="92">
        <f t="shared" ref="B151:G151" si="31">SUM(B141:B150)</f>
        <v>184872.5</v>
      </c>
      <c r="C151" s="92">
        <f t="shared" si="31"/>
        <v>209695.99555061178</v>
      </c>
      <c r="D151" s="92">
        <f t="shared" si="31"/>
        <v>215695.99555061178</v>
      </c>
      <c r="E151" s="92">
        <f t="shared" si="31"/>
        <v>215695.99555061178</v>
      </c>
      <c r="F151" s="92">
        <f t="shared" si="31"/>
        <v>215695.99555061178</v>
      </c>
      <c r="G151" s="92">
        <f t="shared" si="31"/>
        <v>215695.99555061178</v>
      </c>
    </row>
    <row r="152" spans="1:7" x14ac:dyDescent="0.25">
      <c r="A152" s="101" t="s">
        <v>124</v>
      </c>
      <c r="B152" s="149" t="str">
        <f t="shared" ref="B152:G152" si="32">B1</f>
        <v xml:space="preserve"> FY 23</v>
      </c>
      <c r="C152" s="149" t="str">
        <f t="shared" si="32"/>
        <v xml:space="preserve"> FY 24</v>
      </c>
      <c r="D152" s="149" t="str">
        <f t="shared" si="32"/>
        <v xml:space="preserve"> FY 25</v>
      </c>
      <c r="E152" s="149" t="str">
        <f t="shared" si="32"/>
        <v xml:space="preserve"> FY 26</v>
      </c>
      <c r="F152" s="149" t="str">
        <f t="shared" si="32"/>
        <v xml:space="preserve"> FY 27</v>
      </c>
      <c r="G152" s="149" t="str">
        <f t="shared" si="32"/>
        <v xml:space="preserve"> FY 28</v>
      </c>
    </row>
    <row r="153" spans="1:7" x14ac:dyDescent="0.25">
      <c r="A153" s="62" t="s">
        <v>125</v>
      </c>
      <c r="B153" s="7">
        <f>'FY23'!F153</f>
        <v>8500</v>
      </c>
      <c r="C153" s="7">
        <f>'FY24'!F153</f>
        <v>8755</v>
      </c>
      <c r="D153" s="7">
        <f>'FY25'!F153</f>
        <v>9017.65</v>
      </c>
      <c r="E153" s="7">
        <f>'FY26'!F153</f>
        <v>9288.1795000000002</v>
      </c>
      <c r="F153" s="7">
        <f>'FY27'!F153</f>
        <v>9566.824885</v>
      </c>
      <c r="G153" s="7">
        <f>'FY28'!F153</f>
        <v>9566.824885</v>
      </c>
    </row>
    <row r="154" spans="1:7" x14ac:dyDescent="0.25">
      <c r="A154" s="62" t="s">
        <v>126</v>
      </c>
      <c r="B154" s="7">
        <f>'FY23'!F154</f>
        <v>277791</v>
      </c>
      <c r="C154" s="7">
        <f>'FY24'!F154</f>
        <v>290160</v>
      </c>
      <c r="D154" s="7">
        <f>'FY25'!F154</f>
        <v>294840</v>
      </c>
      <c r="E154" s="7">
        <f>'FY26'!F154</f>
        <v>294840</v>
      </c>
      <c r="F154" s="7">
        <f>'FY27'!F154</f>
        <v>299520</v>
      </c>
      <c r="G154" s="7">
        <f>'FY28'!F154</f>
        <v>299520</v>
      </c>
    </row>
    <row r="155" spans="1:7" x14ac:dyDescent="0.25">
      <c r="A155" s="62" t="s">
        <v>253</v>
      </c>
      <c r="B155" s="7">
        <f>'FY23'!F155</f>
        <v>0</v>
      </c>
      <c r="C155" s="7">
        <f>'FY24'!F155</f>
        <v>0</v>
      </c>
      <c r="D155" s="7">
        <f>'FY25'!F155</f>
        <v>0</v>
      </c>
      <c r="E155" s="7">
        <f>'FY26'!F155</f>
        <v>0</v>
      </c>
      <c r="F155" s="7">
        <f>'FY27'!F155</f>
        <v>0</v>
      </c>
      <c r="G155" s="7">
        <f>'FY28'!F155</f>
        <v>0</v>
      </c>
    </row>
    <row r="156" spans="1:7" x14ac:dyDescent="0.25">
      <c r="A156" s="62" t="s">
        <v>254</v>
      </c>
      <c r="B156" s="7">
        <f>'FY23'!F156</f>
        <v>0</v>
      </c>
      <c r="C156" s="7">
        <f>'FY24'!F156</f>
        <v>0</v>
      </c>
      <c r="D156" s="7">
        <f>'FY25'!F156</f>
        <v>0</v>
      </c>
      <c r="E156" s="7">
        <f>'FY26'!F156</f>
        <v>0</v>
      </c>
      <c r="F156" s="7">
        <f>'FY27'!F156</f>
        <v>0</v>
      </c>
      <c r="G156" s="7">
        <f>'FY28'!F156</f>
        <v>0</v>
      </c>
    </row>
    <row r="157" spans="1:7" x14ac:dyDescent="0.25">
      <c r="A157" s="62" t="s">
        <v>128</v>
      </c>
      <c r="B157" s="7">
        <f>'FY23'!F157</f>
        <v>404550</v>
      </c>
      <c r="C157" s="7">
        <f>'FY24'!F157</f>
        <v>421200</v>
      </c>
      <c r="D157" s="7">
        <f>'FY25'!F157</f>
        <v>421200</v>
      </c>
      <c r="E157" s="7">
        <f>'FY26'!F157</f>
        <v>421200</v>
      </c>
      <c r="F157" s="7">
        <f>'FY27'!F157</f>
        <v>421200</v>
      </c>
      <c r="G157" s="7">
        <f>'FY28'!F157</f>
        <v>421200</v>
      </c>
    </row>
    <row r="158" spans="1:7" x14ac:dyDescent="0.25">
      <c r="A158" s="62" t="s">
        <v>129</v>
      </c>
      <c r="B158" s="7">
        <f>'FY23'!F158</f>
        <v>17000</v>
      </c>
      <c r="C158" s="7">
        <f>'FY24'!F158</f>
        <v>17240</v>
      </c>
      <c r="D158" s="7">
        <f>'FY25'!F158</f>
        <v>17240</v>
      </c>
      <c r="E158" s="7">
        <f>'FY26'!F158</f>
        <v>17240</v>
      </c>
      <c r="F158" s="7">
        <f>'FY27'!F158</f>
        <v>17240</v>
      </c>
      <c r="G158" s="7">
        <f>'FY28'!F158</f>
        <v>17240</v>
      </c>
    </row>
    <row r="159" spans="1:7" s="212" customFormat="1" x14ac:dyDescent="0.25">
      <c r="A159" s="62" t="s">
        <v>130</v>
      </c>
      <c r="B159" s="7">
        <f>'FY23'!F159</f>
        <v>11500</v>
      </c>
      <c r="C159" s="7">
        <f>'FY24'!F159</f>
        <v>11845</v>
      </c>
      <c r="D159" s="7">
        <f>'FY25'!F159</f>
        <v>12200.35</v>
      </c>
      <c r="E159" s="7">
        <f>'FY26'!F159</f>
        <v>12566.360500000001</v>
      </c>
      <c r="F159" s="7">
        <f>'FY27'!F159</f>
        <v>12943.351315000002</v>
      </c>
      <c r="G159" s="7">
        <f>'FY28'!F159</f>
        <v>13331.651854450001</v>
      </c>
    </row>
    <row r="160" spans="1:7" x14ac:dyDescent="0.25">
      <c r="A160" s="62" t="s">
        <v>131</v>
      </c>
      <c r="B160" s="7">
        <f>'FY23'!F160</f>
        <v>5250</v>
      </c>
      <c r="C160" s="7">
        <f>'FY24'!F160</f>
        <v>6000</v>
      </c>
      <c r="D160" s="7">
        <f>'FY25'!F160</f>
        <v>6000</v>
      </c>
      <c r="E160" s="7">
        <f>'FY26'!F160</f>
        <v>6000</v>
      </c>
      <c r="F160" s="7">
        <f>'FY27'!F160</f>
        <v>6000</v>
      </c>
      <c r="G160" s="7">
        <f>'FY28'!F160</f>
        <v>6000</v>
      </c>
    </row>
    <row r="161" spans="1:7" x14ac:dyDescent="0.25">
      <c r="A161" s="62" t="s">
        <v>132</v>
      </c>
      <c r="B161" s="7">
        <f>'FY23'!F161</f>
        <v>40455</v>
      </c>
      <c r="C161" s="7">
        <f>'FY24'!F161</f>
        <v>42120</v>
      </c>
      <c r="D161" s="7">
        <f>'FY25'!F161</f>
        <v>42120</v>
      </c>
      <c r="E161" s="7">
        <f>'FY26'!F161</f>
        <v>42120</v>
      </c>
      <c r="F161" s="7">
        <f>'FY27'!F161</f>
        <v>42120</v>
      </c>
      <c r="G161" s="7">
        <f>'FY28'!F161</f>
        <v>42120</v>
      </c>
    </row>
    <row r="162" spans="1:7" x14ac:dyDescent="0.25">
      <c r="A162" s="62" t="s">
        <v>133</v>
      </c>
      <c r="B162" s="7">
        <f>'FY23'!F162</f>
        <v>5500</v>
      </c>
      <c r="C162" s="7">
        <f>'FY24'!F162</f>
        <v>7500</v>
      </c>
      <c r="D162" s="7">
        <f>'FY25'!F162</f>
        <v>5000</v>
      </c>
      <c r="E162" s="7">
        <f>'FY26'!F162</f>
        <v>5000</v>
      </c>
      <c r="F162" s="7">
        <f>'FY27'!F162</f>
        <v>5000</v>
      </c>
      <c r="G162" s="7">
        <f>'FY28'!F162</f>
        <v>5000</v>
      </c>
    </row>
    <row r="163" spans="1:7" x14ac:dyDescent="0.25">
      <c r="A163" s="62" t="s">
        <v>134</v>
      </c>
      <c r="B163" s="7">
        <f>'FY23'!F163</f>
        <v>83426.950000000012</v>
      </c>
      <c r="C163" s="7">
        <f>'FY24'!F163</f>
        <v>86437.365300000005</v>
      </c>
      <c r="D163" s="7">
        <f>'FY25'!F163</f>
        <v>87561.051048900001</v>
      </c>
      <c r="E163" s="7">
        <f>'FY26'!F163</f>
        <v>88699.344712535676</v>
      </c>
      <c r="F163" s="7">
        <f>'FY27'!F163</f>
        <v>89852.43619379864</v>
      </c>
      <c r="G163" s="7">
        <f>'FY28'!F163</f>
        <v>91020.517864318012</v>
      </c>
    </row>
    <row r="164" spans="1:7" x14ac:dyDescent="0.25">
      <c r="A164" s="62" t="s">
        <v>135</v>
      </c>
      <c r="B164" s="7">
        <f>'FY23'!F164</f>
        <v>32782.035000000003</v>
      </c>
      <c r="C164" s="7">
        <f>'FY24'!F164</f>
        <v>34574.946120000001</v>
      </c>
      <c r="D164" s="7">
        <f>'FY25'!F164</f>
        <v>35024.420419559996</v>
      </c>
      <c r="E164" s="7">
        <f>'FY26'!F164</f>
        <v>35479.73788501427</v>
      </c>
      <c r="F164" s="7">
        <f>'FY27'!F164</f>
        <v>35940.974477519456</v>
      </c>
      <c r="G164" s="7">
        <f>'FY28'!F164</f>
        <v>36408.207145727203</v>
      </c>
    </row>
    <row r="165" spans="1:7" x14ac:dyDescent="0.25">
      <c r="A165" s="62" t="s">
        <v>136</v>
      </c>
      <c r="B165" s="7">
        <f>'FY23'!F165</f>
        <v>32782.035000000003</v>
      </c>
      <c r="C165" s="7">
        <f>'FY24'!F165</f>
        <v>34574.946120000001</v>
      </c>
      <c r="D165" s="7">
        <f>'FY25'!F165</f>
        <v>35024.420419559996</v>
      </c>
      <c r="E165" s="7">
        <f>'FY26'!F165</f>
        <v>35479.73788501427</v>
      </c>
      <c r="F165" s="7">
        <f>'FY27'!F165</f>
        <v>35940.974477519456</v>
      </c>
      <c r="G165" s="7">
        <f>'FY28'!F165</f>
        <v>36408.207145727203</v>
      </c>
    </row>
    <row r="166" spans="1:7" ht="15.75" thickBot="1" x14ac:dyDescent="0.3">
      <c r="A166" s="62" t="s">
        <v>137</v>
      </c>
      <c r="B166" s="7">
        <f>'FY23'!F166</f>
        <v>0</v>
      </c>
      <c r="C166" s="7">
        <f>'FY24'!F166</f>
        <v>0</v>
      </c>
      <c r="D166" s="7">
        <f>'FY25'!F166</f>
        <v>0</v>
      </c>
      <c r="E166" s="7">
        <f>'FY26'!F166</f>
        <v>0</v>
      </c>
      <c r="F166" s="7">
        <f>'FY27'!F166</f>
        <v>0</v>
      </c>
      <c r="G166" s="7">
        <f>'FY28'!F166</f>
        <v>0</v>
      </c>
    </row>
    <row r="167" spans="1:7" ht="15.75" thickBot="1" x14ac:dyDescent="0.3">
      <c r="A167" s="95" t="s">
        <v>138</v>
      </c>
      <c r="B167" s="92">
        <f>SUM(B153:B166)</f>
        <v>919537.02</v>
      </c>
      <c r="C167" s="92">
        <f>SUM(C153:C166)</f>
        <v>960407.2575399999</v>
      </c>
      <c r="D167" s="92">
        <f>SUM(D153:D166)</f>
        <v>965227.89188802009</v>
      </c>
      <c r="E167" s="92">
        <f t="shared" ref="E167:G167" si="33">SUM(E153:E166)</f>
        <v>967913.3604825642</v>
      </c>
      <c r="F167" s="92">
        <f t="shared" si="33"/>
        <v>975324.56134883757</v>
      </c>
      <c r="G167" s="92">
        <f t="shared" si="33"/>
        <v>977815.40889522247</v>
      </c>
    </row>
    <row r="168" spans="1:7" x14ac:dyDescent="0.25">
      <c r="A168" s="101" t="s">
        <v>139</v>
      </c>
      <c r="B168" s="149" t="str">
        <f>B152</f>
        <v xml:space="preserve"> FY 23</v>
      </c>
      <c r="C168" s="149" t="str">
        <f>C152</f>
        <v xml:space="preserve"> FY 24</v>
      </c>
      <c r="D168" s="149" t="str">
        <f>D152</f>
        <v xml:space="preserve"> FY 25</v>
      </c>
      <c r="E168" s="149" t="str">
        <f t="shared" ref="E168:G168" si="34">E152</f>
        <v xml:space="preserve"> FY 26</v>
      </c>
      <c r="F168" s="149" t="str">
        <f t="shared" si="34"/>
        <v xml:space="preserve"> FY 27</v>
      </c>
      <c r="G168" s="149" t="str">
        <f t="shared" si="34"/>
        <v xml:space="preserve"> FY 28</v>
      </c>
    </row>
    <row r="169" spans="1:7" x14ac:dyDescent="0.25">
      <c r="A169" s="62" t="s">
        <v>140</v>
      </c>
      <c r="B169" s="7">
        <f>'FY23'!F169</f>
        <v>5387.5</v>
      </c>
      <c r="C169" s="7">
        <f>'FY24'!F169</f>
        <v>5549.125</v>
      </c>
      <c r="D169" s="7">
        <f>'FY25'!F169</f>
        <v>5715.5987500000001</v>
      </c>
      <c r="E169" s="7">
        <f>'FY26'!F169</f>
        <v>5887.0667125</v>
      </c>
      <c r="F169" s="7">
        <f>'FY27'!F169</f>
        <v>6063.6787138750005</v>
      </c>
      <c r="G169" s="7">
        <f>'FY28'!F169</f>
        <v>6245.589075291251</v>
      </c>
    </row>
    <row r="170" spans="1:7" x14ac:dyDescent="0.25">
      <c r="A170" s="62" t="s">
        <v>141</v>
      </c>
      <c r="B170" s="7">
        <f>'FY23'!F170</f>
        <v>12600</v>
      </c>
      <c r="C170" s="7">
        <f>'FY24'!F170</f>
        <v>12978</v>
      </c>
      <c r="D170" s="7">
        <f>'FY25'!F170</f>
        <v>13367.34</v>
      </c>
      <c r="E170" s="7">
        <f>'FY26'!F170</f>
        <v>13768.360200000001</v>
      </c>
      <c r="F170" s="7">
        <f>'FY27'!F170</f>
        <v>14181.411006000002</v>
      </c>
      <c r="G170" s="7">
        <f>'FY28'!F170</f>
        <v>14606.853336180002</v>
      </c>
    </row>
    <row r="171" spans="1:7" x14ac:dyDescent="0.25">
      <c r="A171" s="62" t="s">
        <v>142</v>
      </c>
      <c r="B171" s="7">
        <f>'FY23'!F171</f>
        <v>0</v>
      </c>
      <c r="C171" s="7">
        <f>'FY24'!F171</f>
        <v>0</v>
      </c>
      <c r="D171" s="7">
        <f>'FY25'!F171</f>
        <v>0</v>
      </c>
      <c r="E171" s="7">
        <f>'FY26'!F171</f>
        <v>0</v>
      </c>
      <c r="F171" s="7">
        <f>'FY27'!F171</f>
        <v>0</v>
      </c>
      <c r="G171" s="7">
        <f>'FY28'!F171</f>
        <v>0</v>
      </c>
    </row>
    <row r="172" spans="1:7" x14ac:dyDescent="0.25">
      <c r="A172" s="62" t="s">
        <v>143</v>
      </c>
      <c r="B172" s="7">
        <f>'FY23'!F172</f>
        <v>900</v>
      </c>
      <c r="C172" s="7">
        <f>'FY24'!F172</f>
        <v>1000</v>
      </c>
      <c r="D172" s="7">
        <f>'FY25'!F172</f>
        <v>1000</v>
      </c>
      <c r="E172" s="7">
        <f>'FY26'!F172</f>
        <v>1000</v>
      </c>
      <c r="F172" s="7">
        <f>'FY27'!F172</f>
        <v>1000</v>
      </c>
      <c r="G172" s="7">
        <f>'FY28'!F172</f>
        <v>1000</v>
      </c>
    </row>
    <row r="173" spans="1:7" x14ac:dyDescent="0.25">
      <c r="A173" s="62" t="s">
        <v>144</v>
      </c>
      <c r="B173" s="7">
        <f>'FY23'!F173</f>
        <v>5000</v>
      </c>
      <c r="C173" s="7">
        <f>'FY24'!F173</f>
        <v>5150</v>
      </c>
      <c r="D173" s="7">
        <f>'FY25'!F173</f>
        <v>5304.5</v>
      </c>
      <c r="E173" s="7">
        <f>'FY26'!F173</f>
        <v>5463.6350000000002</v>
      </c>
      <c r="F173" s="7">
        <f>'FY27'!F173</f>
        <v>5627.5440500000004</v>
      </c>
      <c r="G173" s="7">
        <f>'FY28'!F173</f>
        <v>5796.3703715000001</v>
      </c>
    </row>
    <row r="174" spans="1:7" x14ac:dyDescent="0.25">
      <c r="A174" s="62" t="s">
        <v>145</v>
      </c>
      <c r="B174" s="7">
        <f>'FY23'!F174</f>
        <v>28000</v>
      </c>
      <c r="C174" s="7">
        <f>'FY24'!F174</f>
        <v>29120</v>
      </c>
      <c r="D174" s="7">
        <f>'FY25'!F174</f>
        <v>30284.799999999999</v>
      </c>
      <c r="E174" s="7">
        <f>'FY26'!F174</f>
        <v>31496.191999999999</v>
      </c>
      <c r="F174" s="7">
        <f>'FY27'!F174</f>
        <v>32756.039680000002</v>
      </c>
      <c r="G174" s="7">
        <f>'FY28'!F174</f>
        <v>34066.2812672</v>
      </c>
    </row>
    <row r="175" spans="1:7" ht="15.75" thickBot="1" x14ac:dyDescent="0.3">
      <c r="A175" s="62" t="s">
        <v>146</v>
      </c>
      <c r="B175" s="7">
        <f>'FY23'!F175</f>
        <v>2500</v>
      </c>
      <c r="C175" s="7">
        <f>'FY24'!F175</f>
        <v>4372</v>
      </c>
      <c r="D175" s="7">
        <f>'FY25'!F175</f>
        <v>4372</v>
      </c>
      <c r="E175" s="7">
        <f>'FY26'!F175</f>
        <v>4372</v>
      </c>
      <c r="F175" s="7">
        <f>'FY27'!F175</f>
        <v>4372</v>
      </c>
      <c r="G175" s="7">
        <f>'FY28'!F175</f>
        <v>4372</v>
      </c>
    </row>
    <row r="176" spans="1:7" ht="15.75" thickBot="1" x14ac:dyDescent="0.3">
      <c r="A176" s="95" t="s">
        <v>147</v>
      </c>
      <c r="B176" s="92">
        <f>SUM(B169:B175)</f>
        <v>54387.5</v>
      </c>
      <c r="C176" s="92">
        <f>SUM(C169:C175)</f>
        <v>58169.125</v>
      </c>
      <c r="D176" s="92">
        <f t="shared" ref="D176:G176" si="35">SUM(D169:D175)</f>
        <v>60044.238750000004</v>
      </c>
      <c r="E176" s="92">
        <f t="shared" si="35"/>
        <v>61987.253912500004</v>
      </c>
      <c r="F176" s="92">
        <f t="shared" si="35"/>
        <v>64000.673449875001</v>
      </c>
      <c r="G176" s="92">
        <f t="shared" si="35"/>
        <v>66087.094050171261</v>
      </c>
    </row>
    <row r="177" spans="1:7" x14ac:dyDescent="0.25">
      <c r="A177" s="101" t="s">
        <v>148</v>
      </c>
      <c r="B177" s="96"/>
      <c r="C177" s="96"/>
      <c r="D177" s="96"/>
      <c r="E177" s="96"/>
      <c r="F177" s="96"/>
      <c r="G177" s="96"/>
    </row>
    <row r="178" spans="1:7" x14ac:dyDescent="0.25">
      <c r="A178" s="62" t="s">
        <v>149</v>
      </c>
      <c r="B178" s="7">
        <f>'FY23'!F178</f>
        <v>11550.000000000002</v>
      </c>
      <c r="C178" s="7">
        <f>'FY24'!F178</f>
        <v>12243.000000000002</v>
      </c>
      <c r="D178" s="7">
        <f>'FY25'!F178</f>
        <v>12977.580000000002</v>
      </c>
      <c r="E178" s="7">
        <f>'FY26'!F178</f>
        <v>13756.234800000002</v>
      </c>
      <c r="F178" s="7">
        <f>'FY27'!F178</f>
        <v>14581.608888000002</v>
      </c>
      <c r="G178" s="7">
        <f>'FY28'!F178</f>
        <v>15456.505421280004</v>
      </c>
    </row>
    <row r="179" spans="1:7" x14ac:dyDescent="0.25">
      <c r="A179" s="62" t="s">
        <v>150</v>
      </c>
      <c r="B179" s="7">
        <f>'FY23'!F179</f>
        <v>6600.0000000000009</v>
      </c>
      <c r="C179" s="7">
        <f>'FY24'!F179</f>
        <v>6996.0000000000009</v>
      </c>
      <c r="D179" s="7">
        <f>'FY25'!F179</f>
        <v>7415.7600000000011</v>
      </c>
      <c r="E179" s="7">
        <f>'FY26'!F179</f>
        <v>7860.7056000000011</v>
      </c>
      <c r="F179" s="7">
        <f>'FY27'!F179</f>
        <v>8332.3479360000019</v>
      </c>
      <c r="G179" s="7">
        <f>'FY28'!F179</f>
        <v>8832.2888121600026</v>
      </c>
    </row>
    <row r="180" spans="1:7" ht="15.75" thickBot="1" x14ac:dyDescent="0.3">
      <c r="A180" s="62" t="s">
        <v>151</v>
      </c>
      <c r="B180" s="7">
        <f>'FY23'!F180</f>
        <v>13750.000000000002</v>
      </c>
      <c r="C180" s="7">
        <f>'FY24'!F180</f>
        <v>14575.000000000002</v>
      </c>
      <c r="D180" s="7">
        <f>'FY25'!F180</f>
        <v>15449.500000000002</v>
      </c>
      <c r="E180" s="7">
        <f>'FY26'!F180</f>
        <v>16376.470000000003</v>
      </c>
      <c r="F180" s="7">
        <f>'FY27'!F180</f>
        <v>17359.058200000003</v>
      </c>
      <c r="G180" s="7">
        <f>'FY28'!F180</f>
        <v>18400.601692000004</v>
      </c>
    </row>
    <row r="181" spans="1:7" ht="15.75" thickBot="1" x14ac:dyDescent="0.3">
      <c r="A181" s="95" t="s">
        <v>152</v>
      </c>
      <c r="B181" s="92">
        <f>SUM(B178:B180)</f>
        <v>31900.000000000007</v>
      </c>
      <c r="C181" s="92">
        <f>SUM(C178:C180)</f>
        <v>33814.000000000007</v>
      </c>
      <c r="D181" s="92">
        <f t="shared" ref="D181:G181" si="36">SUM(D178:D180)</f>
        <v>35842.840000000004</v>
      </c>
      <c r="E181" s="92">
        <f t="shared" si="36"/>
        <v>37993.410400000008</v>
      </c>
      <c r="F181" s="92">
        <f t="shared" si="36"/>
        <v>40273.015024000008</v>
      </c>
      <c r="G181" s="92">
        <f t="shared" si="36"/>
        <v>42689.395925440011</v>
      </c>
    </row>
    <row r="182" spans="1:7" x14ac:dyDescent="0.25">
      <c r="A182" s="101" t="s">
        <v>153</v>
      </c>
      <c r="B182" s="96" t="str">
        <f t="shared" ref="B182:G182" si="37">B1</f>
        <v xml:space="preserve"> FY 23</v>
      </c>
      <c r="C182" s="96" t="str">
        <f t="shared" si="37"/>
        <v xml:space="preserve"> FY 24</v>
      </c>
      <c r="D182" s="96" t="str">
        <f t="shared" si="37"/>
        <v xml:space="preserve"> FY 25</v>
      </c>
      <c r="E182" s="96" t="str">
        <f t="shared" si="37"/>
        <v xml:space="preserve"> FY 26</v>
      </c>
      <c r="F182" s="96" t="str">
        <f t="shared" si="37"/>
        <v xml:space="preserve"> FY 27</v>
      </c>
      <c r="G182" s="96" t="str">
        <f t="shared" si="37"/>
        <v xml:space="preserve"> FY 28</v>
      </c>
    </row>
    <row r="183" spans="1:7" x14ac:dyDescent="0.25">
      <c r="A183" s="62" t="s">
        <v>154</v>
      </c>
      <c r="B183" s="7">
        <f>'FY23'!F183</f>
        <v>171291.27699999997</v>
      </c>
      <c r="C183" s="7">
        <f>'FY24'!F183</f>
        <v>202870.56</v>
      </c>
      <c r="D183" s="7">
        <f>'FY25'!F183</f>
        <v>202870.56</v>
      </c>
      <c r="E183" s="7">
        <f>'FY26'!F183</f>
        <v>202870.56</v>
      </c>
      <c r="F183" s="7">
        <f>'FY27'!F183</f>
        <v>202870.56</v>
      </c>
      <c r="G183" s="7">
        <f>'FY28'!F183</f>
        <v>202870.56</v>
      </c>
    </row>
    <row r="184" spans="1:7" x14ac:dyDescent="0.25">
      <c r="A184" s="62" t="s">
        <v>155</v>
      </c>
      <c r="B184" s="7">
        <f>'FY23'!F184</f>
        <v>5000</v>
      </c>
      <c r="C184" s="7">
        <f>'FY24'!F184</f>
        <v>5000</v>
      </c>
      <c r="D184" s="7">
        <f>'FY25'!F184</f>
        <v>5000</v>
      </c>
      <c r="E184" s="7">
        <f>'FY26'!F184</f>
        <v>5000</v>
      </c>
      <c r="F184" s="7">
        <f>'FY27'!F184</f>
        <v>5000</v>
      </c>
      <c r="G184" s="7">
        <f>'FY28'!F184</f>
        <v>5000</v>
      </c>
    </row>
    <row r="185" spans="1:7" x14ac:dyDescent="0.25">
      <c r="A185" s="62" t="s">
        <v>156</v>
      </c>
      <c r="B185" s="7">
        <f>'FY23'!F185</f>
        <v>2000</v>
      </c>
      <c r="C185" s="7">
        <f>'FY24'!F185</f>
        <v>2000</v>
      </c>
      <c r="D185" s="7">
        <f>'FY25'!F185</f>
        <v>2000</v>
      </c>
      <c r="E185" s="7">
        <f>'FY26'!F185</f>
        <v>2000</v>
      </c>
      <c r="F185" s="7">
        <f>'FY27'!F185</f>
        <v>2000</v>
      </c>
      <c r="G185" s="7">
        <f>'FY28'!F185</f>
        <v>2000</v>
      </c>
    </row>
    <row r="186" spans="1:7" x14ac:dyDescent="0.25">
      <c r="A186" s="62" t="s">
        <v>157</v>
      </c>
      <c r="B186" s="7">
        <f>'FY23'!F186</f>
        <v>1200</v>
      </c>
      <c r="C186" s="7">
        <f>'FY24'!F186</f>
        <v>540</v>
      </c>
      <c r="D186" s="7">
        <f>'FY25'!F186</f>
        <v>540</v>
      </c>
      <c r="E186" s="7">
        <f>'FY26'!F186</f>
        <v>540</v>
      </c>
      <c r="F186" s="7">
        <f>'FY27'!F186</f>
        <v>540</v>
      </c>
      <c r="G186" s="7">
        <f>'FY28'!F186</f>
        <v>540</v>
      </c>
    </row>
    <row r="187" spans="1:7" x14ac:dyDescent="0.25">
      <c r="A187" s="62" t="s">
        <v>158</v>
      </c>
      <c r="B187" s="7">
        <f>'FY23'!F187</f>
        <v>12700</v>
      </c>
      <c r="C187" s="7">
        <f>'FY24'!F187</f>
        <v>12700</v>
      </c>
      <c r="D187" s="7">
        <f>'FY25'!F187</f>
        <v>12700</v>
      </c>
      <c r="E187" s="7">
        <f>'FY26'!F187</f>
        <v>12700</v>
      </c>
      <c r="F187" s="7">
        <f>'FY27'!F187</f>
        <v>12700</v>
      </c>
      <c r="G187" s="7">
        <f>'FY28'!F187</f>
        <v>12700</v>
      </c>
    </row>
    <row r="188" spans="1:7" x14ac:dyDescent="0.25">
      <c r="A188" s="62" t="s">
        <v>159</v>
      </c>
      <c r="B188" s="7">
        <f>'FY23'!F188</f>
        <v>0</v>
      </c>
      <c r="C188" s="7">
        <f>'FY24'!F188</f>
        <v>0</v>
      </c>
      <c r="D188" s="7">
        <f>'FY25'!F188</f>
        <v>0</v>
      </c>
      <c r="E188" s="7">
        <f>'FY26'!F188</f>
        <v>0</v>
      </c>
      <c r="F188" s="7">
        <f>'FY27'!F188</f>
        <v>0</v>
      </c>
      <c r="G188" s="7">
        <f>'FY28'!F188</f>
        <v>0</v>
      </c>
    </row>
    <row r="189" spans="1:7" x14ac:dyDescent="0.25">
      <c r="A189" s="62" t="s">
        <v>160</v>
      </c>
      <c r="B189" s="7">
        <f>'FY23'!F189</f>
        <v>0</v>
      </c>
      <c r="C189" s="7">
        <f>'FY24'!F189</f>
        <v>0</v>
      </c>
      <c r="D189" s="7">
        <f>'FY25'!F189</f>
        <v>0</v>
      </c>
      <c r="E189" s="7">
        <f>'FY26'!F189</f>
        <v>0</v>
      </c>
      <c r="F189" s="7">
        <f>'FY27'!F189</f>
        <v>0</v>
      </c>
      <c r="G189" s="7">
        <f>'FY28'!F189</f>
        <v>0</v>
      </c>
    </row>
    <row r="190" spans="1:7" x14ac:dyDescent="0.25">
      <c r="A190" s="62" t="s">
        <v>161</v>
      </c>
      <c r="B190" s="7">
        <f>'FY23'!F190</f>
        <v>0</v>
      </c>
      <c r="C190" s="7">
        <f>'FY24'!F190</f>
        <v>0</v>
      </c>
      <c r="D190" s="7">
        <f>'FY25'!F190</f>
        <v>0</v>
      </c>
      <c r="E190" s="7">
        <f>'FY26'!F190</f>
        <v>0</v>
      </c>
      <c r="F190" s="7">
        <f>'FY27'!F190</f>
        <v>0</v>
      </c>
      <c r="G190" s="7">
        <f>'FY28'!F190</f>
        <v>0</v>
      </c>
    </row>
    <row r="191" spans="1:7" ht="15.75" thickBot="1" x14ac:dyDescent="0.3">
      <c r="A191" s="62" t="s">
        <v>162</v>
      </c>
      <c r="B191" s="7">
        <f>'FY23'!F191</f>
        <v>1500</v>
      </c>
      <c r="C191" s="7">
        <f>'FY24'!F191</f>
        <v>1000</v>
      </c>
      <c r="D191" s="7">
        <f>'FY25'!F191</f>
        <v>1000</v>
      </c>
      <c r="E191" s="7">
        <f>'FY26'!F191</f>
        <v>1000</v>
      </c>
      <c r="F191" s="7">
        <f>'FY27'!F191</f>
        <v>1000</v>
      </c>
      <c r="G191" s="7">
        <f>'FY28'!F191</f>
        <v>1000</v>
      </c>
    </row>
    <row r="192" spans="1:7" ht="15.75" thickBot="1" x14ac:dyDescent="0.3">
      <c r="A192" s="95" t="s">
        <v>163</v>
      </c>
      <c r="B192" s="92">
        <f>SUM(B183:B191)</f>
        <v>193691.27699999997</v>
      </c>
      <c r="C192" s="92">
        <f>SUM(C183:C191)</f>
        <v>224110.56</v>
      </c>
      <c r="D192" s="92">
        <f t="shared" ref="D192:G192" si="38">SUM(D183:D191)</f>
        <v>224110.56</v>
      </c>
      <c r="E192" s="92">
        <f t="shared" si="38"/>
        <v>224110.56</v>
      </c>
      <c r="F192" s="92">
        <f t="shared" si="38"/>
        <v>224110.56</v>
      </c>
      <c r="G192" s="92">
        <f t="shared" si="38"/>
        <v>224110.56</v>
      </c>
    </row>
    <row r="193" spans="1:7" x14ac:dyDescent="0.25">
      <c r="A193" s="101" t="s">
        <v>164</v>
      </c>
      <c r="B193" s="77" t="str">
        <f>B182</f>
        <v xml:space="preserve"> FY 23</v>
      </c>
      <c r="C193" s="77" t="str">
        <f>C182</f>
        <v xml:space="preserve"> FY 24</v>
      </c>
      <c r="D193" s="77" t="str">
        <f>D182</f>
        <v xml:space="preserve"> FY 25</v>
      </c>
      <c r="E193" s="77" t="str">
        <f t="shared" ref="E193:G193" si="39">E182</f>
        <v xml:space="preserve"> FY 26</v>
      </c>
      <c r="F193" s="77" t="str">
        <f t="shared" si="39"/>
        <v xml:space="preserve"> FY 27</v>
      </c>
      <c r="G193" s="77" t="str">
        <f t="shared" si="39"/>
        <v xml:space="preserve"> FY 28</v>
      </c>
    </row>
    <row r="194" spans="1:7" x14ac:dyDescent="0.25">
      <c r="A194" s="62" t="s">
        <v>165</v>
      </c>
      <c r="B194" s="7">
        <f>'FY23'!F194</f>
        <v>82200</v>
      </c>
      <c r="C194" s="7">
        <f>'FY24'!F194</f>
        <v>84666</v>
      </c>
      <c r="D194" s="7">
        <f>'FY25'!F194</f>
        <v>87205.98</v>
      </c>
      <c r="E194" s="7">
        <f>'FY26'!F194</f>
        <v>89822.159400000004</v>
      </c>
      <c r="F194" s="7">
        <f>'FY27'!F194</f>
        <v>92516.824182000011</v>
      </c>
      <c r="G194" s="7">
        <f>'FY28'!F194</f>
        <v>95292.328907460018</v>
      </c>
    </row>
    <row r="195" spans="1:7" x14ac:dyDescent="0.25">
      <c r="A195" s="62" t="s">
        <v>166</v>
      </c>
      <c r="B195" s="7">
        <f>'FY23'!F195</f>
        <v>5340</v>
      </c>
      <c r="C195" s="7">
        <f>'FY24'!F195</f>
        <v>5500.2</v>
      </c>
      <c r="D195" s="7">
        <f>'FY25'!F195</f>
        <v>5665.2060000000001</v>
      </c>
      <c r="E195" s="7">
        <f>'FY26'!F195</f>
        <v>5835.1621800000003</v>
      </c>
      <c r="F195" s="7">
        <f>'FY27'!F195</f>
        <v>6010.2170454000006</v>
      </c>
      <c r="G195" s="7">
        <f>'FY28'!F195</f>
        <v>6190.5235567620011</v>
      </c>
    </row>
    <row r="196" spans="1:7" x14ac:dyDescent="0.25">
      <c r="A196" s="62" t="s">
        <v>167</v>
      </c>
      <c r="B196" s="7">
        <f>'FY23'!F196</f>
        <v>22500</v>
      </c>
      <c r="C196" s="7">
        <f>'FY24'!F196</f>
        <v>23175</v>
      </c>
      <c r="D196" s="7">
        <f>'FY25'!F196</f>
        <v>23870.25</v>
      </c>
      <c r="E196" s="7">
        <f>'FY26'!F196</f>
        <v>24586.357500000002</v>
      </c>
      <c r="F196" s="7">
        <f>'FY27'!F196</f>
        <v>25323.948225000004</v>
      </c>
      <c r="G196" s="7">
        <f>'FY28'!F196</f>
        <v>26083.666671750005</v>
      </c>
    </row>
    <row r="197" spans="1:7" x14ac:dyDescent="0.25">
      <c r="A197" s="62" t="s">
        <v>168</v>
      </c>
      <c r="B197" s="7">
        <f>'FY23'!F197</f>
        <v>15420</v>
      </c>
      <c r="C197" s="7">
        <f>'FY24'!F197</f>
        <v>15882.6</v>
      </c>
      <c r="D197" s="7">
        <f>'FY25'!F197</f>
        <v>16359.078000000001</v>
      </c>
      <c r="E197" s="7">
        <f>'FY26'!F197</f>
        <v>16849.850340000001</v>
      </c>
      <c r="F197" s="7">
        <f>'FY27'!F197</f>
        <v>17355.345850200003</v>
      </c>
      <c r="G197" s="7">
        <f>'FY28'!F197</f>
        <v>17876.006225706005</v>
      </c>
    </row>
    <row r="198" spans="1:7" x14ac:dyDescent="0.25">
      <c r="A198" s="62" t="s">
        <v>169</v>
      </c>
      <c r="B198" s="7">
        <f>'FY23'!F198</f>
        <v>6500</v>
      </c>
      <c r="C198" s="7">
        <f>'FY24'!F198</f>
        <v>6695</v>
      </c>
      <c r="D198" s="7">
        <f>'FY25'!F198</f>
        <v>6895.85</v>
      </c>
      <c r="E198" s="7">
        <f>'FY26'!F198</f>
        <v>7102.7255000000005</v>
      </c>
      <c r="F198" s="7">
        <f>'FY27'!F198</f>
        <v>7315.8072650000004</v>
      </c>
      <c r="G198" s="7">
        <f>'FY28'!F198</f>
        <v>7535.2814829500003</v>
      </c>
    </row>
    <row r="199" spans="1:7" x14ac:dyDescent="0.25">
      <c r="A199" s="62" t="s">
        <v>170</v>
      </c>
      <c r="B199" s="7">
        <f>'FY23'!F199</f>
        <v>83816.25</v>
      </c>
      <c r="C199" s="7">
        <f>'FY24'!F199</f>
        <v>86330.737500000003</v>
      </c>
      <c r="D199" s="7">
        <f>'FY25'!F199</f>
        <v>88920.659625</v>
      </c>
      <c r="E199" s="7">
        <f>'FY26'!F199</f>
        <v>91588.279413750002</v>
      </c>
      <c r="F199" s="7">
        <f>'FY27'!F199</f>
        <v>94335.927796162505</v>
      </c>
      <c r="G199" s="7">
        <f>'FY28'!F199</f>
        <v>97166.005630047381</v>
      </c>
    </row>
    <row r="200" spans="1:7" x14ac:dyDescent="0.25">
      <c r="A200" s="62" t="s">
        <v>171</v>
      </c>
      <c r="B200" s="7">
        <f>'FY23'!F200</f>
        <v>28768</v>
      </c>
      <c r="C200" s="7">
        <f>'FY24'!F200</f>
        <v>29952</v>
      </c>
      <c r="D200" s="7">
        <f>'FY25'!F200</f>
        <v>29952</v>
      </c>
      <c r="E200" s="7">
        <f>'FY26'!F200</f>
        <v>29952</v>
      </c>
      <c r="F200" s="7">
        <f>'FY27'!F200</f>
        <v>29952</v>
      </c>
      <c r="G200" s="7">
        <f>'FY28'!F200</f>
        <v>29952</v>
      </c>
    </row>
    <row r="201" spans="1:7" x14ac:dyDescent="0.25">
      <c r="A201" s="62" t="s">
        <v>173</v>
      </c>
      <c r="B201" s="7">
        <f>'FY23'!F201</f>
        <v>55000</v>
      </c>
      <c r="C201" s="7">
        <f>'FY24'!F201</f>
        <v>57500</v>
      </c>
      <c r="D201" s="7">
        <f>'FY25'!F201</f>
        <v>60000</v>
      </c>
      <c r="E201" s="7">
        <f>'FY26'!F201</f>
        <v>62500</v>
      </c>
      <c r="F201" s="7">
        <f>'FY27'!F201</f>
        <v>65000</v>
      </c>
      <c r="G201" s="7">
        <f>'FY28'!F201</f>
        <v>67500</v>
      </c>
    </row>
    <row r="202" spans="1:7" x14ac:dyDescent="0.25">
      <c r="A202" s="62" t="s">
        <v>174</v>
      </c>
      <c r="B202" s="7">
        <f>'FY23'!F202</f>
        <v>11760</v>
      </c>
      <c r="C202" s="7">
        <f>'FY24'!F202</f>
        <v>12112.800000000001</v>
      </c>
      <c r="D202" s="7">
        <f>'FY25'!F202</f>
        <v>12476.184000000001</v>
      </c>
      <c r="E202" s="7">
        <f>'FY26'!F202</f>
        <v>12850.469520000002</v>
      </c>
      <c r="F202" s="7">
        <f>'FY27'!F202</f>
        <v>13235.983605600002</v>
      </c>
      <c r="G202" s="7">
        <f>'FY28'!F202</f>
        <v>13633.063113768003</v>
      </c>
    </row>
    <row r="203" spans="1:7" x14ac:dyDescent="0.25">
      <c r="A203" s="62" t="s">
        <v>175</v>
      </c>
      <c r="B203" s="7">
        <f>'FY23'!F203</f>
        <v>0</v>
      </c>
      <c r="C203" s="7">
        <f>'FY24'!F203</f>
        <v>0</v>
      </c>
      <c r="D203" s="7">
        <f>'FY25'!F203</f>
        <v>0</v>
      </c>
      <c r="E203" s="7">
        <f>'FY26'!F203</f>
        <v>0</v>
      </c>
      <c r="F203" s="7">
        <f>'FY27'!F203</f>
        <v>0</v>
      </c>
      <c r="G203" s="7">
        <f>'FY28'!F203</f>
        <v>0</v>
      </c>
    </row>
    <row r="204" spans="1:7" ht="15.75" thickBot="1" x14ac:dyDescent="0.3">
      <c r="A204" s="62" t="s">
        <v>176</v>
      </c>
      <c r="B204" s="7">
        <f>'FY23'!F204</f>
        <v>13066.2</v>
      </c>
      <c r="C204" s="7">
        <f>'FY24'!F204</f>
        <v>13458.186000000002</v>
      </c>
      <c r="D204" s="7">
        <f>'FY25'!F204</f>
        <v>13861.931580000002</v>
      </c>
      <c r="E204" s="7">
        <f>'FY26'!F204</f>
        <v>14277.789527400002</v>
      </c>
      <c r="F204" s="7">
        <f>'FY27'!F204</f>
        <v>14706.123213222003</v>
      </c>
      <c r="G204" s="7">
        <f>'FY28'!F204</f>
        <v>15147.306909618663</v>
      </c>
    </row>
    <row r="205" spans="1:7" ht="15.75" thickBot="1" x14ac:dyDescent="0.3">
      <c r="A205" s="95" t="s">
        <v>177</v>
      </c>
      <c r="B205" s="90">
        <f>SUM(B194:B204)</f>
        <v>324370.45</v>
      </c>
      <c r="C205" s="90">
        <f>SUM(C194:C204)</f>
        <v>335272.52349999995</v>
      </c>
      <c r="D205" s="90">
        <f>SUM(D194:D204)</f>
        <v>345207.13920500001</v>
      </c>
      <c r="E205" s="90">
        <f t="shared" ref="E205:G205" si="40">SUM(E194:E204)</f>
        <v>355364.79338115</v>
      </c>
      <c r="F205" s="90">
        <f t="shared" si="40"/>
        <v>365752.17718258459</v>
      </c>
      <c r="G205" s="90">
        <f t="shared" si="40"/>
        <v>376376.18249806209</v>
      </c>
    </row>
    <row r="206" spans="1:7" ht="15.75" thickBot="1" x14ac:dyDescent="0.3">
      <c r="A206" s="102"/>
      <c r="B206" s="103"/>
      <c r="C206" s="103"/>
      <c r="D206" s="103"/>
      <c r="E206" s="103"/>
      <c r="F206" s="103"/>
      <c r="G206" s="103"/>
    </row>
    <row r="207" spans="1:7" ht="15.75" thickBot="1" x14ac:dyDescent="0.3">
      <c r="A207" s="95" t="s">
        <v>178</v>
      </c>
      <c r="B207" s="104">
        <f t="shared" ref="B207:G207" si="41">B139+B151+B167+B176+B181+B192+B205</f>
        <v>6236842.6522674076</v>
      </c>
      <c r="C207" s="104">
        <f t="shared" si="41"/>
        <v>6555889.520617242</v>
      </c>
      <c r="D207" s="104">
        <f t="shared" si="41"/>
        <v>6679935.4528701808</v>
      </c>
      <c r="E207" s="104">
        <f t="shared" si="41"/>
        <v>6796971.7491576802</v>
      </c>
      <c r="F207" s="104">
        <f t="shared" si="41"/>
        <v>6923264.2992642503</v>
      </c>
      <c r="G207" s="104">
        <f t="shared" si="41"/>
        <v>7045827.5832962608</v>
      </c>
    </row>
    <row r="208" spans="1:7" x14ac:dyDescent="0.25">
      <c r="A208" s="105"/>
      <c r="B208" s="61"/>
      <c r="C208" s="61"/>
      <c r="D208" s="61"/>
      <c r="E208" s="61"/>
      <c r="F208" s="61"/>
      <c r="G208" s="61"/>
    </row>
    <row r="209" spans="1:7" x14ac:dyDescent="0.25">
      <c r="A209" s="106" t="s">
        <v>179</v>
      </c>
      <c r="B209" s="7">
        <f>'FY23'!F209</f>
        <v>0</v>
      </c>
      <c r="C209" s="7">
        <f>'FY24'!F209</f>
        <v>0</v>
      </c>
      <c r="D209" s="7">
        <f>'FY25'!F209</f>
        <v>0</v>
      </c>
      <c r="E209" s="7">
        <f>'FY26'!F209</f>
        <v>0</v>
      </c>
      <c r="F209" s="7">
        <f>'FY27'!F209</f>
        <v>0</v>
      </c>
      <c r="G209" s="7">
        <f>'FY28'!F209</f>
        <v>0</v>
      </c>
    </row>
    <row r="210" spans="1:7" s="212" customFormat="1" x14ac:dyDescent="0.25">
      <c r="A210" s="210" t="s">
        <v>180</v>
      </c>
      <c r="B210" s="7">
        <f>'FY23'!F210</f>
        <v>861420</v>
      </c>
      <c r="C210" s="7">
        <f>'FY24'!F210</f>
        <v>918333</v>
      </c>
      <c r="D210" s="7">
        <f>'FY25'!F210</f>
        <v>920746</v>
      </c>
      <c r="E210" s="7">
        <f>'FY26'!F210</f>
        <v>922103</v>
      </c>
      <c r="F210" s="7">
        <f>'FY27'!F210</f>
        <v>921500</v>
      </c>
      <c r="G210" s="7">
        <f>'FY28'!F210</f>
        <v>921750</v>
      </c>
    </row>
    <row r="211" spans="1:7" x14ac:dyDescent="0.25">
      <c r="A211" s="210" t="s">
        <v>180</v>
      </c>
      <c r="B211" s="7">
        <f>'FY23'!F211</f>
        <v>0</v>
      </c>
      <c r="C211" s="7">
        <f>'FY24'!F211</f>
        <v>0</v>
      </c>
      <c r="D211" s="7">
        <f>'FY25'!F211</f>
        <v>0</v>
      </c>
      <c r="E211" s="7">
        <f>'FY26'!F211</f>
        <v>0</v>
      </c>
      <c r="F211" s="7">
        <f>'FY27'!F211</f>
        <v>0</v>
      </c>
      <c r="G211" s="7">
        <f>'FY28'!F211</f>
        <v>0</v>
      </c>
    </row>
    <row r="212" spans="1:7" hidden="1" x14ac:dyDescent="0.25">
      <c r="A212" s="210"/>
      <c r="B212" s="7">
        <f>'FY23'!F212</f>
        <v>0</v>
      </c>
      <c r="C212" s="7">
        <f>'FY24'!F212</f>
        <v>0</v>
      </c>
      <c r="D212" s="7">
        <f>'FY25'!F212</f>
        <v>0</v>
      </c>
      <c r="E212" s="7">
        <f>'FY26'!F212</f>
        <v>0</v>
      </c>
      <c r="F212" s="7">
        <f>'FY27'!F212</f>
        <v>0</v>
      </c>
      <c r="G212" s="7">
        <f>'FY28'!F212</f>
        <v>0</v>
      </c>
    </row>
    <row r="213" spans="1:7" hidden="1" x14ac:dyDescent="0.25">
      <c r="A213" s="106"/>
      <c r="B213" s="7">
        <f>'FY23'!F213</f>
        <v>0</v>
      </c>
      <c r="C213" s="7">
        <f>'FY24'!F213</f>
        <v>0</v>
      </c>
      <c r="D213" s="7">
        <f>'FY25'!F213</f>
        <v>0</v>
      </c>
      <c r="E213" s="7">
        <f>'FY26'!F213</f>
        <v>0</v>
      </c>
      <c r="F213" s="7">
        <f>'FY27'!F213</f>
        <v>0</v>
      </c>
      <c r="G213" s="7">
        <f>'FY28'!F213</f>
        <v>0</v>
      </c>
    </row>
    <row r="214" spans="1:7" hidden="1" x14ac:dyDescent="0.25">
      <c r="A214" s="106"/>
      <c r="B214" s="7">
        <f>'FY23'!F214</f>
        <v>0</v>
      </c>
      <c r="C214" s="7">
        <f>'FY24'!F214</f>
        <v>0</v>
      </c>
      <c r="D214" s="7">
        <f>'FY25'!F214</f>
        <v>0</v>
      </c>
      <c r="E214" s="7">
        <f>'FY26'!F214</f>
        <v>0</v>
      </c>
      <c r="F214" s="7">
        <f>'FY27'!F214</f>
        <v>0</v>
      </c>
      <c r="G214" s="7">
        <f>'FY28'!F214</f>
        <v>0</v>
      </c>
    </row>
    <row r="215" spans="1:7" hidden="1" x14ac:dyDescent="0.25">
      <c r="A215" s="106"/>
      <c r="B215" s="7">
        <f>'FY23'!F215</f>
        <v>0</v>
      </c>
      <c r="C215" s="7">
        <f>'FY24'!F215</f>
        <v>0</v>
      </c>
      <c r="D215" s="7">
        <f>'FY25'!F215</f>
        <v>0</v>
      </c>
      <c r="E215" s="7">
        <f>'FY26'!F215</f>
        <v>0</v>
      </c>
      <c r="F215" s="7">
        <f>'FY27'!F215</f>
        <v>0</v>
      </c>
      <c r="G215" s="7">
        <f>'FY28'!F215</f>
        <v>0</v>
      </c>
    </row>
    <row r="216" spans="1:7" x14ac:dyDescent="0.25">
      <c r="A216" s="106" t="s">
        <v>180</v>
      </c>
      <c r="B216" s="7">
        <f>'FY23'!F216</f>
        <v>0</v>
      </c>
      <c r="C216" s="7">
        <f>'FY24'!F216</f>
        <v>0</v>
      </c>
      <c r="D216" s="7">
        <f>'FY25'!F216</f>
        <v>0</v>
      </c>
      <c r="E216" s="7">
        <f>'FY26'!F216</f>
        <v>0</v>
      </c>
      <c r="F216" s="7">
        <f>'FY27'!F216</f>
        <v>0</v>
      </c>
      <c r="G216" s="7">
        <f>'FY28'!F216</f>
        <v>0</v>
      </c>
    </row>
    <row r="217" spans="1:7" x14ac:dyDescent="0.25">
      <c r="A217" s="107" t="s">
        <v>181</v>
      </c>
      <c r="B217" s="7">
        <f>'FY23'!F217</f>
        <v>30000</v>
      </c>
      <c r="C217" s="7">
        <f>'FY24'!F217</f>
        <v>30000</v>
      </c>
      <c r="D217" s="7">
        <f>'FY25'!F217</f>
        <v>30000</v>
      </c>
      <c r="E217" s="7">
        <f>'FY26'!F217</f>
        <v>30000</v>
      </c>
      <c r="F217" s="7">
        <f>'FY27'!F217</f>
        <v>30000</v>
      </c>
      <c r="G217" s="7">
        <f>'FY28'!F217</f>
        <v>30000</v>
      </c>
    </row>
    <row r="218" spans="1:7" x14ac:dyDescent="0.25">
      <c r="A218" s="146"/>
      <c r="B218" s="7"/>
      <c r="C218" s="7">
        <f>'FY24'!AJ218</f>
        <v>0</v>
      </c>
      <c r="D218" s="7">
        <f>'FY25'!AJ218</f>
        <v>0</v>
      </c>
      <c r="E218" s="7">
        <f>'FY26'!AJ218</f>
        <v>0</v>
      </c>
      <c r="F218" s="7">
        <f>'FY27'!AJ218</f>
        <v>0</v>
      </c>
      <c r="G218" s="7">
        <f>'FY28'!AJ218</f>
        <v>0</v>
      </c>
    </row>
    <row r="219" spans="1:7" x14ac:dyDescent="0.25">
      <c r="A219" s="147"/>
      <c r="B219" s="7"/>
      <c r="C219" s="7"/>
      <c r="D219" s="7"/>
      <c r="E219" s="7"/>
      <c r="F219" s="7"/>
      <c r="G219" s="7"/>
    </row>
    <row r="220" spans="1:7" ht="15.75" thickBot="1" x14ac:dyDescent="0.3">
      <c r="A220" s="144" t="s">
        <v>183</v>
      </c>
      <c r="B220" s="145">
        <f>B86-B207-B210-B211-B216-B217</f>
        <v>105668.95373259205</v>
      </c>
      <c r="C220" s="145">
        <f>C86-C207-C209-C210-C211-C216-C217</f>
        <v>123103.4170646267</v>
      </c>
      <c r="D220" s="145">
        <f t="shared" ref="D220:G220" si="42">D86-D207-D209-D210-D211-D216-D217</f>
        <v>86299.344723687507</v>
      </c>
      <c r="E220" s="145">
        <f t="shared" si="42"/>
        <v>64019.152205575258</v>
      </c>
      <c r="F220" s="145">
        <f t="shared" si="42"/>
        <v>35866.531278572977</v>
      </c>
      <c r="G220" s="145">
        <f t="shared" si="42"/>
        <v>20253.462756856345</v>
      </c>
    </row>
    <row r="221" spans="1:7" ht="15.75" thickBot="1" x14ac:dyDescent="0.3">
      <c r="A221" s="108"/>
      <c r="B221" s="110">
        <f>B220/(B86-B76)</f>
        <v>1.4987353982140102E-2</v>
      </c>
      <c r="C221" s="110">
        <f>C220/(C86-C76)</f>
        <v>1.6628299464260962E-2</v>
      </c>
      <c r="D221" s="110">
        <f>D220/(D86-D76)</f>
        <v>1.1517478827883849E-2</v>
      </c>
      <c r="E221" s="110">
        <f>E220/(E86)</f>
        <v>8.1938285925892904E-3</v>
      </c>
      <c r="F221" s="110">
        <f>F220/(F86-F76)</f>
        <v>4.6661401977895686E-3</v>
      </c>
      <c r="G221" s="110">
        <f>G220/(G86-G76)</f>
        <v>2.5986791827571059E-3</v>
      </c>
    </row>
    <row r="222" spans="1:7" x14ac:dyDescent="0.25">
      <c r="B222" s="111"/>
      <c r="C222" s="111"/>
      <c r="D222" s="111"/>
      <c r="E222" s="111"/>
      <c r="F222" s="111"/>
      <c r="G222" s="111"/>
    </row>
    <row r="223" spans="1:7" x14ac:dyDescent="0.25">
      <c r="A223" s="112" t="str">
        <f>A1</f>
        <v>Pinecrest Academy of Nevada - Horizon</v>
      </c>
      <c r="B223" s="112" t="str">
        <f>B1</f>
        <v xml:space="preserve"> FY 23</v>
      </c>
      <c r="C223" s="112" t="str">
        <f>C1</f>
        <v xml:space="preserve"> FY 24</v>
      </c>
      <c r="D223" s="112" t="str">
        <f>D1</f>
        <v xml:space="preserve"> FY 25</v>
      </c>
      <c r="E223" s="112" t="str">
        <f t="shared" ref="E223:G223" si="43">E1</f>
        <v xml:space="preserve"> FY 26</v>
      </c>
      <c r="F223" s="112" t="str">
        <f t="shared" si="43"/>
        <v xml:space="preserve"> FY 27</v>
      </c>
      <c r="G223" s="112" t="str">
        <f t="shared" si="43"/>
        <v xml:space="preserve"> FY 28</v>
      </c>
    </row>
    <row r="224" spans="1:7" x14ac:dyDescent="0.25">
      <c r="B224" s="109"/>
      <c r="C224" s="109"/>
      <c r="D224" s="109"/>
      <c r="E224" s="109"/>
      <c r="F224" s="109"/>
      <c r="G224" s="109"/>
    </row>
    <row r="225" spans="1:7" x14ac:dyDescent="0.25">
      <c r="A225" s="112"/>
      <c r="B225" s="71" t="b">
        <f>B220='FY23'!F220</f>
        <v>1</v>
      </c>
      <c r="C225" s="71" t="b">
        <f>C220='FY24'!F220</f>
        <v>1</v>
      </c>
      <c r="D225" s="71" t="b">
        <f>D220='FY25'!F220</f>
        <v>1</v>
      </c>
      <c r="E225" s="71" t="b">
        <f>E220='FY26'!F220</f>
        <v>1</v>
      </c>
      <c r="F225" s="71" t="b">
        <f>F220='FY27'!F220</f>
        <v>1</v>
      </c>
      <c r="G225" s="71" t="b">
        <f>G220='FY28'!F220</f>
        <v>1</v>
      </c>
    </row>
    <row r="226" spans="1:7" x14ac:dyDescent="0.25">
      <c r="B226" s="109"/>
      <c r="C226" s="109"/>
      <c r="D226" s="109"/>
      <c r="E226" s="109"/>
      <c r="F226" s="109"/>
      <c r="G226" s="109"/>
    </row>
    <row r="228" spans="1:7" x14ac:dyDescent="0.25">
      <c r="A228" s="266" t="s">
        <v>187</v>
      </c>
      <c r="B228" s="267">
        <f>B86-B207</f>
        <v>997088.95373259205</v>
      </c>
      <c r="C228" s="267">
        <f t="shared" ref="C228:G228" si="44">C86-C207</f>
        <v>1071436.4170646267</v>
      </c>
      <c r="D228" s="267">
        <f t="shared" si="44"/>
        <v>1037045.3447236875</v>
      </c>
      <c r="E228" s="267">
        <f t="shared" si="44"/>
        <v>1016122.1522055753</v>
      </c>
      <c r="F228" s="267">
        <f t="shared" si="44"/>
        <v>987366.53127857298</v>
      </c>
      <c r="G228" s="267">
        <f t="shared" si="44"/>
        <v>972003.46275685634</v>
      </c>
    </row>
    <row r="229" spans="1:7" x14ac:dyDescent="0.25">
      <c r="B229" s="268"/>
      <c r="C229" s="268"/>
      <c r="D229" s="268"/>
      <c r="E229" s="268"/>
      <c r="F229" s="268"/>
      <c r="G229" s="268"/>
    </row>
    <row r="230" spans="1:7" x14ac:dyDescent="0.25">
      <c r="A230" t="str">
        <f>A209</f>
        <v>Scheduled Lease Payment</v>
      </c>
      <c r="B230" s="269">
        <f t="shared" ref="B230:G234" si="45">B213</f>
        <v>0</v>
      </c>
      <c r="C230" s="269">
        <f t="shared" ref="C230:G232" si="46">C209</f>
        <v>0</v>
      </c>
      <c r="D230" s="269">
        <f t="shared" si="46"/>
        <v>0</v>
      </c>
      <c r="E230" s="269">
        <f t="shared" si="46"/>
        <v>0</v>
      </c>
      <c r="F230" s="269">
        <f t="shared" si="46"/>
        <v>0</v>
      </c>
      <c r="G230" s="269">
        <f t="shared" si="46"/>
        <v>0</v>
      </c>
    </row>
    <row r="231" spans="1:7" x14ac:dyDescent="0.25">
      <c r="A231" t="s">
        <v>180</v>
      </c>
      <c r="B231" s="269">
        <f>B210</f>
        <v>861420</v>
      </c>
      <c r="C231" s="269">
        <f t="shared" si="46"/>
        <v>918333</v>
      </c>
      <c r="D231" s="269">
        <f t="shared" si="46"/>
        <v>920746</v>
      </c>
      <c r="E231" s="269">
        <f t="shared" si="46"/>
        <v>922103</v>
      </c>
      <c r="F231" s="269">
        <f t="shared" si="46"/>
        <v>921500</v>
      </c>
      <c r="G231" s="269">
        <f t="shared" si="46"/>
        <v>921750</v>
      </c>
    </row>
    <row r="232" spans="1:7" x14ac:dyDescent="0.25">
      <c r="A232" t="s">
        <v>180</v>
      </c>
      <c r="B232" s="269">
        <f>B211</f>
        <v>0</v>
      </c>
      <c r="C232" s="269">
        <f t="shared" si="46"/>
        <v>0</v>
      </c>
      <c r="D232" s="269">
        <f t="shared" si="46"/>
        <v>0</v>
      </c>
      <c r="E232" s="269">
        <f t="shared" si="46"/>
        <v>0</v>
      </c>
      <c r="F232" s="269">
        <f t="shared" si="46"/>
        <v>0</v>
      </c>
      <c r="G232" s="269">
        <f t="shared" si="46"/>
        <v>0</v>
      </c>
    </row>
    <row r="233" spans="1:7" x14ac:dyDescent="0.25">
      <c r="A233" t="s">
        <v>180</v>
      </c>
      <c r="B233" s="269">
        <f t="shared" si="45"/>
        <v>0</v>
      </c>
      <c r="C233" s="269">
        <f t="shared" si="45"/>
        <v>0</v>
      </c>
      <c r="D233" s="269">
        <f t="shared" si="45"/>
        <v>0</v>
      </c>
      <c r="E233" s="269">
        <f t="shared" si="45"/>
        <v>0</v>
      </c>
      <c r="F233" s="269">
        <f t="shared" si="45"/>
        <v>0</v>
      </c>
      <c r="G233" s="269">
        <f t="shared" si="45"/>
        <v>0</v>
      </c>
    </row>
    <row r="234" spans="1:7" x14ac:dyDescent="0.25">
      <c r="B234" s="269">
        <f>B217</f>
        <v>30000</v>
      </c>
      <c r="C234" s="269">
        <f t="shared" si="45"/>
        <v>30000</v>
      </c>
      <c r="D234" s="269">
        <f t="shared" si="45"/>
        <v>30000</v>
      </c>
      <c r="E234" s="269">
        <f t="shared" si="45"/>
        <v>30000</v>
      </c>
      <c r="F234" s="269">
        <f t="shared" si="45"/>
        <v>30000</v>
      </c>
      <c r="G234" s="269">
        <f t="shared" si="45"/>
        <v>30000</v>
      </c>
    </row>
    <row r="235" spans="1:7" x14ac:dyDescent="0.25">
      <c r="A235" s="270" t="s">
        <v>188</v>
      </c>
      <c r="B235" s="271">
        <f t="shared" ref="B235:G235" si="47">SUM(B230:B234)</f>
        <v>891420</v>
      </c>
      <c r="C235" s="271">
        <f t="shared" si="47"/>
        <v>948333</v>
      </c>
      <c r="D235" s="271">
        <f t="shared" si="47"/>
        <v>950746</v>
      </c>
      <c r="E235" s="271">
        <f t="shared" si="47"/>
        <v>952103</v>
      </c>
      <c r="F235" s="271">
        <f t="shared" si="47"/>
        <v>951500</v>
      </c>
      <c r="G235" s="271">
        <f t="shared" si="47"/>
        <v>951750</v>
      </c>
    </row>
    <row r="236" spans="1:7" x14ac:dyDescent="0.25">
      <c r="B236" s="268"/>
      <c r="C236" s="268"/>
      <c r="D236" s="268"/>
      <c r="E236" s="268"/>
      <c r="F236" s="268"/>
      <c r="G236" s="268"/>
    </row>
    <row r="237" spans="1:7" x14ac:dyDescent="0.25">
      <c r="A237" s="266" t="s">
        <v>189</v>
      </c>
      <c r="B237" s="272">
        <f t="shared" ref="B237:G237" si="48">B228/B235</f>
        <v>1.1185400302131341</v>
      </c>
      <c r="C237" s="272">
        <f t="shared" si="48"/>
        <v>1.1298103272422522</v>
      </c>
      <c r="D237" s="272">
        <f t="shared" si="48"/>
        <v>1.0907701370541527</v>
      </c>
      <c r="E237" s="272">
        <f t="shared" si="48"/>
        <v>1.0672397337321438</v>
      </c>
      <c r="F237" s="272">
        <f t="shared" si="48"/>
        <v>1.0376947254635553</v>
      </c>
      <c r="G237" s="272">
        <f t="shared" si="48"/>
        <v>1.0212802340497571</v>
      </c>
    </row>
    <row r="238" spans="1:7" x14ac:dyDescent="0.25">
      <c r="B238" s="268"/>
      <c r="C238" s="268"/>
      <c r="D238" s="268"/>
      <c r="E238" s="268"/>
      <c r="F238" s="268"/>
      <c r="G238" s="268"/>
    </row>
    <row r="239" spans="1:7" x14ac:dyDescent="0.25">
      <c r="A239" s="273" t="s">
        <v>190</v>
      </c>
      <c r="B239" s="273"/>
      <c r="C239" s="273"/>
      <c r="D239" s="273"/>
      <c r="E239" s="273"/>
      <c r="F239" s="273"/>
      <c r="G239" s="273"/>
    </row>
    <row r="240" spans="1:7" x14ac:dyDescent="0.25">
      <c r="A240" t="s">
        <v>298</v>
      </c>
      <c r="B240" s="274">
        <v>15437921</v>
      </c>
      <c r="C240" s="274">
        <f t="shared" ref="C240:G240" si="49">B243</f>
        <v>15543589.953732591</v>
      </c>
      <c r="D240" s="274">
        <f t="shared" si="49"/>
        <v>15666693.370797217</v>
      </c>
      <c r="E240" s="274">
        <f t="shared" si="49"/>
        <v>15752992.715520903</v>
      </c>
      <c r="F240" s="274">
        <f t="shared" si="49"/>
        <v>15817011.867726479</v>
      </c>
      <c r="G240" s="274">
        <f t="shared" si="49"/>
        <v>15852878.399005052</v>
      </c>
    </row>
    <row r="241" spans="1:9" x14ac:dyDescent="0.25">
      <c r="A241" s="268" t="s">
        <v>192</v>
      </c>
      <c r="B241" s="275">
        <v>0</v>
      </c>
      <c r="C241" s="275">
        <v>0</v>
      </c>
      <c r="D241" s="275">
        <v>0</v>
      </c>
      <c r="E241" s="275">
        <v>0</v>
      </c>
      <c r="F241" s="275">
        <v>0</v>
      </c>
      <c r="G241" s="275">
        <v>0</v>
      </c>
    </row>
    <row r="242" spans="1:9" x14ac:dyDescent="0.25">
      <c r="A242" s="268" t="s">
        <v>193</v>
      </c>
      <c r="B242" s="275">
        <f t="shared" ref="B242:G242" si="50">B220</f>
        <v>105668.95373259205</v>
      </c>
      <c r="C242" s="275">
        <f t="shared" si="50"/>
        <v>123103.4170646267</v>
      </c>
      <c r="D242" s="275">
        <f t="shared" si="50"/>
        <v>86299.344723687507</v>
      </c>
      <c r="E242" s="275">
        <f t="shared" si="50"/>
        <v>64019.152205575258</v>
      </c>
      <c r="F242" s="275">
        <f t="shared" si="50"/>
        <v>35866.531278572977</v>
      </c>
      <c r="G242" s="275">
        <f t="shared" si="50"/>
        <v>20253.462756856345</v>
      </c>
    </row>
    <row r="243" spans="1:9" x14ac:dyDescent="0.25">
      <c r="A243" s="276" t="s">
        <v>194</v>
      </c>
      <c r="B243" s="277">
        <f>B240+B241+B242</f>
        <v>15543589.953732591</v>
      </c>
      <c r="C243" s="277">
        <f t="shared" ref="C243:G243" si="51">C240+C241+C242</f>
        <v>15666693.370797217</v>
      </c>
      <c r="D243" s="277">
        <f t="shared" si="51"/>
        <v>15752992.715520903</v>
      </c>
      <c r="E243" s="277">
        <f t="shared" si="51"/>
        <v>15817011.867726479</v>
      </c>
      <c r="F243" s="277">
        <f t="shared" si="51"/>
        <v>15852878.399005052</v>
      </c>
      <c r="G243" s="277">
        <f t="shared" si="51"/>
        <v>15873131.861761909</v>
      </c>
    </row>
    <row r="244" spans="1:9" x14ac:dyDescent="0.25">
      <c r="A244" s="266" t="s">
        <v>195</v>
      </c>
      <c r="B244" s="272">
        <f t="shared" ref="B244:G244" si="52">B243/((SUM(B207:B218))/365)</f>
        <v>795.90365982204059</v>
      </c>
      <c r="C244" s="272">
        <f t="shared" si="52"/>
        <v>762.01672653366836</v>
      </c>
      <c r="D244" s="272">
        <f t="shared" si="52"/>
        <v>753.51623268225956</v>
      </c>
      <c r="E244" s="272">
        <f t="shared" si="52"/>
        <v>745.01918210915551</v>
      </c>
      <c r="F244" s="272">
        <f t="shared" si="52"/>
        <v>734.79032460406029</v>
      </c>
      <c r="G244" s="272">
        <f t="shared" si="52"/>
        <v>724.43100041240029</v>
      </c>
    </row>
    <row r="245" spans="1:9" x14ac:dyDescent="0.25">
      <c r="B245" s="109"/>
      <c r="C245" s="109"/>
      <c r="D245" s="109"/>
      <c r="E245" s="109"/>
      <c r="F245" s="109"/>
      <c r="G245" s="109"/>
    </row>
    <row r="246" spans="1:9" x14ac:dyDescent="0.25">
      <c r="B246" s="109"/>
      <c r="C246" s="278"/>
      <c r="D246" s="278"/>
      <c r="E246" s="278"/>
      <c r="F246" s="278"/>
      <c r="G246" s="278"/>
      <c r="I246" s="112" t="s">
        <v>265</v>
      </c>
    </row>
    <row r="247" spans="1:9" x14ac:dyDescent="0.25">
      <c r="A247" s="137" t="s">
        <v>266</v>
      </c>
      <c r="B247" s="278">
        <f>B129/SUM(B207:B217)</f>
        <v>0.4194509806275073</v>
      </c>
      <c r="C247" s="278">
        <f t="shared" ref="C247:G247" si="53">C129/SUM(C207:C217)</f>
        <v>0.41279668031518935</v>
      </c>
      <c r="D247" s="278">
        <f t="shared" si="53"/>
        <v>0.41407031957361673</v>
      </c>
      <c r="E247" s="278">
        <f t="shared" si="53"/>
        <v>0.4157698030025746</v>
      </c>
      <c r="F247" s="278">
        <f t="shared" si="53"/>
        <v>0.41735551473645677</v>
      </c>
      <c r="G247" s="278">
        <f t="shared" si="53"/>
        <v>0.41907743923595298</v>
      </c>
      <c r="I247" s="279">
        <f t="shared" ref="I247:I256" si="54">AVERAGE(B247:G247)</f>
        <v>0.4164201229152163</v>
      </c>
    </row>
    <row r="248" spans="1:9" x14ac:dyDescent="0.25">
      <c r="A248" s="137" t="s">
        <v>267</v>
      </c>
      <c r="B248" s="278">
        <f>SUM(B130:B134)/SUM(B207:B217)</f>
        <v>0.2029845442273594</v>
      </c>
      <c r="C248" s="278">
        <f t="shared" ref="C248:G248" si="55">SUM(C130:C134)/SUM(C207:C217)</f>
        <v>0.20581771261792378</v>
      </c>
      <c r="D248" s="278">
        <f t="shared" si="55"/>
        <v>0.20731675008227313</v>
      </c>
      <c r="E248" s="278">
        <f t="shared" si="55"/>
        <v>0.20904109793203635</v>
      </c>
      <c r="F248" s="278">
        <f t="shared" si="55"/>
        <v>0.21071500632922691</v>
      </c>
      <c r="G248" s="278">
        <f t="shared" si="55"/>
        <v>0.2124704130694707</v>
      </c>
      <c r="I248" s="279">
        <f t="shared" si="54"/>
        <v>0.20805758737638172</v>
      </c>
    </row>
    <row r="249" spans="1:9" x14ac:dyDescent="0.25">
      <c r="A249" s="137" t="s">
        <v>129</v>
      </c>
      <c r="B249" s="278">
        <f t="shared" ref="B249" si="56">B158/SUM(B207:B217)</f>
        <v>2.3848728405921633E-3</v>
      </c>
      <c r="C249" s="278">
        <f t="shared" ref="C249:G249" si="57">C158/SUM(C207:C217)</f>
        <v>2.2973732392175873E-3</v>
      </c>
      <c r="D249" s="278">
        <f t="shared" si="57"/>
        <v>2.2593001826220122E-3</v>
      </c>
      <c r="E249" s="278">
        <f t="shared" si="57"/>
        <v>2.2247817395068975E-3</v>
      </c>
      <c r="F249" s="278">
        <f t="shared" si="57"/>
        <v>2.1892718746656017E-3</v>
      </c>
      <c r="G249" s="278">
        <f t="shared" si="57"/>
        <v>2.1556527361494388E-3</v>
      </c>
      <c r="I249" s="279">
        <f t="shared" si="54"/>
        <v>2.2518754354589501E-3</v>
      </c>
    </row>
    <row r="250" spans="1:9" x14ac:dyDescent="0.25">
      <c r="A250" s="137" t="s">
        <v>268</v>
      </c>
      <c r="B250" s="278">
        <f>(B142+B155+B156+B157+B164+B165)/SUM(B207:B217)</f>
        <v>6.5950722207249596E-2</v>
      </c>
      <c r="C250" s="278">
        <f t="shared" ref="C250:G250" si="58">(C142+C155+C156+C157+C164+C165)/SUM(C207:C217)</f>
        <v>6.5343197232331993E-2</v>
      </c>
      <c r="D250" s="278">
        <f t="shared" si="58"/>
        <v>6.437810880630368E-2</v>
      </c>
      <c r="E250" s="278">
        <f t="shared" si="58"/>
        <v>6.3512031010350745E-2</v>
      </c>
      <c r="F250" s="278">
        <f t="shared" si="58"/>
        <v>6.2615454916042146E-2</v>
      </c>
      <c r="G250" s="278">
        <f t="shared" si="58"/>
        <v>6.1770756100354304E-2</v>
      </c>
      <c r="I250" s="279">
        <f t="shared" si="54"/>
        <v>6.3928378378772077E-2</v>
      </c>
    </row>
    <row r="251" spans="1:9" x14ac:dyDescent="0.25">
      <c r="A251" s="137" t="s">
        <v>269</v>
      </c>
      <c r="B251" s="278">
        <f>(B154+B153+B137)/SUM(B207:B217)</f>
        <v>4.7854016699496259E-2</v>
      </c>
      <c r="C251" s="278">
        <f t="shared" ref="C251:G251" si="59">(C154+C153+C137)/SUM(C207:C217)</f>
        <v>4.7205423216962764E-2</v>
      </c>
      <c r="D251" s="278">
        <f t="shared" si="59"/>
        <v>4.7070848418773681E-2</v>
      </c>
      <c r="E251" s="278">
        <f t="shared" si="59"/>
        <v>4.6386593385109927E-2</v>
      </c>
      <c r="F251" s="278">
        <f t="shared" si="59"/>
        <v>4.6275902495144836E-2</v>
      </c>
      <c r="G251" s="278">
        <f t="shared" si="59"/>
        <v>4.5565275371146192E-2</v>
      </c>
      <c r="I251" s="279">
        <f t="shared" si="54"/>
        <v>4.672634326443894E-2</v>
      </c>
    </row>
    <row r="252" spans="1:9" x14ac:dyDescent="0.25">
      <c r="A252" s="137" t="s">
        <v>270</v>
      </c>
      <c r="B252" s="278">
        <f>(B174+B143+B144)/SUM(B207:B217)</f>
        <v>4.082341156543056E-3</v>
      </c>
      <c r="C252" s="278">
        <f t="shared" ref="C252:G252" si="60">(C174+C143+C144)/SUM(C207:C217)</f>
        <v>5.0798067215182376E-3</v>
      </c>
      <c r="D252" s="278">
        <f t="shared" si="60"/>
        <v>5.9345682662413747E-3</v>
      </c>
      <c r="E252" s="278">
        <f t="shared" si="60"/>
        <v>6.0002249952556081E-3</v>
      </c>
      <c r="F252" s="278">
        <f t="shared" si="60"/>
        <v>6.0644405172180088E-3</v>
      </c>
      <c r="G252" s="278">
        <f t="shared" si="60"/>
        <v>6.1351428924778205E-3</v>
      </c>
      <c r="I252" s="279">
        <f t="shared" si="54"/>
        <v>5.5494207582090184E-3</v>
      </c>
    </row>
    <row r="253" spans="1:9" x14ac:dyDescent="0.25">
      <c r="A253" s="137" t="s">
        <v>112</v>
      </c>
      <c r="B253" s="278">
        <f>(B141+B145+B146+B147+B148+B149)/SUM(B207:B217)</f>
        <v>2.5780826123395488E-2</v>
      </c>
      <c r="C253" s="278">
        <f t="shared" ref="C253:G253" si="61">(C141+C145+C146+C147+C148+C149)/SUM(C207:C217)</f>
        <v>2.6744408897686048E-2</v>
      </c>
      <c r="D253" s="278">
        <f t="shared" si="61"/>
        <v>2.6301189060267037E-2</v>
      </c>
      <c r="E253" s="278">
        <f t="shared" si="61"/>
        <v>2.5899349541366513E-2</v>
      </c>
      <c r="F253" s="278">
        <f t="shared" si="61"/>
        <v>2.5485968585670947E-2</v>
      </c>
      <c r="G253" s="278">
        <f t="shared" si="61"/>
        <v>2.5094598140540131E-2</v>
      </c>
      <c r="I253" s="279">
        <f t="shared" si="54"/>
        <v>2.588439005815436E-2</v>
      </c>
    </row>
    <row r="254" spans="1:9" x14ac:dyDescent="0.25">
      <c r="A254" s="137" t="s">
        <v>271</v>
      </c>
      <c r="B254" s="278">
        <f>(B181)/SUM(B207:B217)</f>
        <v>4.4751437420523545E-3</v>
      </c>
      <c r="C254" s="278">
        <f t="shared" ref="C254:G254" si="62">(C181)/SUM(C207:C217)</f>
        <v>4.5059964449479994E-3</v>
      </c>
      <c r="D254" s="278">
        <f t="shared" si="62"/>
        <v>4.6972004035783976E-3</v>
      </c>
      <c r="E254" s="278">
        <f t="shared" si="62"/>
        <v>4.9029608862825678E-3</v>
      </c>
      <c r="F254" s="278">
        <f t="shared" si="62"/>
        <v>5.1141867227394687E-3</v>
      </c>
      <c r="G254" s="278">
        <f t="shared" si="62"/>
        <v>5.3377907848747947E-3</v>
      </c>
      <c r="I254" s="279">
        <f t="shared" si="54"/>
        <v>4.8388798307459312E-3</v>
      </c>
    </row>
    <row r="255" spans="1:9" x14ac:dyDescent="0.25">
      <c r="A255" s="137" t="s">
        <v>272</v>
      </c>
      <c r="B255" s="278">
        <f>(B205+B210+B211+B216+B217)/SUM(B207:B217)</f>
        <v>0.17055915435625438</v>
      </c>
      <c r="C255" s="278">
        <f t="shared" ref="C255:G255" si="63">(C205+C210+C211+C216+C217)/SUM(C207:C217)</f>
        <v>0.17105110089331679</v>
      </c>
      <c r="D255" s="278">
        <f t="shared" si="63"/>
        <v>0.16983452227815696</v>
      </c>
      <c r="E255" s="278">
        <f t="shared" si="63"/>
        <v>0.16872566541228304</v>
      </c>
      <c r="F255" s="278">
        <f t="shared" si="63"/>
        <v>0.16727512432412195</v>
      </c>
      <c r="G255" s="278">
        <f t="shared" si="63"/>
        <v>0.16606605796134896</v>
      </c>
      <c r="I255" s="279">
        <f t="shared" si="54"/>
        <v>0.16891860420424701</v>
      </c>
    </row>
    <row r="256" spans="1:9" x14ac:dyDescent="0.25">
      <c r="A256" s="137" t="s">
        <v>4</v>
      </c>
      <c r="B256" s="278">
        <f t="shared" ref="B256" si="64">(B183)/SUM(B207:B217)</f>
        <v>2.4029877314567589E-2</v>
      </c>
      <c r="C256" s="278">
        <f t="shared" ref="C256:G256" si="65">(C183)/SUM(C207:C217)</f>
        <v>2.703418767802122E-2</v>
      </c>
      <c r="D256" s="278">
        <f t="shared" si="65"/>
        <v>2.6586165502124701E-2</v>
      </c>
      <c r="E256" s="278">
        <f t="shared" si="65"/>
        <v>2.6179972005309655E-2</v>
      </c>
      <c r="F256" s="278">
        <f t="shared" si="65"/>
        <v>2.5762112018889817E-2</v>
      </c>
      <c r="G256" s="278">
        <f t="shared" si="65"/>
        <v>2.5366501029476154E-2</v>
      </c>
      <c r="I256" s="279">
        <f t="shared" si="54"/>
        <v>2.5826469258064855E-2</v>
      </c>
    </row>
    <row r="257" spans="1:9" x14ac:dyDescent="0.25">
      <c r="A257" s="137" t="s">
        <v>273</v>
      </c>
      <c r="B257" s="278">
        <f>(B150)/SUM(B207:B217)</f>
        <v>0</v>
      </c>
      <c r="C257" s="278">
        <f t="shared" ref="C257:G257" si="66">(C150)/SUM(C207:C217)</f>
        <v>0</v>
      </c>
      <c r="D257" s="278">
        <f t="shared" si="66"/>
        <v>0</v>
      </c>
      <c r="E257" s="278">
        <f t="shared" si="66"/>
        <v>0</v>
      </c>
      <c r="F257" s="278">
        <f t="shared" si="66"/>
        <v>0</v>
      </c>
      <c r="G257" s="278">
        <f t="shared" si="66"/>
        <v>0</v>
      </c>
      <c r="I257" s="279">
        <f>AVERAGE(B257:G257)</f>
        <v>0</v>
      </c>
    </row>
    <row r="258" spans="1:9" x14ac:dyDescent="0.25">
      <c r="A258" s="137" t="s">
        <v>274</v>
      </c>
      <c r="B258" s="278">
        <f>B185/SUM(B207:B217)</f>
        <v>2.8057327536378391E-4</v>
      </c>
      <c r="C258" s="278">
        <f t="shared" ref="C258:G258" si="67">C185/SUM(C207:C217)</f>
        <v>2.6651661707860637E-4</v>
      </c>
      <c r="D258" s="278">
        <f t="shared" si="67"/>
        <v>2.6209978916728676E-4</v>
      </c>
      <c r="E258" s="278">
        <f t="shared" si="67"/>
        <v>2.5809532940915286E-4</v>
      </c>
      <c r="F258" s="278">
        <f t="shared" si="67"/>
        <v>2.539758555296522E-4</v>
      </c>
      <c r="G258" s="278">
        <f t="shared" si="67"/>
        <v>2.5007572345121099E-4</v>
      </c>
      <c r="I258" s="279">
        <f>AVERAGE(B258:G258)</f>
        <v>2.6188943166661555E-4</v>
      </c>
    </row>
    <row r="259" spans="1:9" x14ac:dyDescent="0.25">
      <c r="A259" s="137" t="s">
        <v>275</v>
      </c>
      <c r="B259" s="278">
        <f>(B159+B160)/SUM(B207:B217)</f>
        <v>2.3498011811716904E-3</v>
      </c>
      <c r="C259" s="278">
        <f t="shared" ref="C259:G259" si="68">(C159+C160)/SUM(C207:C217)</f>
        <v>2.3779945158838656E-3</v>
      </c>
      <c r="D259" s="278">
        <f t="shared" si="68"/>
        <v>2.3851539488854139E-3</v>
      </c>
      <c r="E259" s="278">
        <f t="shared" si="68"/>
        <v>2.3959454645882923E-3</v>
      </c>
      <c r="F259" s="278">
        <f t="shared" si="68"/>
        <v>2.4055769284129433E-3</v>
      </c>
      <c r="G259" s="278">
        <f t="shared" si="68"/>
        <v>2.4171884115042641E-3</v>
      </c>
      <c r="I259" s="279">
        <f>AVERAGE(B259:G259)</f>
        <v>2.3886100750744117E-3</v>
      </c>
    </row>
    <row r="260" spans="1:9" x14ac:dyDescent="0.25">
      <c r="A260" s="137" t="s">
        <v>276</v>
      </c>
      <c r="B260" s="278">
        <f>(B161+B162+B169+B170+B171+B173+B175)/SUM(B207:B217)</f>
        <v>1.0022428112588567E-2</v>
      </c>
      <c r="C260" s="278">
        <f t="shared" ref="C260:G260" si="69">(C161+C162+C169+C170+C171+C173+C175)/SUM(C207:C217)</f>
        <v>1.0350056223227707E-2</v>
      </c>
      <c r="D260" s="278">
        <f t="shared" si="69"/>
        <v>9.9439924492535255E-3</v>
      </c>
      <c r="E260" s="278">
        <f t="shared" si="69"/>
        <v>9.8864786303458456E-3</v>
      </c>
      <c r="F260" s="278">
        <f t="shared" si="69"/>
        <v>9.8243745247211123E-3</v>
      </c>
      <c r="G260" s="278">
        <f t="shared" si="69"/>
        <v>9.7705601438835867E-3</v>
      </c>
      <c r="I260" s="279">
        <f>AVERAGE(B260:G260)</f>
        <v>9.9663150140033904E-3</v>
      </c>
    </row>
    <row r="261" spans="1:9" x14ac:dyDescent="0.25">
      <c r="A261" s="137" t="s">
        <v>153</v>
      </c>
      <c r="B261" s="278">
        <f>(B163+B172+B184+B186+B187+B189+B191+B136+B190)/SUM(B207:B217)</f>
        <v>1.5743941472793805E-2</v>
      </c>
      <c r="C261" s="278">
        <f t="shared" ref="C261:G261" si="70">(C163+C172+C184+C186+C187+C189+C191+C136+C190)/SUM(C207:C217)</f>
        <v>1.5215082573352131E-2</v>
      </c>
      <c r="D261" s="278">
        <f t="shared" si="70"/>
        <v>1.511019058534163E-2</v>
      </c>
      <c r="E261" s="278">
        <f t="shared" si="70"/>
        <v>1.5026225514883898E-2</v>
      </c>
      <c r="F261" s="278">
        <f t="shared" si="70"/>
        <v>1.4932819793068023E-2</v>
      </c>
      <c r="G261" s="278">
        <f t="shared" si="70"/>
        <v>1.4849561211179897E-2</v>
      </c>
      <c r="I261" s="279">
        <f>AVERAGE(B261:G261)</f>
        <v>1.514630352510323E-2</v>
      </c>
    </row>
    <row r="263" spans="1:9" x14ac:dyDescent="0.25">
      <c r="B263" s="279">
        <f>SUM(B247:B262)</f>
        <v>0.99594922333693559</v>
      </c>
      <c r="C263" s="279">
        <f>SUM(C247:C262)</f>
        <v>0.99608553718665804</v>
      </c>
      <c r="D263" s="279">
        <f>SUM(D247:D262)</f>
        <v>0.99615040934660526</v>
      </c>
      <c r="E263" s="279">
        <f t="shared" ref="E263:G263" si="71">SUM(E247:E262)</f>
        <v>0.9962092248493033</v>
      </c>
      <c r="F263" s="279">
        <f t="shared" si="71"/>
        <v>0.99626972962190796</v>
      </c>
      <c r="G263" s="279">
        <f t="shared" si="71"/>
        <v>0.99632701281181058</v>
      </c>
      <c r="I263" s="279">
        <f t="shared" ref="I263" si="72">SUM(I247:I262)</f>
        <v>0.99616518952553668</v>
      </c>
    </row>
    <row r="266" spans="1:9" x14ac:dyDescent="0.25">
      <c r="B266" s="155"/>
    </row>
  </sheetData>
  <pageMargins left="0.7" right="0.7" top="0.75" bottom="0.75" header="0.3" footer="0.3"/>
  <pageSetup scale="58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66"/>
  <sheetViews>
    <sheetView topLeftCell="A167" zoomScale="75" zoomScaleNormal="75" workbookViewId="0">
      <pane xSplit="1" topLeftCell="B1" activePane="topRight" state="frozen"/>
      <selection pane="topRight" activeCell="M35" sqref="M35"/>
    </sheetView>
  </sheetViews>
  <sheetFormatPr defaultRowHeight="15" x14ac:dyDescent="0.25"/>
  <cols>
    <col min="1" max="1" width="50.140625" bestFit="1" customWidth="1"/>
    <col min="2" max="2" width="16.42578125" customWidth="1"/>
    <col min="3" max="3" width="14.85546875" customWidth="1"/>
    <col min="4" max="4" width="16.42578125" customWidth="1"/>
    <col min="5" max="7" width="14.85546875" customWidth="1"/>
    <col min="10" max="10" width="9.5703125" customWidth="1"/>
  </cols>
  <sheetData>
    <row r="1" spans="1:14" x14ac:dyDescent="0.25">
      <c r="A1" s="1" t="s">
        <v>299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25">
      <c r="A2" s="6" t="s">
        <v>7</v>
      </c>
      <c r="B2" s="7">
        <f>'FY23'!L2</f>
        <v>7293</v>
      </c>
      <c r="C2" s="7">
        <f>'FY24'!L2</f>
        <v>7387.8089999999993</v>
      </c>
      <c r="D2" s="7">
        <f>'FY25'!L2</f>
        <v>7483.8505169999989</v>
      </c>
      <c r="E2" s="7">
        <f>'FY26'!L2</f>
        <v>7581.140573720998</v>
      </c>
      <c r="F2" s="7">
        <f>'FY27'!L2</f>
        <v>7679.6954011793705</v>
      </c>
      <c r="G2" s="7">
        <f>'FY28'!L2</f>
        <v>7779.5314413947017</v>
      </c>
      <c r="J2" s="157">
        <f>(C2-B2)/B2</f>
        <v>1.2999999999999902E-2</v>
      </c>
      <c r="K2" s="157">
        <f t="shared" ref="K2:N2" si="0">(D2-C2)/C2</f>
        <v>1.2999999999999954E-2</v>
      </c>
      <c r="L2" s="157">
        <f t="shared" si="0"/>
        <v>1.2999999999999871E-2</v>
      </c>
      <c r="M2" s="157">
        <f t="shared" si="0"/>
        <v>1.2999999999999942E-2</v>
      </c>
      <c r="N2" s="157">
        <f t="shared" si="0"/>
        <v>1.299999999999992E-2</v>
      </c>
    </row>
    <row r="3" spans="1:14" hidden="1" x14ac:dyDescent="0.25">
      <c r="A3" s="8"/>
      <c r="B3" s="7">
        <f>'FY23'!AV3</f>
        <v>0</v>
      </c>
      <c r="C3" s="7">
        <f>'FY24'!BB3</f>
        <v>0</v>
      </c>
      <c r="D3" s="7">
        <f>'FY25'!BB3</f>
        <v>0</v>
      </c>
      <c r="E3" s="7">
        <f>'FY26'!BB3</f>
        <v>0</v>
      </c>
      <c r="F3" s="7">
        <f>'FY27'!BB3</f>
        <v>0</v>
      </c>
      <c r="G3" s="7">
        <f>'FY27'!BC3</f>
        <v>0</v>
      </c>
    </row>
    <row r="4" spans="1:14" hidden="1" x14ac:dyDescent="0.25">
      <c r="A4" s="8"/>
      <c r="B4" s="7">
        <f>'FY23'!AV4</f>
        <v>0</v>
      </c>
      <c r="C4" s="7">
        <f>'FY24'!BB4</f>
        <v>0</v>
      </c>
      <c r="D4" s="7">
        <f>'FY25'!BB4</f>
        <v>0</v>
      </c>
      <c r="E4" s="7">
        <f>'FY26'!BB4</f>
        <v>0</v>
      </c>
      <c r="F4" s="7">
        <f>'FY27'!BB4</f>
        <v>0</v>
      </c>
      <c r="G4" s="7">
        <f>'FY27'!BC4</f>
        <v>0</v>
      </c>
    </row>
    <row r="5" spans="1:14" x14ac:dyDescent="0.25">
      <c r="A5" s="8" t="s">
        <v>8</v>
      </c>
      <c r="B5" s="9">
        <f>B6+B7+B8+B9+B10+B11+B12+B13+B14+B15+B16+B17+B18</f>
        <v>2244</v>
      </c>
      <c r="C5" s="9">
        <f t="shared" ref="C5:G5" si="1">C6+C7+C8+C9+C10+C11+C12+C13+C14+C15+C16+C17+C18</f>
        <v>2379</v>
      </c>
      <c r="D5" s="9">
        <f t="shared" si="1"/>
        <v>2419</v>
      </c>
      <c r="E5" s="9">
        <f t="shared" si="1"/>
        <v>2444</v>
      </c>
      <c r="F5" s="9">
        <f t="shared" si="1"/>
        <v>2454</v>
      </c>
      <c r="G5" s="9">
        <f t="shared" si="1"/>
        <v>2454</v>
      </c>
    </row>
    <row r="6" spans="1:14" x14ac:dyDescent="0.25">
      <c r="A6" s="10" t="s">
        <v>9</v>
      </c>
      <c r="B6" s="11">
        <f>'FY23'!L6</f>
        <v>125</v>
      </c>
      <c r="C6" s="11">
        <f>'FY24'!L6</f>
        <v>125</v>
      </c>
      <c r="D6" s="11">
        <f>'FY25'!L6</f>
        <v>125</v>
      </c>
      <c r="E6" s="11">
        <f>'FY26'!L6</f>
        <v>125</v>
      </c>
      <c r="F6" s="94">
        <f>'FY27'!L6</f>
        <v>125</v>
      </c>
      <c r="G6" s="94">
        <f>'FY28'!L6</f>
        <v>125</v>
      </c>
      <c r="I6" s="155">
        <f>'FY23'!M6</f>
        <v>5</v>
      </c>
      <c r="J6" s="327">
        <f>'FY24'!M6</f>
        <v>5</v>
      </c>
      <c r="K6" s="327">
        <f>'FY25'!M6</f>
        <v>5</v>
      </c>
      <c r="L6" s="327">
        <f>'FY26'!M6</f>
        <v>5</v>
      </c>
      <c r="M6" s="327">
        <f>'FY27'!M6</f>
        <v>5</v>
      </c>
      <c r="N6" s="327">
        <f>'FY28'!M6</f>
        <v>5</v>
      </c>
    </row>
    <row r="7" spans="1:14" x14ac:dyDescent="0.25">
      <c r="A7" s="12" t="s">
        <v>10</v>
      </c>
      <c r="B7" s="11">
        <f>'FY23'!L7</f>
        <v>130</v>
      </c>
      <c r="C7" s="11">
        <f>'FY24'!L7</f>
        <v>130</v>
      </c>
      <c r="D7" s="11">
        <f>'FY25'!L7</f>
        <v>130</v>
      </c>
      <c r="E7" s="11">
        <f>'FY26'!L7</f>
        <v>130</v>
      </c>
      <c r="F7" s="94">
        <f>'FY27'!L7</f>
        <v>130</v>
      </c>
      <c r="G7" s="94">
        <f>'FY28'!L7</f>
        <v>130</v>
      </c>
      <c r="I7" s="155">
        <f>'FY23'!M7</f>
        <v>5</v>
      </c>
      <c r="J7" s="327">
        <f>'FY24'!M7</f>
        <v>5</v>
      </c>
      <c r="K7" s="327">
        <f>'FY25'!M7</f>
        <v>5</v>
      </c>
      <c r="L7" s="327">
        <f>'FY26'!M7</f>
        <v>5</v>
      </c>
      <c r="M7" s="327">
        <f>'FY27'!M7</f>
        <v>5</v>
      </c>
      <c r="N7" s="327">
        <f>'FY28'!M7</f>
        <v>5</v>
      </c>
    </row>
    <row r="8" spans="1:14" x14ac:dyDescent="0.25">
      <c r="A8" s="12" t="s">
        <v>11</v>
      </c>
      <c r="B8" s="11">
        <f>'FY23'!L8</f>
        <v>135</v>
      </c>
      <c r="C8" s="11">
        <f>'FY24'!L8</f>
        <v>135</v>
      </c>
      <c r="D8" s="11">
        <f>'FY25'!L8</f>
        <v>135</v>
      </c>
      <c r="E8" s="11">
        <f>'FY26'!L8</f>
        <v>135</v>
      </c>
      <c r="F8" s="94">
        <f>'FY27'!L8</f>
        <v>135</v>
      </c>
      <c r="G8" s="94">
        <f>'FY28'!L8</f>
        <v>135</v>
      </c>
      <c r="I8" s="155">
        <f>'FY23'!M8</f>
        <v>5</v>
      </c>
      <c r="J8" s="327">
        <f>'FY24'!M8</f>
        <v>5</v>
      </c>
      <c r="K8" s="327">
        <f>'FY25'!M8</f>
        <v>5</v>
      </c>
      <c r="L8" s="327">
        <f>'FY26'!M8</f>
        <v>5</v>
      </c>
      <c r="M8" s="327">
        <f>'FY27'!M8</f>
        <v>5</v>
      </c>
      <c r="N8" s="327">
        <f>'FY28'!M8</f>
        <v>5</v>
      </c>
    </row>
    <row r="9" spans="1:14" x14ac:dyDescent="0.25">
      <c r="A9" s="13" t="s">
        <v>12</v>
      </c>
      <c r="B9" s="11">
        <f>'FY23'!L9</f>
        <v>135</v>
      </c>
      <c r="C9" s="11">
        <f>'FY24'!L9</f>
        <v>135</v>
      </c>
      <c r="D9" s="11">
        <f>'FY25'!L9</f>
        <v>135</v>
      </c>
      <c r="E9" s="11">
        <f>'FY26'!L9</f>
        <v>135</v>
      </c>
      <c r="F9" s="94">
        <f>'FY27'!L9</f>
        <v>135</v>
      </c>
      <c r="G9" s="94">
        <f>'FY28'!L9</f>
        <v>135</v>
      </c>
      <c r="I9" s="155">
        <f>'FY23'!M9</f>
        <v>5</v>
      </c>
      <c r="J9" s="327">
        <f>'FY24'!M9</f>
        <v>5</v>
      </c>
      <c r="K9" s="327">
        <f>'FY25'!M9</f>
        <v>5</v>
      </c>
      <c r="L9" s="327">
        <f>'FY26'!M9</f>
        <v>5</v>
      </c>
      <c r="M9" s="327">
        <f>'FY27'!M9</f>
        <v>5</v>
      </c>
      <c r="N9" s="327">
        <f>'FY28'!M9</f>
        <v>5</v>
      </c>
    </row>
    <row r="10" spans="1:14" x14ac:dyDescent="0.25">
      <c r="A10" s="13" t="s">
        <v>13</v>
      </c>
      <c r="B10" s="11">
        <f>'FY23'!L10</f>
        <v>140</v>
      </c>
      <c r="C10" s="11">
        <f>'FY24'!L10</f>
        <v>140</v>
      </c>
      <c r="D10" s="11">
        <f>'FY25'!L10</f>
        <v>140</v>
      </c>
      <c r="E10" s="11">
        <f>'FY26'!L10</f>
        <v>140</v>
      </c>
      <c r="F10" s="94">
        <f>'FY27'!L10</f>
        <v>140</v>
      </c>
      <c r="G10" s="94">
        <f>'FY28'!L10</f>
        <v>140</v>
      </c>
      <c r="I10" s="155">
        <f>'FY23'!M10</f>
        <v>5</v>
      </c>
      <c r="J10" s="327">
        <f>'FY24'!M10</f>
        <v>5</v>
      </c>
      <c r="K10" s="327">
        <f>'FY25'!M10</f>
        <v>5</v>
      </c>
      <c r="L10" s="327">
        <f>'FY26'!M10</f>
        <v>5</v>
      </c>
      <c r="M10" s="327">
        <f>'FY27'!M10</f>
        <v>5</v>
      </c>
      <c r="N10" s="327">
        <f>'FY28'!M10</f>
        <v>5</v>
      </c>
    </row>
    <row r="11" spans="1:14" x14ac:dyDescent="0.25">
      <c r="A11" s="13" t="s">
        <v>14</v>
      </c>
      <c r="B11" s="11">
        <f>'FY23'!L11</f>
        <v>145</v>
      </c>
      <c r="C11" s="11">
        <f>'FY24'!L11</f>
        <v>145</v>
      </c>
      <c r="D11" s="11">
        <f>'FY25'!L11</f>
        <v>145</v>
      </c>
      <c r="E11" s="11">
        <f>'FY26'!L11</f>
        <v>145</v>
      </c>
      <c r="F11" s="94">
        <f>'FY27'!L11</f>
        <v>145</v>
      </c>
      <c r="G11" s="94">
        <f>'FY28'!L11</f>
        <v>145</v>
      </c>
      <c r="I11" s="155">
        <f>'FY23'!M11</f>
        <v>5</v>
      </c>
      <c r="J11" s="327">
        <f>'FY24'!M11</f>
        <v>5</v>
      </c>
      <c r="K11" s="327">
        <f>'FY25'!M11</f>
        <v>5</v>
      </c>
      <c r="L11" s="327">
        <f>'FY26'!M11</f>
        <v>5</v>
      </c>
      <c r="M11" s="327">
        <f>'FY27'!M11</f>
        <v>5</v>
      </c>
      <c r="N11" s="327">
        <f>'FY28'!M11</f>
        <v>5</v>
      </c>
    </row>
    <row r="12" spans="1:14" x14ac:dyDescent="0.25">
      <c r="A12" s="13" t="s">
        <v>15</v>
      </c>
      <c r="B12" s="11">
        <f>'FY23'!L12</f>
        <v>248</v>
      </c>
      <c r="C12" s="11">
        <f>'FY24'!L12</f>
        <v>248</v>
      </c>
      <c r="D12" s="11">
        <f>'FY25'!L12</f>
        <v>248</v>
      </c>
      <c r="E12" s="11">
        <f>'FY26'!L12</f>
        <v>248</v>
      </c>
      <c r="F12" s="94">
        <f>'FY27'!L12</f>
        <v>248</v>
      </c>
      <c r="G12" s="94">
        <f>'FY28'!L12</f>
        <v>248</v>
      </c>
      <c r="I12" s="155">
        <f>'FY23'!M12</f>
        <v>8</v>
      </c>
      <c r="J12" s="327">
        <f>'FY24'!M12</f>
        <v>8</v>
      </c>
      <c r="K12" s="327">
        <f>'FY25'!M12</f>
        <v>8</v>
      </c>
      <c r="L12" s="327">
        <f>'FY26'!M12</f>
        <v>8</v>
      </c>
      <c r="M12" s="327">
        <f>'FY27'!M12</f>
        <v>8</v>
      </c>
      <c r="N12" s="327">
        <f>'FY28'!M12</f>
        <v>8</v>
      </c>
    </row>
    <row r="13" spans="1:14" x14ac:dyDescent="0.25">
      <c r="A13" s="13" t="s">
        <v>16</v>
      </c>
      <c r="B13" s="11">
        <f>'FY23'!L13</f>
        <v>248</v>
      </c>
      <c r="C13" s="11">
        <f>'FY24'!L13</f>
        <v>248</v>
      </c>
      <c r="D13" s="11">
        <f>'FY25'!L13</f>
        <v>248</v>
      </c>
      <c r="E13" s="11">
        <f>'FY26'!L13</f>
        <v>248</v>
      </c>
      <c r="F13" s="94">
        <f>'FY27'!L13</f>
        <v>248</v>
      </c>
      <c r="G13" s="94">
        <f>'FY28'!L13</f>
        <v>248</v>
      </c>
      <c r="I13" s="155">
        <f>'FY23'!M13</f>
        <v>8</v>
      </c>
      <c r="J13" s="327">
        <f>'FY24'!M13</f>
        <v>8</v>
      </c>
      <c r="K13" s="327">
        <f>'FY25'!M13</f>
        <v>8</v>
      </c>
      <c r="L13" s="327">
        <f>'FY26'!M13</f>
        <v>8</v>
      </c>
      <c r="M13" s="327">
        <f>'FY27'!M13</f>
        <v>8</v>
      </c>
      <c r="N13" s="327">
        <f>'FY28'!M13</f>
        <v>8</v>
      </c>
    </row>
    <row r="14" spans="1:14" x14ac:dyDescent="0.25">
      <c r="A14" s="13" t="s">
        <v>17</v>
      </c>
      <c r="B14" s="11">
        <f>'FY23'!L14</f>
        <v>248</v>
      </c>
      <c r="C14" s="11">
        <f>'FY24'!L14</f>
        <v>248</v>
      </c>
      <c r="D14" s="11">
        <f>'FY25'!L14</f>
        <v>248</v>
      </c>
      <c r="E14" s="11">
        <f>'FY26'!L14</f>
        <v>248</v>
      </c>
      <c r="F14" s="94">
        <f>'FY27'!L14</f>
        <v>248</v>
      </c>
      <c r="G14" s="94">
        <f>'FY28'!L14</f>
        <v>248</v>
      </c>
      <c r="I14" s="155">
        <f>'FY23'!M14</f>
        <v>8</v>
      </c>
      <c r="J14" s="327">
        <f>'FY24'!M14</f>
        <v>8</v>
      </c>
      <c r="K14" s="327">
        <f>'FY25'!M14</f>
        <v>8</v>
      </c>
      <c r="L14" s="327">
        <f>'FY26'!M14</f>
        <v>8</v>
      </c>
      <c r="M14" s="327">
        <f>'FY27'!M14</f>
        <v>8</v>
      </c>
      <c r="N14" s="327">
        <f>'FY28'!M14</f>
        <v>8</v>
      </c>
    </row>
    <row r="15" spans="1:14" x14ac:dyDescent="0.25">
      <c r="A15" s="13" t="s">
        <v>18</v>
      </c>
      <c r="B15" s="11">
        <f>'FY23'!L15</f>
        <v>217</v>
      </c>
      <c r="C15" s="11">
        <f>'FY24'!L15</f>
        <v>240</v>
      </c>
      <c r="D15" s="11">
        <f>'FY25'!L15</f>
        <v>240</v>
      </c>
      <c r="E15" s="11">
        <f>'FY26'!L15</f>
        <v>240</v>
      </c>
      <c r="F15" s="94">
        <f>'FY27'!L15</f>
        <v>240</v>
      </c>
      <c r="G15" s="94">
        <f>'FY28'!L15</f>
        <v>240</v>
      </c>
      <c r="I15" s="155">
        <f>'FY23'!M15</f>
        <v>7</v>
      </c>
      <c r="J15" s="327">
        <f>'FY24'!M15</f>
        <v>8</v>
      </c>
      <c r="K15" s="327">
        <f>'FY25'!M15</f>
        <v>8</v>
      </c>
      <c r="L15" s="327">
        <f>'FY26'!M15</f>
        <v>8</v>
      </c>
      <c r="M15" s="327">
        <f>'FY27'!M15</f>
        <v>8</v>
      </c>
      <c r="N15" s="327">
        <f>'FY28'!M15</f>
        <v>8</v>
      </c>
    </row>
    <row r="16" spans="1:14" x14ac:dyDescent="0.25">
      <c r="A16" s="13" t="s">
        <v>19</v>
      </c>
      <c r="B16" s="11">
        <f>'FY23'!L16</f>
        <v>207</v>
      </c>
      <c r="C16" s="11">
        <f>'FY24'!L16</f>
        <v>220</v>
      </c>
      <c r="D16" s="11">
        <f>'FY25'!L16</f>
        <v>230</v>
      </c>
      <c r="E16" s="11">
        <f>'FY26'!L16</f>
        <v>230</v>
      </c>
      <c r="F16" s="94">
        <f>'FY27'!L16</f>
        <v>230</v>
      </c>
      <c r="G16" s="94">
        <f>'FY28'!L16</f>
        <v>230</v>
      </c>
      <c r="I16" s="155">
        <f>'FY23'!M16</f>
        <v>7</v>
      </c>
      <c r="J16" s="327">
        <f>'FY24'!M16</f>
        <v>7</v>
      </c>
      <c r="K16" s="327">
        <f>'FY25'!M16</f>
        <v>8</v>
      </c>
      <c r="L16" s="327">
        <f>'FY26'!M16</f>
        <v>8</v>
      </c>
      <c r="M16" s="327">
        <f>'FY27'!M16</f>
        <v>8</v>
      </c>
      <c r="N16" s="327">
        <f>'FY28'!M16</f>
        <v>8</v>
      </c>
    </row>
    <row r="17" spans="1:14" x14ac:dyDescent="0.25">
      <c r="A17" s="13" t="s">
        <v>20</v>
      </c>
      <c r="B17" s="11">
        <f>'FY23'!L17</f>
        <v>167</v>
      </c>
      <c r="C17" s="11">
        <f>'FY24'!L17</f>
        <v>195</v>
      </c>
      <c r="D17" s="11">
        <f>'FY25'!L17</f>
        <v>210</v>
      </c>
      <c r="E17" s="11">
        <f>'FY26'!L17</f>
        <v>220</v>
      </c>
      <c r="F17" s="94">
        <f>'FY27'!L17</f>
        <v>220</v>
      </c>
      <c r="G17" s="94">
        <f>'FY28'!L17</f>
        <v>220</v>
      </c>
      <c r="I17" s="155">
        <f>'FY23'!M17</f>
        <v>5</v>
      </c>
      <c r="J17" s="327">
        <f>'FY24'!M17</f>
        <v>7</v>
      </c>
      <c r="K17" s="327">
        <f>'FY25'!M17</f>
        <v>7</v>
      </c>
      <c r="L17" s="327">
        <f>'FY26'!M17</f>
        <v>8</v>
      </c>
      <c r="M17" s="327">
        <f>'FY27'!M17</f>
        <v>8</v>
      </c>
      <c r="N17" s="327">
        <f>'FY28'!M17</f>
        <v>8</v>
      </c>
    </row>
    <row r="18" spans="1:14" x14ac:dyDescent="0.25">
      <c r="A18" s="13" t="s">
        <v>21</v>
      </c>
      <c r="B18" s="11">
        <f>'FY23'!L18</f>
        <v>99</v>
      </c>
      <c r="C18" s="11">
        <f>'FY24'!L18</f>
        <v>170</v>
      </c>
      <c r="D18" s="11">
        <f>'FY25'!L18</f>
        <v>185</v>
      </c>
      <c r="E18" s="11">
        <f>'FY26'!L18</f>
        <v>200</v>
      </c>
      <c r="F18" s="94">
        <f>'FY27'!L18</f>
        <v>210</v>
      </c>
      <c r="G18" s="94">
        <f>'FY28'!L18</f>
        <v>210</v>
      </c>
      <c r="I18" s="155">
        <f>'FY23'!M18</f>
        <v>3</v>
      </c>
      <c r="J18" s="327">
        <f>'FY24'!M18</f>
        <v>7</v>
      </c>
      <c r="K18" s="327">
        <f>'FY25'!M18</f>
        <v>7</v>
      </c>
      <c r="L18" s="327">
        <f>'FY26'!M18</f>
        <v>7</v>
      </c>
      <c r="M18" s="327">
        <f>'FY27'!M18</f>
        <v>8</v>
      </c>
      <c r="N18" s="327">
        <f>'FY28'!M18</f>
        <v>8</v>
      </c>
    </row>
    <row r="19" spans="1:14" x14ac:dyDescent="0.25">
      <c r="A19" s="13" t="s">
        <v>8</v>
      </c>
      <c r="B19" s="9">
        <f>SUM(B6:B18)</f>
        <v>2244</v>
      </c>
      <c r="C19" s="9">
        <f t="shared" ref="C19:G19" si="2">SUM(C6:C18)</f>
        <v>2379</v>
      </c>
      <c r="D19" s="9">
        <f t="shared" si="2"/>
        <v>2419</v>
      </c>
      <c r="E19" s="9">
        <f t="shared" si="2"/>
        <v>2444</v>
      </c>
      <c r="F19" s="9">
        <f t="shared" si="2"/>
        <v>2454</v>
      </c>
      <c r="G19" s="9">
        <f t="shared" si="2"/>
        <v>2454</v>
      </c>
      <c r="I19" s="155">
        <f>SUM(I6:I18)</f>
        <v>76</v>
      </c>
      <c r="J19" s="155">
        <f>SUM(J6:J18)</f>
        <v>83</v>
      </c>
      <c r="K19" s="155">
        <f>SUM(K6:K18)</f>
        <v>84</v>
      </c>
      <c r="L19" s="155">
        <f t="shared" ref="L19:N19" si="3">SUM(L6:L18)</f>
        <v>85</v>
      </c>
      <c r="M19" s="155">
        <f t="shared" si="3"/>
        <v>86</v>
      </c>
      <c r="N19" s="155">
        <f t="shared" si="3"/>
        <v>86</v>
      </c>
    </row>
    <row r="20" spans="1:14" x14ac:dyDescent="0.25">
      <c r="A20" s="16"/>
      <c r="B20" s="7"/>
      <c r="C20" s="7"/>
      <c r="D20" s="7"/>
      <c r="E20" s="7"/>
      <c r="F20" s="7"/>
      <c r="G20" s="7"/>
    </row>
    <row r="21" spans="1:14" x14ac:dyDescent="0.25">
      <c r="A21" s="17" t="s">
        <v>22</v>
      </c>
      <c r="B21" s="18"/>
      <c r="C21" s="18"/>
      <c r="D21" s="18"/>
      <c r="E21" s="18"/>
      <c r="F21" s="18"/>
      <c r="G21" s="18"/>
    </row>
    <row r="22" spans="1:14" x14ac:dyDescent="0.25">
      <c r="A22" s="140" t="s">
        <v>23</v>
      </c>
      <c r="B22" s="11">
        <f>'FY23'!L22</f>
        <v>285</v>
      </c>
      <c r="C22" s="11">
        <f>'FY24'!L22</f>
        <v>302.14572192513373</v>
      </c>
      <c r="D22" s="11">
        <f>'FY25'!L22</f>
        <v>307.22593582887703</v>
      </c>
      <c r="E22" s="11">
        <f>'FY26'!L22</f>
        <v>310.40106951871661</v>
      </c>
      <c r="F22" s="94">
        <f>'FY27'!L22</f>
        <v>311.67112299465242</v>
      </c>
      <c r="G22" s="94">
        <f>'FY28'!L22</f>
        <v>311.67112299465242</v>
      </c>
      <c r="J22" s="278">
        <f>C22/C19</f>
        <v>0.1270053475935829</v>
      </c>
    </row>
    <row r="23" spans="1:14" x14ac:dyDescent="0.25">
      <c r="A23" s="140" t="s">
        <v>24</v>
      </c>
      <c r="B23" s="11">
        <f>'FY23'!L23</f>
        <v>33</v>
      </c>
      <c r="C23" s="11">
        <f>'FY24'!L23</f>
        <v>34.985294117647058</v>
      </c>
      <c r="D23" s="11">
        <f>'FY25'!L23</f>
        <v>35.573529411764703</v>
      </c>
      <c r="E23" s="11">
        <f>'FY26'!L23</f>
        <v>35.941176470588232</v>
      </c>
      <c r="F23" s="94">
        <f>'FY27'!L23</f>
        <v>36.088235294117645</v>
      </c>
      <c r="G23" s="94">
        <f>'FY28'!L23</f>
        <v>36.088235294117645</v>
      </c>
      <c r="J23" s="278">
        <f>C23/C19</f>
        <v>1.4705882352941176E-2</v>
      </c>
    </row>
    <row r="24" spans="1:14" x14ac:dyDescent="0.25">
      <c r="A24" s="140" t="s">
        <v>25</v>
      </c>
      <c r="B24" s="11">
        <f>'FY23'!L24</f>
        <v>52</v>
      </c>
      <c r="C24" s="11">
        <f>'FY24'!L24</f>
        <v>55.128342245989309</v>
      </c>
      <c r="D24" s="11">
        <f>'FY25'!L24</f>
        <v>56.055258467023179</v>
      </c>
      <c r="E24" s="11">
        <f>'FY26'!L24</f>
        <v>56.634581105169346</v>
      </c>
      <c r="F24" s="94">
        <f>'FY27'!L24</f>
        <v>56.866310160427808</v>
      </c>
      <c r="G24" s="94">
        <f>'FY28'!L24</f>
        <v>56.866310160427808</v>
      </c>
    </row>
    <row r="25" spans="1:14" x14ac:dyDescent="0.25">
      <c r="A25" s="140" t="s">
        <v>26</v>
      </c>
      <c r="B25" s="354">
        <f>'FY23'!L25</f>
        <v>0.32390000000000002</v>
      </c>
      <c r="C25" s="354">
        <f>'FY24'!L25</f>
        <v>0.4</v>
      </c>
      <c r="D25" s="354">
        <f>'FY25'!L25</f>
        <v>0.4</v>
      </c>
      <c r="E25" s="354">
        <f>'FY26'!L25</f>
        <v>0.4</v>
      </c>
      <c r="F25" s="355">
        <f>'FY27'!L25</f>
        <v>0.4</v>
      </c>
      <c r="G25" s="355">
        <f>'FY28'!L25</f>
        <v>0.4</v>
      </c>
    </row>
    <row r="26" spans="1:14" x14ac:dyDescent="0.25">
      <c r="A26" s="140" t="s">
        <v>27</v>
      </c>
      <c r="B26" s="11">
        <f>'FY23'!L26</f>
        <v>517</v>
      </c>
      <c r="C26" s="11">
        <f>'FY24'!L26</f>
        <v>548.10294117647061</v>
      </c>
      <c r="D26" s="11">
        <f>'FY25'!L26</f>
        <v>557.31862745098044</v>
      </c>
      <c r="E26" s="11">
        <f>'FY26'!L26</f>
        <v>563.07843137254906</v>
      </c>
      <c r="F26" s="94">
        <f>'FY27'!L26</f>
        <v>565.38235294117646</v>
      </c>
      <c r="G26" s="94">
        <f>'FY28'!L26</f>
        <v>565.38235294117646</v>
      </c>
    </row>
    <row r="27" spans="1:14" x14ac:dyDescent="0.25">
      <c r="A27" s="20"/>
      <c r="B27" s="7"/>
      <c r="C27" s="7"/>
      <c r="D27" s="7"/>
      <c r="E27" s="7"/>
      <c r="F27" s="7">
        <f t="shared" ref="F27:G27" si="4">SUM(B27:E27)</f>
        <v>0</v>
      </c>
      <c r="G27" s="7">
        <f t="shared" si="4"/>
        <v>0</v>
      </c>
    </row>
    <row r="28" spans="1:14" x14ac:dyDescent="0.25">
      <c r="A28" s="17" t="s">
        <v>28</v>
      </c>
      <c r="B28" s="18"/>
      <c r="C28" s="18"/>
      <c r="D28" s="18"/>
      <c r="E28" s="18"/>
      <c r="F28" s="18"/>
      <c r="G28" s="18"/>
    </row>
    <row r="29" spans="1:14" x14ac:dyDescent="0.25">
      <c r="A29" s="21" t="s">
        <v>29</v>
      </c>
      <c r="B29" s="152">
        <f>'FY23'!L29</f>
        <v>76</v>
      </c>
      <c r="C29" s="152">
        <f>'FY24'!L29</f>
        <v>83</v>
      </c>
      <c r="D29" s="152">
        <f>'FY25'!L29</f>
        <v>84</v>
      </c>
      <c r="E29" s="152">
        <f>'FY26'!L29</f>
        <v>85</v>
      </c>
      <c r="F29" s="356">
        <f>'FY27'!L29</f>
        <v>86</v>
      </c>
      <c r="G29" s="356">
        <f>'FY28'!L29</f>
        <v>86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25">
      <c r="A30" s="21" t="s">
        <v>30</v>
      </c>
      <c r="B30" s="152">
        <f>'FY23'!L30</f>
        <v>13</v>
      </c>
      <c r="C30" s="152">
        <f>'FY24'!L30</f>
        <v>13</v>
      </c>
      <c r="D30" s="152">
        <f>'FY25'!L30</f>
        <v>13</v>
      </c>
      <c r="E30" s="152">
        <f>'FY26'!L30</f>
        <v>13</v>
      </c>
      <c r="F30" s="356">
        <f>'FY27'!L30</f>
        <v>13</v>
      </c>
      <c r="G30" s="356">
        <f>'FY28'!L30</f>
        <v>13</v>
      </c>
    </row>
    <row r="31" spans="1:14" x14ac:dyDescent="0.25">
      <c r="A31" s="21" t="s">
        <v>31</v>
      </c>
      <c r="B31" s="152">
        <f>'FY23'!L31</f>
        <v>2</v>
      </c>
      <c r="C31" s="152">
        <f>'FY24'!L31</f>
        <v>2</v>
      </c>
      <c r="D31" s="152">
        <f>'FY25'!L31</f>
        <v>2</v>
      </c>
      <c r="E31" s="152">
        <f>'FY26'!L31</f>
        <v>2</v>
      </c>
      <c r="F31" s="356">
        <f>'FY27'!L31</f>
        <v>2</v>
      </c>
      <c r="G31" s="356">
        <f>'FY28'!L31</f>
        <v>2</v>
      </c>
    </row>
    <row r="32" spans="1:14" x14ac:dyDescent="0.25">
      <c r="A32" s="21" t="s">
        <v>32</v>
      </c>
      <c r="B32" s="152">
        <f>'FY23'!L32</f>
        <v>2</v>
      </c>
      <c r="C32" s="152">
        <f>'FY24'!L32</f>
        <v>2</v>
      </c>
      <c r="D32" s="152">
        <f>'FY25'!L32</f>
        <v>2</v>
      </c>
      <c r="E32" s="152">
        <f>'FY26'!L32</f>
        <v>2</v>
      </c>
      <c r="F32" s="356">
        <f>'FY27'!L32</f>
        <v>2</v>
      </c>
      <c r="G32" s="356">
        <f>'FY28'!L32</f>
        <v>2</v>
      </c>
    </row>
    <row r="33" spans="1:7" x14ac:dyDescent="0.25">
      <c r="A33" s="21" t="s">
        <v>33</v>
      </c>
      <c r="B33" s="152">
        <f>'FY23'!L33</f>
        <v>3</v>
      </c>
      <c r="C33" s="152">
        <f>'FY24'!L33</f>
        <v>3</v>
      </c>
      <c r="D33" s="152">
        <f>'FY25'!L33</f>
        <v>3</v>
      </c>
      <c r="E33" s="152">
        <f>'FY26'!L33</f>
        <v>3</v>
      </c>
      <c r="F33" s="356">
        <f>'FY27'!L33</f>
        <v>3</v>
      </c>
      <c r="G33" s="356">
        <f>'FY28'!L33</f>
        <v>3</v>
      </c>
    </row>
    <row r="34" spans="1:7" x14ac:dyDescent="0.25">
      <c r="A34" s="24" t="s">
        <v>34</v>
      </c>
      <c r="B34" s="152">
        <f>'FY23'!L34</f>
        <v>0</v>
      </c>
      <c r="C34" s="152">
        <f>'FY24'!L34</f>
        <v>0</v>
      </c>
      <c r="D34" s="152">
        <f>'FY25'!L34</f>
        <v>0</v>
      </c>
      <c r="E34" s="152">
        <f>'FY26'!L34</f>
        <v>0</v>
      </c>
      <c r="F34" s="356">
        <f>'FY27'!L34</f>
        <v>0</v>
      </c>
      <c r="G34" s="356">
        <f>'FY28'!L34</f>
        <v>0</v>
      </c>
    </row>
    <row r="35" spans="1:7" x14ac:dyDescent="0.25">
      <c r="A35" s="27" t="s">
        <v>35</v>
      </c>
      <c r="B35" s="152">
        <f>'FY23'!L35</f>
        <v>2</v>
      </c>
      <c r="C35" s="152">
        <f>'FY24'!L35</f>
        <v>2</v>
      </c>
      <c r="D35" s="152">
        <f>'FY25'!L35</f>
        <v>2</v>
      </c>
      <c r="E35" s="152">
        <f>'FY26'!L35</f>
        <v>2</v>
      </c>
      <c r="F35" s="356">
        <f>'FY27'!L35</f>
        <v>2</v>
      </c>
      <c r="G35" s="356">
        <f>'FY28'!L35</f>
        <v>2</v>
      </c>
    </row>
    <row r="36" spans="1:7" x14ac:dyDescent="0.25">
      <c r="A36" s="28" t="s">
        <v>36</v>
      </c>
      <c r="B36" s="152">
        <f>'FY23'!L36</f>
        <v>0</v>
      </c>
      <c r="C36" s="152">
        <f>'FY24'!L36</f>
        <v>0</v>
      </c>
      <c r="D36" s="152">
        <f>'FY25'!L36</f>
        <v>0</v>
      </c>
      <c r="E36" s="152">
        <f>'FY26'!L36</f>
        <v>0</v>
      </c>
      <c r="F36" s="356">
        <f>'FY27'!L36</f>
        <v>0</v>
      </c>
      <c r="G36" s="356">
        <f>'FY28'!L36</f>
        <v>0</v>
      </c>
    </row>
    <row r="37" spans="1:7" x14ac:dyDescent="0.25">
      <c r="A37" s="27" t="s">
        <v>37</v>
      </c>
      <c r="B37" s="152">
        <f>'FY23'!L37</f>
        <v>2</v>
      </c>
      <c r="C37" s="152">
        <f>'FY24'!L37</f>
        <v>2</v>
      </c>
      <c r="D37" s="152">
        <f>'FY25'!L37</f>
        <v>2</v>
      </c>
      <c r="E37" s="152">
        <f>'FY26'!L37</f>
        <v>2</v>
      </c>
      <c r="F37" s="356">
        <f>'FY27'!L37</f>
        <v>2</v>
      </c>
      <c r="G37" s="356">
        <f>'FY28'!L37</f>
        <v>2</v>
      </c>
    </row>
    <row r="38" spans="1:7" x14ac:dyDescent="0.25">
      <c r="A38" s="27" t="s">
        <v>38</v>
      </c>
      <c r="B38" s="152">
        <f>'FY23'!L38</f>
        <v>3</v>
      </c>
      <c r="C38" s="152">
        <f>'FY24'!L38</f>
        <v>3</v>
      </c>
      <c r="D38" s="152">
        <f>'FY25'!L38</f>
        <v>3</v>
      </c>
      <c r="E38" s="152">
        <f>'FY26'!L38</f>
        <v>3</v>
      </c>
      <c r="F38" s="356">
        <f>'FY27'!L38</f>
        <v>3</v>
      </c>
      <c r="G38" s="356">
        <f>'FY28'!L38</f>
        <v>3</v>
      </c>
    </row>
    <row r="39" spans="1:7" x14ac:dyDescent="0.25">
      <c r="A39" s="29" t="s">
        <v>39</v>
      </c>
      <c r="B39" s="30">
        <f>SUM(B29:B38)</f>
        <v>103</v>
      </c>
      <c r="C39" s="30">
        <f t="shared" ref="C39:G39" si="6">SUM(C29:C38)</f>
        <v>110</v>
      </c>
      <c r="D39" s="30">
        <f t="shared" si="6"/>
        <v>111</v>
      </c>
      <c r="E39" s="30">
        <f t="shared" si="6"/>
        <v>112</v>
      </c>
      <c r="F39" s="30">
        <f t="shared" si="6"/>
        <v>113</v>
      </c>
      <c r="G39" s="30">
        <f t="shared" si="6"/>
        <v>113</v>
      </c>
    </row>
    <row r="40" spans="1:7" x14ac:dyDescent="0.25">
      <c r="A40" s="31"/>
      <c r="B40" s="23"/>
      <c r="C40" s="23"/>
      <c r="D40" s="23"/>
      <c r="E40" s="23"/>
      <c r="F40" s="23"/>
      <c r="G40" s="23"/>
    </row>
    <row r="41" spans="1:7" x14ac:dyDescent="0.25">
      <c r="A41" s="17" t="s">
        <v>40</v>
      </c>
      <c r="B41" s="32" t="str">
        <f>B1</f>
        <v xml:space="preserve"> FY 23</v>
      </c>
      <c r="C41" s="32" t="str">
        <f t="shared" ref="C41:G41" si="7">C1</f>
        <v xml:space="preserve"> FY 24</v>
      </c>
      <c r="D41" s="32" t="str">
        <f t="shared" si="7"/>
        <v xml:space="preserve"> FY 25</v>
      </c>
      <c r="E41" s="32" t="str">
        <f t="shared" si="7"/>
        <v xml:space="preserve"> FY 26</v>
      </c>
      <c r="F41" s="32" t="str">
        <f t="shared" si="7"/>
        <v xml:space="preserve"> FY 27</v>
      </c>
      <c r="G41" s="32" t="str">
        <f t="shared" si="7"/>
        <v xml:space="preserve"> FY 28</v>
      </c>
    </row>
    <row r="42" spans="1:7" x14ac:dyDescent="0.25">
      <c r="A42" s="21" t="s">
        <v>41</v>
      </c>
      <c r="B42" s="152">
        <f>'FY23'!L42</f>
        <v>1</v>
      </c>
      <c r="C42" s="152">
        <f>'FY24'!L42</f>
        <v>1</v>
      </c>
      <c r="D42" s="152">
        <f>'FY25'!L42</f>
        <v>1</v>
      </c>
      <c r="E42" s="152">
        <f>'FY26'!L42</f>
        <v>1</v>
      </c>
      <c r="F42" s="356">
        <f>'FY27'!L42</f>
        <v>1</v>
      </c>
      <c r="G42" s="356">
        <f>'FY28'!L42</f>
        <v>1</v>
      </c>
    </row>
    <row r="43" spans="1:7" x14ac:dyDescent="0.25">
      <c r="A43" s="21" t="s">
        <v>42</v>
      </c>
      <c r="B43" s="152">
        <f>'FY23'!L43</f>
        <v>4</v>
      </c>
      <c r="C43" s="152">
        <f>'FY24'!L43</f>
        <v>4</v>
      </c>
      <c r="D43" s="152">
        <f>'FY25'!L43</f>
        <v>4</v>
      </c>
      <c r="E43" s="152">
        <f>'FY26'!L43</f>
        <v>4</v>
      </c>
      <c r="F43" s="356">
        <f>'FY27'!L43</f>
        <v>4</v>
      </c>
      <c r="G43" s="356">
        <f>'FY28'!L43</f>
        <v>4</v>
      </c>
    </row>
    <row r="44" spans="1:7" x14ac:dyDescent="0.25">
      <c r="A44" s="34" t="s">
        <v>43</v>
      </c>
      <c r="B44" s="152">
        <f>'FY23'!L44</f>
        <v>0</v>
      </c>
      <c r="C44" s="152">
        <f>'FY24'!L44</f>
        <v>0</v>
      </c>
      <c r="D44" s="152">
        <f>'FY25'!L44</f>
        <v>0</v>
      </c>
      <c r="E44" s="152">
        <f>'FY26'!L44</f>
        <v>0</v>
      </c>
      <c r="F44" s="356">
        <f>'FY27'!L44</f>
        <v>0</v>
      </c>
      <c r="G44" s="356">
        <f>'FY28'!L44</f>
        <v>0</v>
      </c>
    </row>
    <row r="45" spans="1:7" x14ac:dyDescent="0.25">
      <c r="A45" s="33" t="s">
        <v>44</v>
      </c>
      <c r="B45" s="152">
        <f>'FY23'!L45</f>
        <v>5</v>
      </c>
      <c r="C45" s="152">
        <f>'FY24'!L45</f>
        <v>5</v>
      </c>
      <c r="D45" s="152">
        <f>'FY25'!L45</f>
        <v>5</v>
      </c>
      <c r="E45" s="152">
        <f>'FY26'!L45</f>
        <v>5</v>
      </c>
      <c r="F45" s="356">
        <f>'FY27'!L45</f>
        <v>5</v>
      </c>
      <c r="G45" s="356">
        <f>'FY28'!L45</f>
        <v>5</v>
      </c>
    </row>
    <row r="46" spans="1:7" x14ac:dyDescent="0.25">
      <c r="A46" s="33" t="s">
        <v>45</v>
      </c>
      <c r="B46" s="152">
        <f>'FY23'!L46</f>
        <v>2</v>
      </c>
      <c r="C46" s="152">
        <f>'FY24'!L46</f>
        <v>2</v>
      </c>
      <c r="D46" s="152">
        <f>'FY25'!L46</f>
        <v>2</v>
      </c>
      <c r="E46" s="152">
        <f>'FY26'!L46</f>
        <v>2</v>
      </c>
      <c r="F46" s="356">
        <f>'FY27'!L46</f>
        <v>2</v>
      </c>
      <c r="G46" s="356">
        <f>'FY28'!L46</f>
        <v>2</v>
      </c>
    </row>
    <row r="47" spans="1:7" x14ac:dyDescent="0.25">
      <c r="A47" s="21" t="s">
        <v>200</v>
      </c>
      <c r="B47" s="152">
        <f>'FY23'!L47</f>
        <v>2</v>
      </c>
      <c r="C47" s="152">
        <f>'FY24'!L47</f>
        <v>2</v>
      </c>
      <c r="D47" s="152">
        <f>'FY25'!L47</f>
        <v>2</v>
      </c>
      <c r="E47" s="152">
        <f>'FY26'!L47</f>
        <v>2</v>
      </c>
      <c r="F47" s="356">
        <f>'FY27'!L47</f>
        <v>2</v>
      </c>
      <c r="G47" s="356">
        <f>'FY28'!L47</f>
        <v>2</v>
      </c>
    </row>
    <row r="48" spans="1:7" x14ac:dyDescent="0.25">
      <c r="A48" s="21" t="s">
        <v>47</v>
      </c>
      <c r="B48" s="152">
        <f>'FY23'!L48</f>
        <v>2</v>
      </c>
      <c r="C48" s="152">
        <f>'FY24'!L48</f>
        <v>2</v>
      </c>
      <c r="D48" s="152">
        <f>'FY25'!L48</f>
        <v>2</v>
      </c>
      <c r="E48" s="152">
        <f>'FY26'!L48</f>
        <v>2</v>
      </c>
      <c r="F48" s="356">
        <f>'FY27'!L48</f>
        <v>2</v>
      </c>
      <c r="G48" s="356">
        <f>'FY28'!L48</f>
        <v>2</v>
      </c>
    </row>
    <row r="49" spans="1:7" x14ac:dyDescent="0.25">
      <c r="A49" s="21" t="s">
        <v>48</v>
      </c>
      <c r="B49" s="152">
        <f>'FY23'!L49</f>
        <v>2</v>
      </c>
      <c r="C49" s="152">
        <f>'FY24'!L49</f>
        <v>2</v>
      </c>
      <c r="D49" s="152">
        <f>'FY25'!L49</f>
        <v>2</v>
      </c>
      <c r="E49" s="152">
        <f>'FY26'!L49</f>
        <v>2</v>
      </c>
      <c r="F49" s="356">
        <f>'FY27'!L49</f>
        <v>2</v>
      </c>
      <c r="G49" s="356">
        <f>'FY28'!L49</f>
        <v>2</v>
      </c>
    </row>
    <row r="50" spans="1:7" x14ac:dyDescent="0.25">
      <c r="A50" s="21" t="s">
        <v>49</v>
      </c>
      <c r="B50" s="152">
        <f>'FY23'!L50</f>
        <v>2</v>
      </c>
      <c r="C50" s="152">
        <f>'FY24'!L50</f>
        <v>2</v>
      </c>
      <c r="D50" s="152">
        <f>'FY25'!L50</f>
        <v>2</v>
      </c>
      <c r="E50" s="152">
        <f>'FY26'!L50</f>
        <v>2</v>
      </c>
      <c r="F50" s="356">
        <f>'FY27'!L50</f>
        <v>2</v>
      </c>
      <c r="G50" s="356">
        <f>'FY28'!L50</f>
        <v>2</v>
      </c>
    </row>
    <row r="51" spans="1:7" x14ac:dyDescent="0.25">
      <c r="A51" s="21" t="s">
        <v>50</v>
      </c>
      <c r="B51" s="152">
        <f>'FY23'!L51</f>
        <v>17</v>
      </c>
      <c r="C51" s="152">
        <f>'FY24'!L51</f>
        <v>17</v>
      </c>
      <c r="D51" s="152">
        <f>'FY25'!L51</f>
        <v>19</v>
      </c>
      <c r="E51" s="152">
        <f>'FY26'!L51</f>
        <v>21</v>
      </c>
      <c r="F51" s="356">
        <f>'FY27'!L51</f>
        <v>23</v>
      </c>
      <c r="G51" s="356">
        <f>'FY28'!L51</f>
        <v>23</v>
      </c>
    </row>
    <row r="52" spans="1:7" x14ac:dyDescent="0.25">
      <c r="A52" s="21" t="s">
        <v>51</v>
      </c>
      <c r="B52" s="152">
        <f>'FY23'!L52</f>
        <v>5</v>
      </c>
      <c r="C52" s="152">
        <f>'FY24'!L52</f>
        <v>5</v>
      </c>
      <c r="D52" s="152">
        <f>'FY25'!L52</f>
        <v>5</v>
      </c>
      <c r="E52" s="152">
        <f>'FY26'!L52</f>
        <v>5</v>
      </c>
      <c r="F52" s="356">
        <f>'FY27'!L52</f>
        <v>5</v>
      </c>
      <c r="G52" s="356">
        <f>'FY28'!L52</f>
        <v>5</v>
      </c>
    </row>
    <row r="53" spans="1:7" x14ac:dyDescent="0.25">
      <c r="A53" s="21" t="s">
        <v>52</v>
      </c>
      <c r="B53" s="152">
        <f>'FY23'!L53</f>
        <v>3</v>
      </c>
      <c r="C53" s="152">
        <f>'FY24'!L53</f>
        <v>3</v>
      </c>
      <c r="D53" s="152">
        <f>'FY25'!L53</f>
        <v>3</v>
      </c>
      <c r="E53" s="152">
        <f>'FY26'!L53</f>
        <v>3</v>
      </c>
      <c r="F53" s="356">
        <f>'FY27'!L53</f>
        <v>3</v>
      </c>
      <c r="G53" s="356">
        <f>'FY28'!L53</f>
        <v>3</v>
      </c>
    </row>
    <row r="54" spans="1:7" x14ac:dyDescent="0.25">
      <c r="A54" s="21" t="s">
        <v>244</v>
      </c>
      <c r="B54" s="152">
        <f>'FY23'!L54</f>
        <v>0</v>
      </c>
      <c r="C54" s="152">
        <f>'FY24'!L54</f>
        <v>0</v>
      </c>
      <c r="D54" s="152">
        <f>'FY25'!L54</f>
        <v>0</v>
      </c>
      <c r="E54" s="152">
        <f>'FY26'!L54</f>
        <v>0</v>
      </c>
      <c r="F54" s="356">
        <f>'FY27'!L54</f>
        <v>0</v>
      </c>
      <c r="G54" s="356">
        <f>'FY28'!L54</f>
        <v>0</v>
      </c>
    </row>
    <row r="55" spans="1:7" x14ac:dyDescent="0.25">
      <c r="A55" s="34" t="s">
        <v>54</v>
      </c>
      <c r="B55" s="152">
        <f>'FY23'!L55</f>
        <v>1</v>
      </c>
      <c r="C55" s="152">
        <f>'FY24'!L55</f>
        <v>1</v>
      </c>
      <c r="D55" s="152">
        <f>'FY25'!L55</f>
        <v>1</v>
      </c>
      <c r="E55" s="152">
        <f>'FY26'!L55</f>
        <v>1</v>
      </c>
      <c r="F55" s="356">
        <f>'FY27'!L55</f>
        <v>1</v>
      </c>
      <c r="G55" s="356">
        <f>'FY28'!L55</f>
        <v>1</v>
      </c>
    </row>
    <row r="56" spans="1:7" x14ac:dyDescent="0.25">
      <c r="A56" s="34" t="s">
        <v>55</v>
      </c>
      <c r="B56" s="152">
        <f>'FY23'!L56</f>
        <v>1</v>
      </c>
      <c r="C56" s="152">
        <f>'FY24'!L56</f>
        <v>1</v>
      </c>
      <c r="D56" s="152">
        <f>'FY25'!L56</f>
        <v>1</v>
      </c>
      <c r="E56" s="152">
        <f>'FY26'!L56</f>
        <v>1</v>
      </c>
      <c r="F56" s="356">
        <f>'FY27'!L56</f>
        <v>1</v>
      </c>
      <c r="G56" s="356">
        <f>'FY28'!L56</f>
        <v>1</v>
      </c>
    </row>
    <row r="57" spans="1:7" x14ac:dyDescent="0.25">
      <c r="A57" s="34" t="s">
        <v>56</v>
      </c>
      <c r="B57" s="152">
        <f>'FY23'!L57</f>
        <v>0</v>
      </c>
      <c r="C57" s="152">
        <f>'FY24'!L57</f>
        <v>0</v>
      </c>
      <c r="D57" s="152">
        <f>'FY25'!L57</f>
        <v>0</v>
      </c>
      <c r="E57" s="152">
        <f>'FY26'!L57</f>
        <v>0</v>
      </c>
      <c r="F57" s="356">
        <f>'FY27'!L57</f>
        <v>0</v>
      </c>
      <c r="G57" s="356">
        <f>'FY28'!L57</f>
        <v>0</v>
      </c>
    </row>
    <row r="58" spans="1:7" x14ac:dyDescent="0.25">
      <c r="A58" s="34" t="s">
        <v>57</v>
      </c>
      <c r="B58" s="152">
        <f>'FY23'!L58</f>
        <v>0</v>
      </c>
      <c r="C58" s="152">
        <f>'FY24'!L58</f>
        <v>0</v>
      </c>
      <c r="D58" s="152">
        <f>'FY25'!L58</f>
        <v>0</v>
      </c>
      <c r="E58" s="152">
        <f>'FY26'!L58</f>
        <v>0</v>
      </c>
      <c r="F58" s="356">
        <f>'FY27'!L58</f>
        <v>0</v>
      </c>
      <c r="G58" s="356">
        <f>'FY28'!L58</f>
        <v>0</v>
      </c>
    </row>
    <row r="59" spans="1:7" x14ac:dyDescent="0.25">
      <c r="A59" s="34" t="s">
        <v>58</v>
      </c>
      <c r="B59" s="152">
        <f>'FY23'!L59</f>
        <v>1</v>
      </c>
      <c r="C59" s="152">
        <f>'FY24'!L59</f>
        <v>1</v>
      </c>
      <c r="D59" s="152">
        <f>'FY25'!L59</f>
        <v>1</v>
      </c>
      <c r="E59" s="152">
        <f>'FY26'!L59</f>
        <v>1</v>
      </c>
      <c r="F59" s="356">
        <f>'FY27'!L59</f>
        <v>1</v>
      </c>
      <c r="G59" s="356">
        <f>'FY28'!L59</f>
        <v>1</v>
      </c>
    </row>
    <row r="60" spans="1:7" x14ac:dyDescent="0.25">
      <c r="A60" s="34" t="s">
        <v>59</v>
      </c>
      <c r="B60" s="152">
        <f>'FY23'!L60</f>
        <v>1</v>
      </c>
      <c r="C60" s="152">
        <f>'FY24'!L60</f>
        <v>1</v>
      </c>
      <c r="D60" s="152">
        <f>'FY25'!L60</f>
        <v>1</v>
      </c>
      <c r="E60" s="152">
        <f>'FY26'!L60</f>
        <v>1</v>
      </c>
      <c r="F60" s="356">
        <f>'FY27'!L60</f>
        <v>1</v>
      </c>
      <c r="G60" s="356">
        <f>'FY28'!L60</f>
        <v>1</v>
      </c>
    </row>
    <row r="61" spans="1:7" x14ac:dyDescent="0.25">
      <c r="A61" s="35" t="s">
        <v>245</v>
      </c>
      <c r="B61" s="152">
        <f>'FY23'!L61</f>
        <v>0</v>
      </c>
      <c r="C61" s="152">
        <f>'FY24'!L61</f>
        <v>0</v>
      </c>
      <c r="D61" s="152">
        <f>'FY25'!L61</f>
        <v>0</v>
      </c>
      <c r="E61" s="152">
        <f>'FY26'!L61</f>
        <v>0</v>
      </c>
      <c r="F61" s="356">
        <f>'FY27'!L61</f>
        <v>0</v>
      </c>
      <c r="G61" s="356">
        <f>'FY28'!L61</f>
        <v>0</v>
      </c>
    </row>
    <row r="62" spans="1:7" x14ac:dyDescent="0.25">
      <c r="A62" s="29" t="s">
        <v>60</v>
      </c>
      <c r="B62" s="30">
        <f>SUM(B42:B61)</f>
        <v>49</v>
      </c>
      <c r="C62" s="30">
        <f t="shared" ref="C62:G62" si="8">SUM(C42:C61)</f>
        <v>49</v>
      </c>
      <c r="D62" s="30">
        <f t="shared" si="8"/>
        <v>51</v>
      </c>
      <c r="E62" s="30">
        <f t="shared" si="8"/>
        <v>53</v>
      </c>
      <c r="F62" s="30">
        <f t="shared" si="8"/>
        <v>55</v>
      </c>
      <c r="G62" s="30">
        <f t="shared" si="8"/>
        <v>55</v>
      </c>
    </row>
    <row r="63" spans="1:7" ht="15.75" thickBot="1" x14ac:dyDescent="0.3">
      <c r="A63" s="36"/>
      <c r="B63" s="38"/>
      <c r="C63" s="38"/>
      <c r="D63" s="38"/>
      <c r="E63" s="38"/>
      <c r="F63" s="38"/>
      <c r="G63" s="38"/>
    </row>
    <row r="64" spans="1:7" x14ac:dyDescent="0.25">
      <c r="A64" s="40" t="s">
        <v>61</v>
      </c>
      <c r="B64" s="39">
        <f>B39</f>
        <v>103</v>
      </c>
      <c r="C64" s="39">
        <f>C39</f>
        <v>110</v>
      </c>
      <c r="D64" s="39">
        <f>D39</f>
        <v>111</v>
      </c>
      <c r="E64" s="39">
        <f t="shared" ref="E64" si="9">E39</f>
        <v>112</v>
      </c>
      <c r="F64" s="39">
        <f>F39</f>
        <v>113</v>
      </c>
      <c r="G64" s="39">
        <f>G39</f>
        <v>113</v>
      </c>
    </row>
    <row r="65" spans="1:7" ht="15.75" thickBot="1" x14ac:dyDescent="0.3">
      <c r="A65" s="42" t="s">
        <v>62</v>
      </c>
      <c r="B65" s="41">
        <f>B62</f>
        <v>49</v>
      </c>
      <c r="C65" s="41">
        <f>C62</f>
        <v>49</v>
      </c>
      <c r="D65" s="41">
        <f>D62</f>
        <v>51</v>
      </c>
      <c r="E65" s="41">
        <f t="shared" ref="E65:G65" si="10">E62</f>
        <v>53</v>
      </c>
      <c r="F65" s="41">
        <f t="shared" si="10"/>
        <v>55</v>
      </c>
      <c r="G65" s="41">
        <f t="shared" si="10"/>
        <v>55</v>
      </c>
    </row>
    <row r="66" spans="1:7" ht="15.75" thickBot="1" x14ac:dyDescent="0.3">
      <c r="A66" s="44" t="s">
        <v>63</v>
      </c>
      <c r="B66" s="43">
        <f>SUM(B64:B65)</f>
        <v>152</v>
      </c>
      <c r="C66" s="43">
        <f>SUM(C64:C65)</f>
        <v>159</v>
      </c>
      <c r="D66" s="43">
        <f>SUM(D64:D65)</f>
        <v>162</v>
      </c>
      <c r="E66" s="43">
        <f t="shared" ref="E66:G66" si="11">SUM(E64:E65)</f>
        <v>165</v>
      </c>
      <c r="F66" s="43">
        <f t="shared" si="11"/>
        <v>168</v>
      </c>
      <c r="G66" s="43">
        <f t="shared" si="11"/>
        <v>168</v>
      </c>
    </row>
    <row r="67" spans="1:7" ht="15.75" thickBot="1" x14ac:dyDescent="0.3">
      <c r="A67" s="34"/>
      <c r="B67" s="45"/>
      <c r="C67" s="45"/>
      <c r="D67" s="45"/>
      <c r="E67" s="45"/>
      <c r="F67" s="45"/>
      <c r="G67" s="45"/>
    </row>
    <row r="68" spans="1:7" x14ac:dyDescent="0.25">
      <c r="A68" s="47" t="s">
        <v>64</v>
      </c>
      <c r="B68" s="46">
        <f t="shared" ref="B68:E68" si="12">B139/(SUM(B207:B217))</f>
        <v>0.61381450629608436</v>
      </c>
      <c r="C68" s="46">
        <f t="shared" si="12"/>
        <v>0.61241856126095762</v>
      </c>
      <c r="D68" s="46">
        <f t="shared" si="12"/>
        <v>0.61524483565306864</v>
      </c>
      <c r="E68" s="46">
        <f t="shared" si="12"/>
        <v>0.62137840477223139</v>
      </c>
      <c r="F68" s="46">
        <f>F139/(SUM(F207:F217))</f>
        <v>0.62636328241871142</v>
      </c>
      <c r="G68" s="46">
        <f>G139/(SUM(G207:G217))</f>
        <v>0.63191107080970155</v>
      </c>
    </row>
    <row r="69" spans="1:7" x14ac:dyDescent="0.25">
      <c r="A69" s="49" t="s">
        <v>65</v>
      </c>
      <c r="B69" s="48">
        <f t="shared" ref="B69:G69" si="13">(B108+B109+B110+B113)/B129</f>
        <v>0.74788893376520627</v>
      </c>
      <c r="C69" s="48">
        <f t="shared" si="13"/>
        <v>0.75872412964607461</v>
      </c>
      <c r="D69" s="48">
        <f t="shared" si="13"/>
        <v>0.76220778228729735</v>
      </c>
      <c r="E69" s="48">
        <f t="shared" si="13"/>
        <v>0.76553247809361502</v>
      </c>
      <c r="F69" s="48">
        <f t="shared" si="13"/>
        <v>0.76886458325783902</v>
      </c>
      <c r="G69" s="48">
        <f t="shared" si="13"/>
        <v>0.76880561528758207</v>
      </c>
    </row>
    <row r="70" spans="1:7" x14ac:dyDescent="0.25">
      <c r="A70" s="51" t="s">
        <v>66</v>
      </c>
      <c r="B70" s="48">
        <f t="shared" ref="B70:G70" si="14">(B103+B104+B106+B107+B111+B112+B114+B115+B118+B119+B120+B121+B122+B105+B123+B124+B125+B126+B127)/B129</f>
        <v>0.25211106623479379</v>
      </c>
      <c r="C70" s="48">
        <f t="shared" si="14"/>
        <v>0.24127587035392517</v>
      </c>
      <c r="D70" s="48">
        <f t="shared" si="14"/>
        <v>0.23779221771270254</v>
      </c>
      <c r="E70" s="48">
        <f t="shared" si="14"/>
        <v>0.2344675219063849</v>
      </c>
      <c r="F70" s="48">
        <f t="shared" si="14"/>
        <v>0.23113541674216093</v>
      </c>
      <c r="G70" s="48">
        <f t="shared" si="14"/>
        <v>0.23119438471241774</v>
      </c>
    </row>
    <row r="71" spans="1:7" ht="15.75" thickBot="1" x14ac:dyDescent="0.3">
      <c r="A71" s="53" t="s">
        <v>67</v>
      </c>
      <c r="B71" s="52">
        <f t="shared" ref="B71:E71" si="15">SUM(B209:B217)/B86</f>
        <v>0.13675327026349313</v>
      </c>
      <c r="C71" s="52">
        <f t="shared" si="15"/>
        <v>0.12688347617962717</v>
      </c>
      <c r="D71" s="52">
        <f t="shared" si="15"/>
        <v>0.12273636722558193</v>
      </c>
      <c r="E71" s="52">
        <f t="shared" si="15"/>
        <v>0.11943316947415776</v>
      </c>
      <c r="F71" s="52">
        <f>SUM(F209:F217)/F86</f>
        <v>0.1171803498940828</v>
      </c>
      <c r="G71" s="52">
        <f>SUM(G209:G217)/G86</f>
        <v>0.11539595127947558</v>
      </c>
    </row>
    <row r="72" spans="1:7" x14ac:dyDescent="0.25">
      <c r="A72" s="54"/>
      <c r="B72" s="55"/>
      <c r="C72" s="55"/>
      <c r="D72" s="55"/>
      <c r="E72" s="55"/>
      <c r="F72" s="55"/>
      <c r="G72" s="55"/>
    </row>
    <row r="73" spans="1:7" x14ac:dyDescent="0.25">
      <c r="A73" s="57" t="s">
        <v>246</v>
      </c>
      <c r="B73" s="58" t="str">
        <f>B1</f>
        <v xml:space="preserve"> FY 23</v>
      </c>
      <c r="C73" s="58" t="str">
        <f>C1</f>
        <v xml:space="preserve"> FY 24</v>
      </c>
      <c r="D73" s="58" t="str">
        <f>D1</f>
        <v xml:space="preserve"> FY 25</v>
      </c>
      <c r="E73" s="58" t="str">
        <f t="shared" ref="E73" si="16">E1</f>
        <v xml:space="preserve"> FY 26</v>
      </c>
      <c r="F73" s="58" t="str">
        <f>F1</f>
        <v xml:space="preserve"> FY 27</v>
      </c>
      <c r="G73" s="58" t="str">
        <f>G1</f>
        <v xml:space="preserve"> FY 28</v>
      </c>
    </row>
    <row r="74" spans="1:7" x14ac:dyDescent="0.25">
      <c r="A74" s="60" t="s">
        <v>69</v>
      </c>
      <c r="B74" s="7">
        <f>'FY23'!L74</f>
        <v>16365492</v>
      </c>
      <c r="C74" s="7">
        <f>'FY24'!L74</f>
        <v>17575597.610999998</v>
      </c>
      <c r="D74" s="7">
        <f>'FY25'!L74</f>
        <v>18103434.400622997</v>
      </c>
      <c r="E74" s="7">
        <f>'FY26'!L74</f>
        <v>18528307.562174119</v>
      </c>
      <c r="F74" s="7">
        <f>'FY27'!L74</f>
        <v>18845972.514494177</v>
      </c>
      <c r="G74" s="7">
        <f>'FY28'!L74</f>
        <v>19090970.157182597</v>
      </c>
    </row>
    <row r="75" spans="1:7" x14ac:dyDescent="0.25">
      <c r="A75" s="62" t="s">
        <v>70</v>
      </c>
      <c r="B75" s="7">
        <f>'FY23'!L75</f>
        <v>0</v>
      </c>
      <c r="C75" s="7">
        <f>'FY24'!L75</f>
        <v>0</v>
      </c>
      <c r="D75" s="7">
        <f>'FY25'!L75</f>
        <v>0</v>
      </c>
      <c r="E75" s="7">
        <f>'FY26'!L75</f>
        <v>0</v>
      </c>
      <c r="F75" s="7">
        <f>'FY27'!L75</f>
        <v>0</v>
      </c>
      <c r="G75" s="7">
        <f>'FY28'!L75</f>
        <v>0</v>
      </c>
    </row>
    <row r="76" spans="1:7" x14ac:dyDescent="0.25">
      <c r="A76" s="62" t="s">
        <v>71</v>
      </c>
      <c r="B76" s="7">
        <f>'FY23'!L76</f>
        <v>457903.90800000005</v>
      </c>
      <c r="C76" s="7">
        <f>'FY24'!L76</f>
        <v>599508</v>
      </c>
      <c r="D76" s="7">
        <f>'FY25'!L76</f>
        <v>609588</v>
      </c>
      <c r="E76" s="7">
        <f>'FY26'!L76</f>
        <v>615888</v>
      </c>
      <c r="F76" s="7">
        <f>'FY27'!L76</f>
        <v>618408</v>
      </c>
      <c r="G76" s="7">
        <f>'FY28'!L76</f>
        <v>618408</v>
      </c>
    </row>
    <row r="77" spans="1:7" x14ac:dyDescent="0.25">
      <c r="A77" s="62" t="s">
        <v>72</v>
      </c>
      <c r="B77" s="7">
        <f>'FY23'!L77</f>
        <v>270750</v>
      </c>
      <c r="C77" s="7">
        <f>'FY24'!L77</f>
        <v>287038.43582887703</v>
      </c>
      <c r="D77" s="7">
        <f>'FY25'!L77</f>
        <v>291864.6390374332</v>
      </c>
      <c r="E77" s="7">
        <f>'FY26'!L77</f>
        <v>294881.01604278077</v>
      </c>
      <c r="F77" s="7">
        <f>'FY27'!L77</f>
        <v>296087.56684491981</v>
      </c>
      <c r="G77" s="7">
        <f>'FY28'!L77</f>
        <v>296087.56684491981</v>
      </c>
    </row>
    <row r="78" spans="1:7" x14ac:dyDescent="0.25">
      <c r="A78" s="141" t="s">
        <v>73</v>
      </c>
      <c r="B78" s="7">
        <f>'FY23'!L78</f>
        <v>785175</v>
      </c>
      <c r="C78" s="7">
        <f>'FY24'!L78</f>
        <v>755364.30481283437</v>
      </c>
      <c r="D78" s="7">
        <f>'FY25'!L78</f>
        <v>768064.83957219252</v>
      </c>
      <c r="E78" s="7">
        <f>'FY26'!L78</f>
        <v>791522.72727272741</v>
      </c>
      <c r="F78" s="7">
        <f>'FY27'!L78</f>
        <v>794761.36363636365</v>
      </c>
      <c r="G78" s="7">
        <f>'FY28'!L78</f>
        <v>794761.36363636365</v>
      </c>
    </row>
    <row r="79" spans="1:7" x14ac:dyDescent="0.25">
      <c r="A79" s="62" t="s">
        <v>74</v>
      </c>
      <c r="B79" s="7">
        <f>'FY23'!L79</f>
        <v>53955</v>
      </c>
      <c r="C79" s="7">
        <f>'FY24'!L79</f>
        <v>57200.955882352937</v>
      </c>
      <c r="D79" s="7">
        <f>'FY25'!L79</f>
        <v>58162.720588235286</v>
      </c>
      <c r="E79" s="7">
        <f>'FY26'!L79</f>
        <v>58763.823529411762</v>
      </c>
      <c r="F79" s="7">
        <f>'FY27'!L79</f>
        <v>59004.26470588235</v>
      </c>
      <c r="G79" s="7">
        <f>'FY28'!L79</f>
        <v>64742.294117647056</v>
      </c>
    </row>
    <row r="80" spans="1:7" x14ac:dyDescent="0.25">
      <c r="A80" s="62" t="s">
        <v>75</v>
      </c>
      <c r="B80" s="7">
        <f>'FY23'!L80</f>
        <v>44096</v>
      </c>
      <c r="C80" s="7">
        <f>'FY24'!L80</f>
        <v>46748.834224598933</v>
      </c>
      <c r="D80" s="7">
        <f>'FY25'!L80</f>
        <v>47534.859180035659</v>
      </c>
      <c r="E80" s="7">
        <f>'FY26'!L80</f>
        <v>48026.124777183606</v>
      </c>
      <c r="F80" s="7">
        <f>'FY27'!L80</f>
        <v>48222.631016042782</v>
      </c>
      <c r="G80" s="7">
        <f>'FY28'!L80</f>
        <v>52089.54010695187</v>
      </c>
    </row>
    <row r="81" spans="1:7" x14ac:dyDescent="0.25">
      <c r="A81" s="62" t="s">
        <v>76</v>
      </c>
      <c r="B81" s="7">
        <f>'FY23'!L81</f>
        <v>124597</v>
      </c>
      <c r="C81" s="7">
        <f>'FY24'!L81</f>
        <v>132092.80882352943</v>
      </c>
      <c r="D81" s="7">
        <f>'FY25'!L81</f>
        <v>134313.78921568629</v>
      </c>
      <c r="E81" s="7">
        <f>'FY26'!L81</f>
        <v>135701.90196078434</v>
      </c>
      <c r="F81" s="7">
        <f>'FY27'!L81</f>
        <v>136257.14705882352</v>
      </c>
      <c r="G81" s="7">
        <f>'FY28'!L81</f>
        <v>153218.61764705883</v>
      </c>
    </row>
    <row r="82" spans="1:7" x14ac:dyDescent="0.25">
      <c r="A82" s="62" t="s">
        <v>247</v>
      </c>
      <c r="B82" s="7">
        <f>'FY23'!L82</f>
        <v>88000</v>
      </c>
      <c r="C82" s="7">
        <f>'FY24'!L82</f>
        <v>170000</v>
      </c>
      <c r="D82" s="7">
        <f>'FY25'!L82</f>
        <v>275000</v>
      </c>
      <c r="E82" s="7">
        <f>'FY26'!L82</f>
        <v>368000</v>
      </c>
      <c r="F82" s="7">
        <f>'FY27'!L82</f>
        <v>468000</v>
      </c>
      <c r="G82" s="7">
        <f>'FY28'!L82</f>
        <v>492000</v>
      </c>
    </row>
    <row r="83" spans="1:7" x14ac:dyDescent="0.25">
      <c r="A83" s="154" t="s">
        <v>78</v>
      </c>
      <c r="B83" s="7">
        <f>'FY23'!L83</f>
        <v>0</v>
      </c>
      <c r="C83" s="7">
        <f>'FY24'!L83</f>
        <v>0</v>
      </c>
      <c r="D83" s="7">
        <f>'FY25'!L83</f>
        <v>0</v>
      </c>
      <c r="E83" s="7">
        <f>'FY26'!L83</f>
        <v>0</v>
      </c>
      <c r="F83" s="7">
        <f>'FY27'!L83</f>
        <v>0</v>
      </c>
      <c r="G83" s="7">
        <f>'FY28'!L83</f>
        <v>0</v>
      </c>
    </row>
    <row r="84" spans="1:7" x14ac:dyDescent="0.25">
      <c r="A84" s="62" t="s">
        <v>77</v>
      </c>
      <c r="B84" s="7">
        <f>'FY23'!L84</f>
        <v>0</v>
      </c>
      <c r="C84" s="7">
        <f>'FY24'!L84</f>
        <v>0</v>
      </c>
      <c r="D84" s="7">
        <f>'FY25'!L84</f>
        <v>0</v>
      </c>
      <c r="E84" s="7">
        <f>'FY26'!L84</f>
        <v>0</v>
      </c>
      <c r="F84" s="7">
        <f>'FY27'!L84</f>
        <v>0</v>
      </c>
      <c r="G84" s="7">
        <f>'FY28'!L84</f>
        <v>0</v>
      </c>
    </row>
    <row r="85" spans="1:7" ht="15.75" thickBot="1" x14ac:dyDescent="0.3">
      <c r="A85" s="65" t="s">
        <v>79</v>
      </c>
      <c r="B85" s="7">
        <f>'FY23'!L85</f>
        <v>38480</v>
      </c>
      <c r="C85" s="7">
        <f>'FY24'!L85</f>
        <v>40160</v>
      </c>
      <c r="D85" s="7">
        <f>'FY25'!L85</f>
        <v>40160</v>
      </c>
      <c r="E85" s="7">
        <f>'FY26'!L85</f>
        <v>40880</v>
      </c>
      <c r="F85" s="7">
        <f>'FY27'!L85</f>
        <v>42320</v>
      </c>
      <c r="G85" s="7">
        <f>'FY28'!L85</f>
        <v>41600</v>
      </c>
    </row>
    <row r="86" spans="1:7" ht="15.75" thickBot="1" x14ac:dyDescent="0.3">
      <c r="A86" s="67" t="s">
        <v>80</v>
      </c>
      <c r="B86" s="68">
        <f>SUM(B74:B85)</f>
        <v>18228448.908</v>
      </c>
      <c r="C86" s="68">
        <f>SUM(C74:C85)</f>
        <v>19663710.950572189</v>
      </c>
      <c r="D86" s="68">
        <f>SUM(D74:D85)</f>
        <v>20328123.248216584</v>
      </c>
      <c r="E86" s="68">
        <f t="shared" ref="E86:G86" si="17">SUM(E74:E85)</f>
        <v>20881971.155757003</v>
      </c>
      <c r="F86" s="68">
        <f t="shared" si="17"/>
        <v>21309033.487756208</v>
      </c>
      <c r="G86" s="68">
        <f t="shared" si="17"/>
        <v>21603877.539535541</v>
      </c>
    </row>
    <row r="87" spans="1:7" x14ac:dyDescent="0.25">
      <c r="A87" s="60" t="s">
        <v>69</v>
      </c>
      <c r="B87" s="7">
        <f>'FY23'!L87</f>
        <v>16365492</v>
      </c>
      <c r="C87" s="7">
        <f>'FY24'!L87</f>
        <v>17575597.610999998</v>
      </c>
      <c r="D87" s="7">
        <f>'FY25'!L87</f>
        <v>18103434.400622997</v>
      </c>
      <c r="E87" s="7">
        <f>'FY26'!L87</f>
        <v>18528307.562174119</v>
      </c>
      <c r="F87" s="7">
        <f>'FY27'!L87</f>
        <v>18845972.514494177</v>
      </c>
      <c r="G87" s="7">
        <f>'FY28'!L87</f>
        <v>19090970.157182597</v>
      </c>
    </row>
    <row r="88" spans="1:7" x14ac:dyDescent="0.25">
      <c r="A88" s="62" t="s">
        <v>201</v>
      </c>
      <c r="B88" s="7">
        <f>'FY23'!L88</f>
        <v>0</v>
      </c>
      <c r="C88" s="7">
        <f>'FY24'!L88</f>
        <v>0</v>
      </c>
      <c r="D88" s="7">
        <f>'FY25'!L88</f>
        <v>0</v>
      </c>
      <c r="E88" s="7">
        <f>'FY26'!L88</f>
        <v>0</v>
      </c>
      <c r="F88" s="7">
        <f>'FY27'!L88</f>
        <v>0</v>
      </c>
      <c r="G88" s="7">
        <f>'FY28'!L88</f>
        <v>0</v>
      </c>
    </row>
    <row r="89" spans="1:7" x14ac:dyDescent="0.25">
      <c r="A89" s="62" t="s">
        <v>71</v>
      </c>
      <c r="B89" s="7">
        <f>'FY23'!L89</f>
        <v>457903.90800000005</v>
      </c>
      <c r="C89" s="7">
        <f>'FY24'!L89</f>
        <v>599508</v>
      </c>
      <c r="D89" s="7">
        <f>'FY25'!L89</f>
        <v>609588</v>
      </c>
      <c r="E89" s="7">
        <f>'FY26'!L89</f>
        <v>615888</v>
      </c>
      <c r="F89" s="7">
        <f>'FY27'!L89</f>
        <v>618408</v>
      </c>
      <c r="G89" s="7">
        <f>'FY28'!L89</f>
        <v>618408</v>
      </c>
    </row>
    <row r="90" spans="1:7" x14ac:dyDescent="0.25">
      <c r="A90" s="62" t="s">
        <v>72</v>
      </c>
      <c r="B90" s="7">
        <f>'FY23'!L90</f>
        <v>270750</v>
      </c>
      <c r="C90" s="7">
        <f>'FY24'!L90</f>
        <v>287038.43582887703</v>
      </c>
      <c r="D90" s="7">
        <f>'FY25'!L90</f>
        <v>291864.6390374332</v>
      </c>
      <c r="E90" s="7">
        <f>'FY26'!L90</f>
        <v>294881.01604278077</v>
      </c>
      <c r="F90" s="7">
        <f>'FY27'!L90</f>
        <v>296087.56684491981</v>
      </c>
      <c r="G90" s="7">
        <f>'FY28'!L90</f>
        <v>296087.56684491981</v>
      </c>
    </row>
    <row r="91" spans="1:7" x14ac:dyDescent="0.25">
      <c r="A91" s="141" t="s">
        <v>73</v>
      </c>
      <c r="B91" s="7">
        <f>'FY23'!L91</f>
        <v>785175</v>
      </c>
      <c r="C91" s="7">
        <f>'FY24'!L91</f>
        <v>755364.30481283437</v>
      </c>
      <c r="D91" s="7">
        <f>'FY25'!L91</f>
        <v>768064.83957219252</v>
      </c>
      <c r="E91" s="7">
        <f>'FY26'!L91</f>
        <v>791522.72727272741</v>
      </c>
      <c r="F91" s="7">
        <f>'FY27'!L91</f>
        <v>794761.36363636365</v>
      </c>
      <c r="G91" s="7">
        <f>'FY28'!L91</f>
        <v>794761.36363636365</v>
      </c>
    </row>
    <row r="92" spans="1:7" x14ac:dyDescent="0.25">
      <c r="A92" s="62" t="s">
        <v>74</v>
      </c>
      <c r="B92" s="7">
        <f>'FY23'!L92</f>
        <v>53955</v>
      </c>
      <c r="C92" s="7">
        <f>'FY24'!L92</f>
        <v>57200.955882352937</v>
      </c>
      <c r="D92" s="7">
        <f>'FY25'!L92</f>
        <v>58162.720588235286</v>
      </c>
      <c r="E92" s="7">
        <f>'FY26'!L92</f>
        <v>58763.823529411762</v>
      </c>
      <c r="F92" s="7">
        <f>'FY27'!L92</f>
        <v>59004.26470588235</v>
      </c>
      <c r="G92" s="7">
        <f>'FY28'!L92</f>
        <v>64742.294117647056</v>
      </c>
    </row>
    <row r="93" spans="1:7" x14ac:dyDescent="0.25">
      <c r="A93" s="62" t="s">
        <v>75</v>
      </c>
      <c r="B93" s="7">
        <f>'FY23'!L93</f>
        <v>44096</v>
      </c>
      <c r="C93" s="7">
        <f>'FY24'!L93</f>
        <v>46748.834224598933</v>
      </c>
      <c r="D93" s="7">
        <f>'FY25'!L93</f>
        <v>47534.859180035659</v>
      </c>
      <c r="E93" s="7">
        <f>'FY26'!L93</f>
        <v>48026.124777183606</v>
      </c>
      <c r="F93" s="7">
        <f>'FY27'!L93</f>
        <v>48222.631016042782</v>
      </c>
      <c r="G93" s="7">
        <f>'FY28'!L93</f>
        <v>52089.54010695187</v>
      </c>
    </row>
    <row r="94" spans="1:7" x14ac:dyDescent="0.25">
      <c r="A94" s="62" t="s">
        <v>76</v>
      </c>
      <c r="B94" s="7">
        <f>'FY23'!L94</f>
        <v>124597</v>
      </c>
      <c r="C94" s="7">
        <f>'FY24'!L94</f>
        <v>132092.80882352943</v>
      </c>
      <c r="D94" s="7">
        <f>'FY25'!L94</f>
        <v>134313.78921568629</v>
      </c>
      <c r="E94" s="7">
        <f>'FY26'!L94</f>
        <v>135701.90196078434</v>
      </c>
      <c r="F94" s="7">
        <f>'FY27'!L94</f>
        <v>136257.14705882352</v>
      </c>
      <c r="G94" s="7">
        <f>'FY28'!L94</f>
        <v>153218.61764705883</v>
      </c>
    </row>
    <row r="95" spans="1:7" x14ac:dyDescent="0.25">
      <c r="A95" s="62" t="s">
        <v>202</v>
      </c>
      <c r="B95" s="7">
        <f>'FY23'!L95</f>
        <v>88000</v>
      </c>
      <c r="C95" s="7">
        <f>'FY24'!L95</f>
        <v>170000</v>
      </c>
      <c r="D95" s="7">
        <f>'FY25'!L95</f>
        <v>275000</v>
      </c>
      <c r="E95" s="7">
        <f>'FY26'!L95</f>
        <v>368000</v>
      </c>
      <c r="F95" s="7">
        <f>'FY27'!L95</f>
        <v>468000</v>
      </c>
      <c r="G95" s="7">
        <f>'FY28'!L95</f>
        <v>492000</v>
      </c>
    </row>
    <row r="96" spans="1:7" x14ac:dyDescent="0.25">
      <c r="A96" s="62" t="s">
        <v>203</v>
      </c>
      <c r="B96" s="7">
        <f>'FY23'!L96</f>
        <v>0</v>
      </c>
      <c r="C96" s="7">
        <f>'FY24'!L96</f>
        <v>0</v>
      </c>
      <c r="D96" s="7">
        <f>'FY25'!L96</f>
        <v>0</v>
      </c>
      <c r="E96" s="7">
        <f>'FY26'!L96</f>
        <v>0</v>
      </c>
      <c r="F96" s="7">
        <f>'FY27'!L96</f>
        <v>0</v>
      </c>
      <c r="G96" s="7">
        <f>'FY28'!L96</f>
        <v>0</v>
      </c>
    </row>
    <row r="97" spans="1:7" x14ac:dyDescent="0.25">
      <c r="A97" s="62" t="s">
        <v>77</v>
      </c>
      <c r="B97" s="7">
        <f>'FY23'!L97</f>
        <v>0</v>
      </c>
      <c r="C97" s="7">
        <f>'FY24'!L97</f>
        <v>0</v>
      </c>
      <c r="D97" s="7">
        <f>'FY25'!L97</f>
        <v>0</v>
      </c>
      <c r="E97" s="7">
        <f>'FY26'!L97</f>
        <v>0</v>
      </c>
      <c r="F97" s="7">
        <f>'FY27'!L97</f>
        <v>0</v>
      </c>
      <c r="G97" s="7">
        <f>'FY28'!L97</f>
        <v>0</v>
      </c>
    </row>
    <row r="98" spans="1:7" ht="15.75" thickBot="1" x14ac:dyDescent="0.3">
      <c r="A98" s="65" t="s">
        <v>204</v>
      </c>
      <c r="B98" s="7">
        <f>'FY23'!L98</f>
        <v>38480</v>
      </c>
      <c r="C98" s="7">
        <f>'FY24'!L98</f>
        <v>40160</v>
      </c>
      <c r="D98" s="7">
        <f>'FY25'!L98</f>
        <v>40160</v>
      </c>
      <c r="E98" s="7">
        <f>'FY26'!L98</f>
        <v>40880</v>
      </c>
      <c r="F98" s="7">
        <f>'FY27'!L98</f>
        <v>42320</v>
      </c>
      <c r="G98" s="7">
        <f>'FY28'!L98</f>
        <v>41600</v>
      </c>
    </row>
    <row r="99" spans="1:7" ht="15.75" thickBot="1" x14ac:dyDescent="0.3">
      <c r="A99" s="67" t="s">
        <v>81</v>
      </c>
      <c r="B99" s="68">
        <f>SUM(B87:B98)</f>
        <v>18228448.908</v>
      </c>
      <c r="C99" s="68">
        <f>SUM(C87:C98)</f>
        <v>19663710.950572189</v>
      </c>
      <c r="D99" s="68">
        <f>SUM(D87:D98)</f>
        <v>20328123.248216584</v>
      </c>
      <c r="E99" s="68">
        <f t="shared" ref="E99:G99" si="18">SUM(E87:E98)</f>
        <v>20881971.155757003</v>
      </c>
      <c r="F99" s="68">
        <f t="shared" si="18"/>
        <v>21309033.487756208</v>
      </c>
      <c r="G99" s="68">
        <f t="shared" si="18"/>
        <v>21603877.539535541</v>
      </c>
    </row>
    <row r="100" spans="1:7" x14ac:dyDescent="0.25">
      <c r="A100" s="70"/>
      <c r="B100" s="55"/>
      <c r="C100" s="55"/>
      <c r="D100" s="55"/>
      <c r="E100" s="55"/>
      <c r="F100" s="55"/>
      <c r="G100" s="55"/>
    </row>
    <row r="101" spans="1:7" ht="15.75" thickBot="1" x14ac:dyDescent="0.3">
      <c r="A101" s="73" t="s">
        <v>82</v>
      </c>
      <c r="B101" s="74" t="str">
        <f>B1</f>
        <v xml:space="preserve"> FY 23</v>
      </c>
      <c r="C101" s="74" t="str">
        <f>C1</f>
        <v xml:space="preserve"> FY 24</v>
      </c>
      <c r="D101" s="74" t="str">
        <f>D1</f>
        <v xml:space="preserve"> FY 25</v>
      </c>
      <c r="E101" s="74" t="str">
        <f t="shared" ref="E101:G101" si="19">E1</f>
        <v xml:space="preserve"> FY 26</v>
      </c>
      <c r="F101" s="74" t="str">
        <f t="shared" si="19"/>
        <v xml:space="preserve"> FY 27</v>
      </c>
      <c r="G101" s="74" t="str">
        <f t="shared" si="19"/>
        <v xml:space="preserve"> FY 28</v>
      </c>
    </row>
    <row r="102" spans="1:7" x14ac:dyDescent="0.25">
      <c r="A102" s="76" t="s">
        <v>83</v>
      </c>
      <c r="B102" s="77"/>
      <c r="C102" s="77"/>
      <c r="D102" s="77"/>
      <c r="E102" s="77"/>
      <c r="F102" s="77"/>
      <c r="G102" s="77"/>
    </row>
    <row r="103" spans="1:7" x14ac:dyDescent="0.25">
      <c r="A103" s="62" t="s">
        <v>41</v>
      </c>
      <c r="B103" s="7">
        <f>'FY23'!L103</f>
        <v>138210.51</v>
      </c>
      <c r="C103" s="7">
        <f>'FY24'!L103</f>
        <v>140974.72020000001</v>
      </c>
      <c r="D103" s="7">
        <f>'FY25'!L103</f>
        <v>143794.21460400001</v>
      </c>
      <c r="E103" s="7">
        <f>'FY26'!L103</f>
        <v>146670.09889608002</v>
      </c>
      <c r="F103" s="7">
        <f>'FY27'!L103</f>
        <v>149603.50087400162</v>
      </c>
      <c r="G103" s="7">
        <f>'FY28'!L103</f>
        <v>152595.57089148165</v>
      </c>
    </row>
    <row r="104" spans="1:7" x14ac:dyDescent="0.25">
      <c r="A104" s="62" t="s">
        <v>84</v>
      </c>
      <c r="B104" s="7">
        <f>'FY23'!L104</f>
        <v>325249.848</v>
      </c>
      <c r="C104" s="7">
        <f>'FY24'!L104</f>
        <v>331754.84496000002</v>
      </c>
      <c r="D104" s="7">
        <f>'FY25'!L104</f>
        <v>338389.94185920001</v>
      </c>
      <c r="E104" s="7">
        <f>'FY26'!L104</f>
        <v>345157.74069638405</v>
      </c>
      <c r="F104" s="7">
        <f>'FY27'!L104</f>
        <v>352060.89551031176</v>
      </c>
      <c r="G104" s="7">
        <f>'FY28'!L104</f>
        <v>359102.113420518</v>
      </c>
    </row>
    <row r="105" spans="1:7" x14ac:dyDescent="0.25">
      <c r="A105" s="62" t="s">
        <v>45</v>
      </c>
      <c r="B105" s="7">
        <f>'FY23'!L105</f>
        <v>63360.359999999993</v>
      </c>
      <c r="C105" s="7">
        <f>'FY24'!L105</f>
        <v>64627.567199999998</v>
      </c>
      <c r="D105" s="7">
        <f>'FY25'!L105</f>
        <v>65920.118543999997</v>
      </c>
      <c r="E105" s="7">
        <f>'FY26'!L105</f>
        <v>67238.520914879991</v>
      </c>
      <c r="F105" s="7">
        <f>'FY27'!L105</f>
        <v>68583.291333177593</v>
      </c>
      <c r="G105" s="7">
        <f>'FY28'!L105</f>
        <v>69954.957159841142</v>
      </c>
    </row>
    <row r="106" spans="1:7" x14ac:dyDescent="0.25">
      <c r="A106" s="62" t="s">
        <v>210</v>
      </c>
      <c r="B106" s="7">
        <f>'FY23'!L106</f>
        <v>0</v>
      </c>
      <c r="C106" s="7">
        <f>'FY24'!L106</f>
        <v>0</v>
      </c>
      <c r="D106" s="7">
        <f>'FY25'!L106</f>
        <v>0</v>
      </c>
      <c r="E106" s="7">
        <f>'FY26'!L106</f>
        <v>0</v>
      </c>
      <c r="F106" s="7">
        <f>'FY27'!L106</f>
        <v>0</v>
      </c>
      <c r="G106" s="7">
        <f>'FY28'!L106</f>
        <v>0</v>
      </c>
    </row>
    <row r="107" spans="1:7" x14ac:dyDescent="0.25">
      <c r="A107" s="62" t="s">
        <v>87</v>
      </c>
      <c r="B107" s="7">
        <f>'FY23'!L107</f>
        <v>308881.755</v>
      </c>
      <c r="C107" s="7">
        <f>'FY24'!L107</f>
        <v>315059.39010000002</v>
      </c>
      <c r="D107" s="7">
        <f>'FY25'!L107</f>
        <v>321360.57790200005</v>
      </c>
      <c r="E107" s="7">
        <f>'FY26'!L107</f>
        <v>327787.78946004005</v>
      </c>
      <c r="F107" s="7">
        <f>'FY27'!L107</f>
        <v>334343.54524924088</v>
      </c>
      <c r="G107" s="7">
        <f>'FY28'!L107</f>
        <v>341030.41615422571</v>
      </c>
    </row>
    <row r="108" spans="1:7" x14ac:dyDescent="0.25">
      <c r="A108" s="62" t="s">
        <v>89</v>
      </c>
      <c r="B108" s="7">
        <f>'FY23'!L108</f>
        <v>4316050</v>
      </c>
      <c r="C108" s="7">
        <f>'FY24'!L108</f>
        <v>4723900</v>
      </c>
      <c r="D108" s="7">
        <f>'FY25'!L108</f>
        <v>4870600</v>
      </c>
      <c r="E108" s="7">
        <f>'FY26'!L108</f>
        <v>5019300</v>
      </c>
      <c r="F108" s="7">
        <f>'FY27'!L108</f>
        <v>5175000</v>
      </c>
      <c r="G108" s="7">
        <f>'FY28'!L108</f>
        <v>5280000</v>
      </c>
    </row>
    <row r="109" spans="1:7" x14ac:dyDescent="0.25">
      <c r="A109" s="62" t="s">
        <v>90</v>
      </c>
      <c r="B109" s="7">
        <f>'FY23'!L109</f>
        <v>0</v>
      </c>
      <c r="C109" s="7">
        <f>'FY24'!L109</f>
        <v>0</v>
      </c>
      <c r="D109" s="7">
        <f>'FY25'!L109</f>
        <v>0</v>
      </c>
      <c r="E109" s="7">
        <f>'FY26'!L109</f>
        <v>0</v>
      </c>
      <c r="F109" s="7">
        <f>'FY27'!L109</f>
        <v>0</v>
      </c>
      <c r="G109" s="7">
        <f>'FY28'!L109</f>
        <v>0</v>
      </c>
    </row>
    <row r="110" spans="1:7" x14ac:dyDescent="0.25">
      <c r="A110" s="62" t="s">
        <v>30</v>
      </c>
      <c r="B110" s="7">
        <f>'FY23'!L110</f>
        <v>620425</v>
      </c>
      <c r="C110" s="7">
        <f>'FY24'!L110</f>
        <v>633100</v>
      </c>
      <c r="D110" s="7">
        <f>'FY25'!L110</f>
        <v>646100</v>
      </c>
      <c r="E110" s="7">
        <f>'FY26'!L110</f>
        <v>659100</v>
      </c>
      <c r="F110" s="7">
        <f>'FY27'!L110</f>
        <v>672750</v>
      </c>
      <c r="G110" s="7">
        <f>'FY28'!L110</f>
        <v>686400</v>
      </c>
    </row>
    <row r="111" spans="1:7" x14ac:dyDescent="0.25">
      <c r="A111" s="62" t="s">
        <v>91</v>
      </c>
      <c r="B111" s="7">
        <f>'FY23'!L111</f>
        <v>194450.76</v>
      </c>
      <c r="C111" s="7">
        <f>'FY24'!L111</f>
        <v>198339.7752</v>
      </c>
      <c r="D111" s="7">
        <f>'FY25'!L111</f>
        <v>202306.57070400001</v>
      </c>
      <c r="E111" s="7">
        <f>'FY26'!L111</f>
        <v>206352.70211808002</v>
      </c>
      <c r="F111" s="7">
        <f>'FY27'!L111</f>
        <v>210479.75616044164</v>
      </c>
      <c r="G111" s="7">
        <f>'FY28'!L111</f>
        <v>214689.35128365047</v>
      </c>
    </row>
    <row r="112" spans="1:7" x14ac:dyDescent="0.25">
      <c r="A112" s="62" t="s">
        <v>92</v>
      </c>
      <c r="B112" s="7">
        <f>'FY23'!L112</f>
        <v>205445.96729999996</v>
      </c>
      <c r="C112" s="7">
        <f>'FY24'!L112</f>
        <v>203935.33518749996</v>
      </c>
      <c r="D112" s="7">
        <f>'FY25'!L112</f>
        <v>203935.33518749996</v>
      </c>
      <c r="E112" s="7">
        <f>'FY26'!L112</f>
        <v>203935.33518749996</v>
      </c>
      <c r="F112" s="7">
        <f>'FY27'!L112</f>
        <v>203935.33518749996</v>
      </c>
      <c r="G112" s="7">
        <f>'FY28'!L112</f>
        <v>208014.04189124997</v>
      </c>
    </row>
    <row r="113" spans="1:7" x14ac:dyDescent="0.25">
      <c r="A113" s="62" t="s">
        <v>93</v>
      </c>
      <c r="B113" s="7">
        <f>'FY23'!L113</f>
        <v>342720</v>
      </c>
      <c r="C113" s="7">
        <f>'FY24'!L113</f>
        <v>354960</v>
      </c>
      <c r="D113" s="7">
        <f>'FY25'!L113</f>
        <v>403560</v>
      </c>
      <c r="E113" s="7">
        <f>'FY26'!L113</f>
        <v>453600</v>
      </c>
      <c r="F113" s="7">
        <f>'FY27'!L113</f>
        <v>505080</v>
      </c>
      <c r="G113" s="7">
        <f>'FY28'!L113</f>
        <v>505080</v>
      </c>
    </row>
    <row r="114" spans="1:7" x14ac:dyDescent="0.25">
      <c r="A114" s="62" t="s">
        <v>94</v>
      </c>
      <c r="B114" s="7">
        <f>'FY23'!L114</f>
        <v>136800</v>
      </c>
      <c r="C114" s="7">
        <f>'FY24'!L114</f>
        <v>146400</v>
      </c>
      <c r="D114" s="7">
        <f>'FY25'!L114</f>
        <v>148800</v>
      </c>
      <c r="E114" s="7">
        <f>'FY26'!L114</f>
        <v>151200</v>
      </c>
      <c r="F114" s="7">
        <f>'FY27'!L114</f>
        <v>153600</v>
      </c>
      <c r="G114" s="7">
        <f>'FY28'!L114</f>
        <v>156000</v>
      </c>
    </row>
    <row r="115" spans="1:7" x14ac:dyDescent="0.25">
      <c r="A115" s="62" t="s">
        <v>248</v>
      </c>
      <c r="B115" s="7">
        <f>'FY23'!L115</f>
        <v>0</v>
      </c>
      <c r="C115" s="7">
        <f>'FY24'!L115</f>
        <v>0</v>
      </c>
      <c r="D115" s="7">
        <f>'FY25'!L115</f>
        <v>0</v>
      </c>
      <c r="E115" s="7">
        <f>'FY26'!L115</f>
        <v>0</v>
      </c>
      <c r="F115" s="7">
        <f>'FY27'!L115</f>
        <v>0</v>
      </c>
      <c r="G115" s="7">
        <f>'FY28'!L115</f>
        <v>0</v>
      </c>
    </row>
    <row r="116" spans="1:7" ht="15.75" thickBot="1" x14ac:dyDescent="0.3">
      <c r="A116" s="82" t="s">
        <v>95</v>
      </c>
      <c r="B116" s="83">
        <f>SUM(B103:B115)</f>
        <v>6651594.2002999997</v>
      </c>
      <c r="C116" s="83">
        <f>SUM(C103:C115)</f>
        <v>7113051.632847501</v>
      </c>
      <c r="D116" s="83">
        <f t="shared" ref="D116:G116" si="20">SUM(D103:D115)</f>
        <v>7344766.7588007003</v>
      </c>
      <c r="E116" s="83">
        <f t="shared" si="20"/>
        <v>7580342.187272964</v>
      </c>
      <c r="F116" s="83">
        <f t="shared" si="20"/>
        <v>7825436.3243146744</v>
      </c>
      <c r="G116" s="83">
        <f t="shared" si="20"/>
        <v>7972866.4508009674</v>
      </c>
    </row>
    <row r="117" spans="1:7" x14ac:dyDescent="0.25">
      <c r="A117" s="84" t="s">
        <v>96</v>
      </c>
      <c r="B117" s="150" t="str">
        <f>B1</f>
        <v xml:space="preserve"> FY 23</v>
      </c>
      <c r="C117" s="150" t="str">
        <f>C1</f>
        <v xml:space="preserve"> FY 24</v>
      </c>
      <c r="D117" s="150" t="str">
        <f>D1</f>
        <v xml:space="preserve"> FY 25</v>
      </c>
      <c r="E117" s="150" t="str">
        <f t="shared" ref="E117:G117" si="21">E1</f>
        <v xml:space="preserve"> FY 26</v>
      </c>
      <c r="F117" s="150" t="str">
        <f t="shared" si="21"/>
        <v xml:space="preserve"> FY 27</v>
      </c>
      <c r="G117" s="150" t="str">
        <f t="shared" si="21"/>
        <v xml:space="preserve"> FY 28</v>
      </c>
    </row>
    <row r="118" spans="1:7" x14ac:dyDescent="0.25">
      <c r="A118" s="62"/>
      <c r="B118" s="7">
        <f>'FY23'!L118</f>
        <v>0</v>
      </c>
      <c r="C118" s="7">
        <f>'FY24'!L118</f>
        <v>0</v>
      </c>
      <c r="D118" s="7">
        <f>'FY25'!L118</f>
        <v>0</v>
      </c>
      <c r="E118" s="7">
        <f>'FY26'!L118</f>
        <v>0</v>
      </c>
      <c r="F118" s="7">
        <f>'FY27'!L118</f>
        <v>0</v>
      </c>
      <c r="G118" s="7">
        <f>'FY28'!L118</f>
        <v>0</v>
      </c>
    </row>
    <row r="119" spans="1:7" x14ac:dyDescent="0.25">
      <c r="A119" s="62" t="s">
        <v>54</v>
      </c>
      <c r="B119" s="7">
        <f>'FY23'!L119</f>
        <v>65825</v>
      </c>
      <c r="C119" s="7">
        <f>'FY24'!L119</f>
        <v>67141.5</v>
      </c>
      <c r="D119" s="7">
        <f>'FY25'!L119</f>
        <v>68484.33</v>
      </c>
      <c r="E119" s="7">
        <f>'FY26'!L119</f>
        <v>69854.016600000003</v>
      </c>
      <c r="F119" s="7">
        <f>'FY27'!L119</f>
        <v>71251.096932</v>
      </c>
      <c r="G119" s="7">
        <f>'FY28'!L119</f>
        <v>72676.118870639999</v>
      </c>
    </row>
    <row r="120" spans="1:7" x14ac:dyDescent="0.25">
      <c r="A120" s="62" t="s">
        <v>55</v>
      </c>
      <c r="B120" s="7">
        <f>'FY23'!L120</f>
        <v>48000</v>
      </c>
      <c r="C120" s="7">
        <f>'FY24'!L120</f>
        <v>48960</v>
      </c>
      <c r="D120" s="7">
        <f>'FY25'!L120</f>
        <v>49939.200000000004</v>
      </c>
      <c r="E120" s="7">
        <f>'FY26'!L120</f>
        <v>50937.984000000004</v>
      </c>
      <c r="F120" s="7">
        <f>'FY27'!L120</f>
        <v>51956.743680000007</v>
      </c>
      <c r="G120" s="7">
        <f>'FY28'!L120</f>
        <v>52995.878553600007</v>
      </c>
    </row>
    <row r="121" spans="1:7" x14ac:dyDescent="0.25">
      <c r="A121" s="62" t="s">
        <v>56</v>
      </c>
      <c r="B121" s="7">
        <f>'FY23'!L121</f>
        <v>80000</v>
      </c>
      <c r="C121" s="7">
        <f>'FY24'!L121</f>
        <v>81600</v>
      </c>
      <c r="D121" s="7">
        <f>'FY25'!L121</f>
        <v>83232</v>
      </c>
      <c r="E121" s="7">
        <f>'FY26'!L121</f>
        <v>84896.639999999999</v>
      </c>
      <c r="F121" s="7">
        <f>'FY27'!L121</f>
        <v>86594.572799999994</v>
      </c>
      <c r="G121" s="7">
        <f>'FY28'!L121</f>
        <v>88326.464255999992</v>
      </c>
    </row>
    <row r="122" spans="1:7" x14ac:dyDescent="0.25">
      <c r="A122" s="62" t="s">
        <v>97</v>
      </c>
      <c r="B122" s="7">
        <f>'FY23'!L122</f>
        <v>0</v>
      </c>
      <c r="C122" s="7">
        <f>'FY24'!L122</f>
        <v>0</v>
      </c>
      <c r="D122" s="7">
        <f>'FY25'!L122</f>
        <v>0</v>
      </c>
      <c r="E122" s="7">
        <f>'FY26'!L122</f>
        <v>0</v>
      </c>
      <c r="F122" s="7">
        <f>'FY27'!L122</f>
        <v>0</v>
      </c>
      <c r="G122" s="7">
        <f>'FY28'!L122</f>
        <v>0</v>
      </c>
    </row>
    <row r="123" spans="1:7" x14ac:dyDescent="0.25">
      <c r="A123" s="62" t="s">
        <v>58</v>
      </c>
      <c r="B123" s="7">
        <f>'FY23'!L123</f>
        <v>61000</v>
      </c>
      <c r="C123" s="7">
        <f>'FY24'!L123</f>
        <v>62220</v>
      </c>
      <c r="D123" s="7">
        <f>'FY25'!L123</f>
        <v>63464.4</v>
      </c>
      <c r="E123" s="7">
        <f>'FY26'!L123</f>
        <v>64733.688000000002</v>
      </c>
      <c r="F123" s="7">
        <f>'FY27'!L123</f>
        <v>66028.36176</v>
      </c>
      <c r="G123" s="7">
        <f>'FY28'!L123</f>
        <v>67348.928995199996</v>
      </c>
    </row>
    <row r="124" spans="1:7" x14ac:dyDescent="0.25">
      <c r="A124" s="62" t="s">
        <v>98</v>
      </c>
      <c r="B124" s="7">
        <f>'FY23'!L124</f>
        <v>43296.246000000006</v>
      </c>
      <c r="C124" s="7">
        <f>'FY24'!L124</f>
        <v>44162.170920000004</v>
      </c>
      <c r="D124" s="7">
        <f>'FY25'!L124</f>
        <v>45045.414338400005</v>
      </c>
      <c r="E124" s="7">
        <f>'FY26'!L124</f>
        <v>45946.32262516801</v>
      </c>
      <c r="F124" s="7">
        <f>'FY27'!L124</f>
        <v>46865.249077671368</v>
      </c>
      <c r="G124" s="7">
        <f>'FY28'!L124</f>
        <v>47802.554059224793</v>
      </c>
    </row>
    <row r="125" spans="1:7" x14ac:dyDescent="0.25">
      <c r="A125" s="62" t="s">
        <v>99</v>
      </c>
      <c r="B125" s="7">
        <f>'FY23'!L125</f>
        <v>0</v>
      </c>
      <c r="C125" s="7">
        <f>'FY24'!L125</f>
        <v>0</v>
      </c>
      <c r="D125" s="7">
        <f>'FY25'!L125</f>
        <v>0</v>
      </c>
      <c r="E125" s="7">
        <f>'FY26'!L125</f>
        <v>0</v>
      </c>
      <c r="F125" s="7">
        <f>'FY27'!L125</f>
        <v>0</v>
      </c>
      <c r="G125" s="7">
        <f>'FY28'!L125</f>
        <v>0</v>
      </c>
    </row>
    <row r="126" spans="1:7" x14ac:dyDescent="0.25">
      <c r="A126" s="62" t="s">
        <v>100</v>
      </c>
      <c r="B126" s="7">
        <f>'FY23'!L126</f>
        <v>60480</v>
      </c>
      <c r="C126" s="7">
        <f>'FY24'!L126</f>
        <v>62640</v>
      </c>
      <c r="D126" s="7">
        <f>'FY25'!L126</f>
        <v>63720</v>
      </c>
      <c r="E126" s="7">
        <f>'FY26'!L126</f>
        <v>64800</v>
      </c>
      <c r="F126" s="7">
        <f>'FY27'!L126</f>
        <v>65880</v>
      </c>
      <c r="G126" s="7">
        <f>'FY28'!L126</f>
        <v>66960</v>
      </c>
    </row>
    <row r="127" spans="1:7" x14ac:dyDescent="0.25">
      <c r="A127" s="62" t="s">
        <v>101</v>
      </c>
      <c r="B127" s="7">
        <f>'FY23'!L127</f>
        <v>48600</v>
      </c>
      <c r="C127" s="7">
        <f>'FY24'!L127</f>
        <v>48600</v>
      </c>
      <c r="D127" s="7">
        <f>'FY25'!L127</f>
        <v>48600</v>
      </c>
      <c r="E127" s="7">
        <f>'FY26'!L127</f>
        <v>48600</v>
      </c>
      <c r="F127" s="7">
        <f>'FY27'!L127</f>
        <v>48600</v>
      </c>
      <c r="G127" s="7">
        <f>'FY28'!L127</f>
        <v>48600</v>
      </c>
    </row>
    <row r="128" spans="1:7" ht="15.75" thickBot="1" x14ac:dyDescent="0.3">
      <c r="A128" s="82" t="s">
        <v>102</v>
      </c>
      <c r="B128" s="87">
        <f>SUM(B118:B127)</f>
        <v>407201.24599999998</v>
      </c>
      <c r="C128" s="87">
        <f>SUM(C118:C127)</f>
        <v>415323.67092</v>
      </c>
      <c r="D128" s="87">
        <f>SUM(D118:D127)</f>
        <v>422485.3443384</v>
      </c>
      <c r="E128" s="87">
        <f t="shared" ref="E128:G128" si="22">SUM(E118:E127)</f>
        <v>429768.65122516803</v>
      </c>
      <c r="F128" s="87">
        <f t="shared" si="22"/>
        <v>437176.02424967138</v>
      </c>
      <c r="G128" s="87">
        <f t="shared" si="22"/>
        <v>444709.94473466475</v>
      </c>
    </row>
    <row r="129" spans="1:7" ht="15.75" thickBot="1" x14ac:dyDescent="0.3">
      <c r="A129" s="89" t="s">
        <v>103</v>
      </c>
      <c r="B129" s="90">
        <f>B116+B128</f>
        <v>7058795.4463</v>
      </c>
      <c r="C129" s="90">
        <f>C116+C128</f>
        <v>7528375.3037675014</v>
      </c>
      <c r="D129" s="90">
        <f>D116+D128</f>
        <v>7767252.1031391006</v>
      </c>
      <c r="E129" s="90">
        <f t="shared" ref="E129" si="23">E116+E128</f>
        <v>8010110.8384981323</v>
      </c>
      <c r="F129" s="90">
        <f>F116+F128</f>
        <v>8262612.3485643454</v>
      </c>
      <c r="G129" s="90">
        <f>G116+G128</f>
        <v>8417576.395535633</v>
      </c>
    </row>
    <row r="130" spans="1:7" x14ac:dyDescent="0.25">
      <c r="A130" s="62" t="s">
        <v>104</v>
      </c>
      <c r="B130" s="7">
        <f>'FY23'!L130</f>
        <v>2099991.6452742498</v>
      </c>
      <c r="C130" s="7">
        <f>'FY24'!L130</f>
        <v>2239691.6528708311</v>
      </c>
      <c r="D130" s="7">
        <f>'FY25'!L130</f>
        <v>2310757.5006838823</v>
      </c>
      <c r="E130" s="7">
        <f>'FY26'!L130</f>
        <v>2383007.9744531941</v>
      </c>
      <c r="F130" s="7">
        <f>'FY27'!L130</f>
        <v>2458127.1736978926</v>
      </c>
      <c r="G130" s="7">
        <f>'FY28'!L130</f>
        <v>2504228.9776718505</v>
      </c>
    </row>
    <row r="131" spans="1:7" x14ac:dyDescent="0.25">
      <c r="A131" s="62" t="s">
        <v>105</v>
      </c>
      <c r="B131" s="7">
        <f>'FY23'!L131</f>
        <v>1231498.2523150002</v>
      </c>
      <c r="C131" s="7">
        <f>'FY24'!L131</f>
        <v>1355107.5546781502</v>
      </c>
      <c r="D131" s="7">
        <f>'FY25'!L131</f>
        <v>1417523.5088228858</v>
      </c>
      <c r="E131" s="7">
        <f>'FY26'!L131</f>
        <v>1481870.5051221545</v>
      </c>
      <c r="F131" s="7">
        <f>'FY27'!L131</f>
        <v>1549239.8153558148</v>
      </c>
      <c r="G131" s="7">
        <f>'FY28'!L131</f>
        <v>1599339.5151517701</v>
      </c>
    </row>
    <row r="132" spans="1:7" x14ac:dyDescent="0.25">
      <c r="A132" s="62" t="s">
        <v>249</v>
      </c>
      <c r="B132" s="7">
        <f>'FY23'!L132</f>
        <v>122490</v>
      </c>
      <c r="C132" s="7">
        <f>'FY24'!L132</f>
        <v>128790</v>
      </c>
      <c r="D132" s="7">
        <f>'FY25'!L132</f>
        <v>130230</v>
      </c>
      <c r="E132" s="7">
        <f>'FY26'!L132</f>
        <v>131670</v>
      </c>
      <c r="F132" s="7">
        <f>'FY27'!L132</f>
        <v>133110</v>
      </c>
      <c r="G132" s="7">
        <f>'FY28'!L132</f>
        <v>133110</v>
      </c>
    </row>
    <row r="133" spans="1:7" x14ac:dyDescent="0.25">
      <c r="A133" s="62" t="s">
        <v>250</v>
      </c>
      <c r="B133" s="7">
        <f>'FY23'!L133</f>
        <v>22000</v>
      </c>
      <c r="C133" s="7">
        <f>'FY24'!L133</f>
        <v>22875</v>
      </c>
      <c r="D133" s="7">
        <f>'FY25'!L133</f>
        <v>23250</v>
      </c>
      <c r="E133" s="7">
        <f>'FY26'!L133</f>
        <v>23625</v>
      </c>
      <c r="F133" s="7">
        <f>'FY27'!L133</f>
        <v>24000</v>
      </c>
      <c r="G133" s="7">
        <f>'FY28'!L133</f>
        <v>24000</v>
      </c>
    </row>
    <row r="134" spans="1:7" x14ac:dyDescent="0.25">
      <c r="A134" s="62" t="s">
        <v>107</v>
      </c>
      <c r="B134" s="7">
        <f>'FY23'!L134</f>
        <v>2500</v>
      </c>
      <c r="C134" s="7">
        <f>'FY24'!L134</f>
        <v>2500</v>
      </c>
      <c r="D134" s="7">
        <f>'FY25'!L134</f>
        <v>2500</v>
      </c>
      <c r="E134" s="7">
        <f>'FY26'!L134</f>
        <v>2500</v>
      </c>
      <c r="F134" s="7">
        <f>'FY27'!L134</f>
        <v>2500</v>
      </c>
      <c r="G134" s="7">
        <f>'FY28'!L134</f>
        <v>2500</v>
      </c>
    </row>
    <row r="135" spans="1:7" x14ac:dyDescent="0.25">
      <c r="A135" s="62" t="s">
        <v>251</v>
      </c>
      <c r="B135" s="7">
        <f>'FY23'!L135</f>
        <v>82750</v>
      </c>
      <c r="C135" s="7">
        <f>'FY24'!L135</f>
        <v>86250</v>
      </c>
      <c r="D135" s="7">
        <f>'FY25'!L135</f>
        <v>87750</v>
      </c>
      <c r="E135" s="7">
        <f>'FY26'!L135</f>
        <v>89250</v>
      </c>
      <c r="F135" s="7">
        <f>'FY27'!L135</f>
        <v>90750</v>
      </c>
      <c r="G135" s="7">
        <f>'FY28'!L135</f>
        <v>90750</v>
      </c>
    </row>
    <row r="136" spans="1:7" x14ac:dyDescent="0.25">
      <c r="A136" s="62" t="s">
        <v>108</v>
      </c>
      <c r="B136" s="7">
        <f>'FY23'!L136</f>
        <v>15500</v>
      </c>
      <c r="C136" s="7">
        <f>'FY24'!L136</f>
        <v>12000</v>
      </c>
      <c r="D136" s="7">
        <f>'FY25'!L136</f>
        <v>12000</v>
      </c>
      <c r="E136" s="7">
        <f>'FY26'!L136</f>
        <v>12000</v>
      </c>
      <c r="F136" s="7">
        <f>'FY27'!L136</f>
        <v>12000</v>
      </c>
      <c r="G136" s="7">
        <f>'FY28'!L136</f>
        <v>12000</v>
      </c>
    </row>
    <row r="137" spans="1:7" x14ac:dyDescent="0.25">
      <c r="A137" s="62" t="s">
        <v>109</v>
      </c>
      <c r="B137" s="7">
        <f>'FY23'!L137</f>
        <v>134650</v>
      </c>
      <c r="C137" s="7">
        <f>'FY24'!L137</f>
        <v>143900</v>
      </c>
      <c r="D137" s="7">
        <f>'FY25'!L137</f>
        <v>145650</v>
      </c>
      <c r="E137" s="7">
        <f>'FY26'!L137</f>
        <v>147400</v>
      </c>
      <c r="F137" s="7">
        <f>'FY27'!L137</f>
        <v>149150</v>
      </c>
      <c r="G137" s="7">
        <f>'FY28'!L137</f>
        <v>149150</v>
      </c>
    </row>
    <row r="138" spans="1:7" ht="15.75" thickBot="1" x14ac:dyDescent="0.3">
      <c r="A138" s="91" t="s">
        <v>110</v>
      </c>
      <c r="B138" s="87">
        <f>SUM(B130:B137)</f>
        <v>3711379.89758925</v>
      </c>
      <c r="C138" s="87">
        <f>SUM(C130:C137)</f>
        <v>3991114.2075489815</v>
      </c>
      <c r="D138" s="87">
        <f>SUM(D130:D137)</f>
        <v>4129661.0095067681</v>
      </c>
      <c r="E138" s="87">
        <f t="shared" ref="E138:G138" si="24">SUM(E130:E137)</f>
        <v>4271323.479575349</v>
      </c>
      <c r="F138" s="87">
        <f t="shared" si="24"/>
        <v>4418876.9890537076</v>
      </c>
      <c r="G138" s="87">
        <f t="shared" si="24"/>
        <v>4515078.4928236203</v>
      </c>
    </row>
    <row r="139" spans="1:7" ht="15.75" thickBot="1" x14ac:dyDescent="0.3">
      <c r="A139" s="95" t="s">
        <v>111</v>
      </c>
      <c r="B139" s="90">
        <f>B129+B138</f>
        <v>10770175.343889249</v>
      </c>
      <c r="C139" s="90">
        <f>C129+C138</f>
        <v>11519489.511316482</v>
      </c>
      <c r="D139" s="90">
        <f>D129+D138</f>
        <v>11896913.112645868</v>
      </c>
      <c r="E139" s="90">
        <f t="shared" ref="E139:G139" si="25">E129+E138</f>
        <v>12281434.318073481</v>
      </c>
      <c r="F139" s="90">
        <f t="shared" si="25"/>
        <v>12681489.337618053</v>
      </c>
      <c r="G139" s="90">
        <f t="shared" si="25"/>
        <v>12932654.888359252</v>
      </c>
    </row>
    <row r="140" spans="1:7" x14ac:dyDescent="0.25">
      <c r="A140" s="97" t="s">
        <v>112</v>
      </c>
      <c r="B140" s="149" t="str">
        <f>B1</f>
        <v xml:space="preserve"> FY 23</v>
      </c>
      <c r="C140" s="149" t="str">
        <f>C1</f>
        <v xml:space="preserve"> FY 24</v>
      </c>
      <c r="D140" s="149" t="str">
        <f>D1</f>
        <v xml:space="preserve"> FY 25</v>
      </c>
      <c r="E140" s="149" t="str">
        <f t="shared" ref="E140:G140" si="26">E1</f>
        <v xml:space="preserve"> FY 26</v>
      </c>
      <c r="F140" s="149" t="str">
        <f t="shared" si="26"/>
        <v xml:space="preserve"> FY 27</v>
      </c>
      <c r="G140" s="149" t="str">
        <f t="shared" si="26"/>
        <v xml:space="preserve"> FY 28</v>
      </c>
    </row>
    <row r="141" spans="1:7" x14ac:dyDescent="0.25">
      <c r="A141" s="98" t="s">
        <v>113</v>
      </c>
      <c r="B141" s="7">
        <f>'FY23'!L141</f>
        <v>314160</v>
      </c>
      <c r="C141" s="7">
        <f>'FY24'!L141</f>
        <v>356850</v>
      </c>
      <c r="D141" s="7">
        <f>'FY25'!L141</f>
        <v>362850</v>
      </c>
      <c r="E141" s="7">
        <f>'FY26'!L141</f>
        <v>366600</v>
      </c>
      <c r="F141" s="7">
        <f>'FY27'!L141</f>
        <v>368100</v>
      </c>
      <c r="G141" s="7">
        <f>'FY28'!L141</f>
        <v>368100</v>
      </c>
    </row>
    <row r="142" spans="1:7" x14ac:dyDescent="0.25">
      <c r="A142" s="99" t="s">
        <v>252</v>
      </c>
      <c r="B142" s="7">
        <f>'FY23'!L142</f>
        <v>258000</v>
      </c>
      <c r="C142" s="7">
        <f>'FY24'!L142</f>
        <v>235000</v>
      </c>
      <c r="D142" s="7">
        <f>'FY25'!L142</f>
        <v>240000</v>
      </c>
      <c r="E142" s="7">
        <f>'FY26'!L142</f>
        <v>245000</v>
      </c>
      <c r="F142" s="7">
        <f>'FY27'!L142</f>
        <v>245000</v>
      </c>
      <c r="G142" s="7">
        <f>'FY28'!L142</f>
        <v>250000</v>
      </c>
    </row>
    <row r="143" spans="1:7" x14ac:dyDescent="0.25">
      <c r="A143" s="62" t="s">
        <v>115</v>
      </c>
      <c r="B143" s="7">
        <f>'FY23'!L143</f>
        <v>121600</v>
      </c>
      <c r="C143" s="7">
        <f>'FY24'!L143</f>
        <v>190000</v>
      </c>
      <c r="D143" s="7">
        <f>'FY25'!L143</f>
        <v>220000</v>
      </c>
      <c r="E143" s="7">
        <f>'FY26'!L143</f>
        <v>175000</v>
      </c>
      <c r="F143" s="7">
        <f>'FY27'!L143</f>
        <v>175000</v>
      </c>
      <c r="G143" s="7">
        <f>'FY28'!L143</f>
        <v>100000</v>
      </c>
    </row>
    <row r="144" spans="1:7" x14ac:dyDescent="0.25">
      <c r="A144" s="62" t="s">
        <v>116</v>
      </c>
      <c r="B144" s="7">
        <f>'FY23'!L144</f>
        <v>75000</v>
      </c>
      <c r="C144" s="7">
        <f>'FY24'!L144</f>
        <v>75000</v>
      </c>
      <c r="D144" s="7">
        <f>'FY25'!L144</f>
        <v>75000</v>
      </c>
      <c r="E144" s="7">
        <f>'FY26'!L144</f>
        <v>75000</v>
      </c>
      <c r="F144" s="7">
        <f>'FY27'!L144</f>
        <v>75000</v>
      </c>
      <c r="G144" s="7">
        <f>'FY28'!L144</f>
        <v>75000</v>
      </c>
    </row>
    <row r="145" spans="1:7" x14ac:dyDescent="0.25">
      <c r="A145" s="62" t="s">
        <v>117</v>
      </c>
      <c r="B145" s="7">
        <f>'FY23'!L145</f>
        <v>31416</v>
      </c>
      <c r="C145" s="7">
        <f>'FY24'!L145</f>
        <v>33306</v>
      </c>
      <c r="D145" s="7">
        <f>'FY25'!L145</f>
        <v>33866</v>
      </c>
      <c r="E145" s="7">
        <f>'FY26'!L145</f>
        <v>34216</v>
      </c>
      <c r="F145" s="7">
        <f>'FY27'!L145</f>
        <v>34356</v>
      </c>
      <c r="G145" s="7">
        <f>'FY28'!L145</f>
        <v>34356</v>
      </c>
    </row>
    <row r="146" spans="1:7" x14ac:dyDescent="0.25">
      <c r="A146" s="62" t="s">
        <v>118</v>
      </c>
      <c r="B146" s="7">
        <f>'FY23'!L146</f>
        <v>65076</v>
      </c>
      <c r="C146" s="7">
        <f>'FY24'!L146</f>
        <v>68991</v>
      </c>
      <c r="D146" s="7">
        <f>'FY25'!L146</f>
        <v>70151</v>
      </c>
      <c r="E146" s="7">
        <f>'FY26'!L146</f>
        <v>70876</v>
      </c>
      <c r="F146" s="7">
        <f>'FY27'!L146</f>
        <v>71166</v>
      </c>
      <c r="G146" s="7">
        <f>'FY28'!L146</f>
        <v>71166</v>
      </c>
    </row>
    <row r="147" spans="1:7" x14ac:dyDescent="0.25">
      <c r="A147" s="62" t="s">
        <v>119</v>
      </c>
      <c r="B147" s="7">
        <f>'FY23'!L147</f>
        <v>9537</v>
      </c>
      <c r="C147" s="7">
        <f>'FY24'!L147</f>
        <v>10110.75</v>
      </c>
      <c r="D147" s="7">
        <f>'FY25'!L147</f>
        <v>10280.75</v>
      </c>
      <c r="E147" s="7">
        <f>'FY26'!L147</f>
        <v>10387</v>
      </c>
      <c r="F147" s="7">
        <f>'FY27'!L147</f>
        <v>10429.5</v>
      </c>
      <c r="G147" s="7">
        <f>'FY28'!L147</f>
        <v>10429.5</v>
      </c>
    </row>
    <row r="148" spans="1:7" x14ac:dyDescent="0.25">
      <c r="A148" s="62" t="s">
        <v>120</v>
      </c>
      <c r="B148" s="7">
        <f>'FY23'!L148</f>
        <v>7293</v>
      </c>
      <c r="C148" s="7">
        <f>'FY24'!L148</f>
        <v>7731.75</v>
      </c>
      <c r="D148" s="7">
        <f>'FY25'!L148</f>
        <v>7861.75</v>
      </c>
      <c r="E148" s="7">
        <f>'FY26'!L148</f>
        <v>7943</v>
      </c>
      <c r="F148" s="7">
        <f>'FY27'!L148</f>
        <v>7975.5</v>
      </c>
      <c r="G148" s="7">
        <f>'FY28'!L148</f>
        <v>7975.5</v>
      </c>
    </row>
    <row r="149" spans="1:7" x14ac:dyDescent="0.25">
      <c r="A149" s="62" t="s">
        <v>121</v>
      </c>
      <c r="B149" s="7">
        <f>'FY23'!L149</f>
        <v>36765</v>
      </c>
      <c r="C149" s="7">
        <f>'FY24'!L149</f>
        <v>38976.798128342249</v>
      </c>
      <c r="D149" s="7">
        <f>'FY25'!L149</f>
        <v>39632.145721925139</v>
      </c>
      <c r="E149" s="7">
        <f>'FY26'!L149</f>
        <v>40041.737967914443</v>
      </c>
      <c r="F149" s="7">
        <f>'FY27'!L149</f>
        <v>40205.574866310162</v>
      </c>
      <c r="G149" s="7">
        <f>'FY28'!L149</f>
        <v>40205.574866310162</v>
      </c>
    </row>
    <row r="150" spans="1:7" ht="15.75" thickBot="1" x14ac:dyDescent="0.3">
      <c r="A150" s="62" t="s">
        <v>122</v>
      </c>
      <c r="B150" s="7">
        <f>'FY23'!L150</f>
        <v>50000</v>
      </c>
      <c r="C150" s="7">
        <f>'FY24'!L150</f>
        <v>60000</v>
      </c>
      <c r="D150" s="7">
        <f>'FY25'!L150</f>
        <v>70000</v>
      </c>
      <c r="E150" s="7">
        <f>'FY26'!L150</f>
        <v>80000</v>
      </c>
      <c r="F150" s="7">
        <f>'FY27'!L150</f>
        <v>90000</v>
      </c>
      <c r="G150" s="7">
        <f>'FY28'!L150</f>
        <v>100000</v>
      </c>
    </row>
    <row r="151" spans="1:7" ht="15.75" thickBot="1" x14ac:dyDescent="0.3">
      <c r="A151" s="95" t="s">
        <v>123</v>
      </c>
      <c r="B151" s="92">
        <f t="shared" ref="B151:G151" si="27">SUM(B141:B150)</f>
        <v>968847</v>
      </c>
      <c r="C151" s="92">
        <f t="shared" si="27"/>
        <v>1075966.2981283423</v>
      </c>
      <c r="D151" s="92">
        <f t="shared" si="27"/>
        <v>1129641.6457219252</v>
      </c>
      <c r="E151" s="92">
        <f t="shared" si="27"/>
        <v>1105063.7379679144</v>
      </c>
      <c r="F151" s="92">
        <f t="shared" si="27"/>
        <v>1117232.5748663102</v>
      </c>
      <c r="G151" s="92">
        <f t="shared" si="27"/>
        <v>1057232.5748663102</v>
      </c>
    </row>
    <row r="152" spans="1:7" x14ac:dyDescent="0.25">
      <c r="A152" s="101" t="s">
        <v>124</v>
      </c>
      <c r="B152" s="149" t="str">
        <f t="shared" ref="B152:G152" si="28">B1</f>
        <v xml:space="preserve"> FY 23</v>
      </c>
      <c r="C152" s="149" t="str">
        <f t="shared" si="28"/>
        <v xml:space="preserve"> FY 24</v>
      </c>
      <c r="D152" s="149" t="str">
        <f t="shared" si="28"/>
        <v xml:space="preserve"> FY 25</v>
      </c>
      <c r="E152" s="149" t="str">
        <f t="shared" si="28"/>
        <v xml:space="preserve"> FY 26</v>
      </c>
      <c r="F152" s="149" t="str">
        <f t="shared" si="28"/>
        <v xml:space="preserve"> FY 27</v>
      </c>
      <c r="G152" s="149" t="str">
        <f t="shared" si="28"/>
        <v xml:space="preserve"> FY 28</v>
      </c>
    </row>
    <row r="153" spans="1:7" x14ac:dyDescent="0.25">
      <c r="A153" s="62" t="s">
        <v>125</v>
      </c>
      <c r="B153" s="7">
        <f>'FY23'!L153</f>
        <v>18000</v>
      </c>
      <c r="C153" s="7">
        <f>'FY24'!L153</f>
        <v>18540</v>
      </c>
      <c r="D153" s="7">
        <f>'FY25'!L153</f>
        <v>19096.2</v>
      </c>
      <c r="E153" s="7">
        <f>'FY26'!L153</f>
        <v>19669.086000000003</v>
      </c>
      <c r="F153" s="7">
        <f>'FY27'!L153</f>
        <v>20259.158580000003</v>
      </c>
      <c r="G153" s="7">
        <f>'FY28'!L153</f>
        <v>20259.158580000003</v>
      </c>
    </row>
    <row r="154" spans="1:7" x14ac:dyDescent="0.25">
      <c r="A154" s="62" t="s">
        <v>126</v>
      </c>
      <c r="B154" s="7">
        <f>'FY23'!L154</f>
        <v>224400</v>
      </c>
      <c r="C154" s="7">
        <f>'FY24'!L154</f>
        <v>392535</v>
      </c>
      <c r="D154" s="7">
        <f>'FY25'!L154</f>
        <v>411230</v>
      </c>
      <c r="E154" s="7">
        <f>'FY26'!L154</f>
        <v>415480</v>
      </c>
      <c r="F154" s="7">
        <f>'FY27'!L154</f>
        <v>429450</v>
      </c>
      <c r="G154" s="7">
        <f>'FY28'!L154</f>
        <v>429450</v>
      </c>
    </row>
    <row r="155" spans="1:7" x14ac:dyDescent="0.25">
      <c r="A155" s="62" t="s">
        <v>253</v>
      </c>
      <c r="B155" s="7">
        <f>'FY23'!L155</f>
        <v>0</v>
      </c>
      <c r="C155" s="7">
        <f>'FY24'!L155</f>
        <v>0</v>
      </c>
      <c r="D155" s="7">
        <f>'FY25'!L155</f>
        <v>0</v>
      </c>
      <c r="E155" s="7">
        <f>'FY26'!L155</f>
        <v>0</v>
      </c>
      <c r="F155" s="7">
        <f>'FY27'!L155</f>
        <v>0</v>
      </c>
      <c r="G155" s="7">
        <f>'FY28'!L155</f>
        <v>0</v>
      </c>
    </row>
    <row r="156" spans="1:7" x14ac:dyDescent="0.25">
      <c r="A156" s="62" t="s">
        <v>254</v>
      </c>
      <c r="B156" s="7">
        <f>'FY23'!L156</f>
        <v>0</v>
      </c>
      <c r="C156" s="7">
        <f>'FY24'!L156</f>
        <v>0</v>
      </c>
      <c r="D156" s="7">
        <f>'FY25'!L156</f>
        <v>0</v>
      </c>
      <c r="E156" s="7">
        <f>'FY26'!L156</f>
        <v>0</v>
      </c>
      <c r="F156" s="7">
        <f>'FY27'!L156</f>
        <v>0</v>
      </c>
      <c r="G156" s="7">
        <f>'FY28'!L156</f>
        <v>0</v>
      </c>
    </row>
    <row r="157" spans="1:7" x14ac:dyDescent="0.25">
      <c r="A157" s="62" t="s">
        <v>128</v>
      </c>
      <c r="B157" s="7">
        <f>'FY23'!L157</f>
        <v>1009800</v>
      </c>
      <c r="C157" s="7">
        <f>'FY24'!L157</f>
        <v>1070550</v>
      </c>
      <c r="D157" s="7">
        <f>'FY25'!L157</f>
        <v>1088550</v>
      </c>
      <c r="E157" s="7">
        <f>'FY26'!L157</f>
        <v>1099800</v>
      </c>
      <c r="F157" s="7">
        <f>'FY27'!L157</f>
        <v>1104300</v>
      </c>
      <c r="G157" s="7">
        <f>'FY28'!L157</f>
        <v>1104300</v>
      </c>
    </row>
    <row r="158" spans="1:7" x14ac:dyDescent="0.25">
      <c r="A158" s="62" t="s">
        <v>129</v>
      </c>
      <c r="B158" s="7">
        <f>'FY23'!L158</f>
        <v>38480</v>
      </c>
      <c r="C158" s="7">
        <f>'FY24'!L158</f>
        <v>40160</v>
      </c>
      <c r="D158" s="7">
        <f>'FY25'!L158</f>
        <v>40880</v>
      </c>
      <c r="E158" s="7">
        <f>'FY26'!L158</f>
        <v>41600</v>
      </c>
      <c r="F158" s="7">
        <f>'FY27'!L158</f>
        <v>42320</v>
      </c>
      <c r="G158" s="7">
        <f>'FY28'!L158</f>
        <v>42320</v>
      </c>
    </row>
    <row r="159" spans="1:7" s="212" customFormat="1" x14ac:dyDescent="0.25">
      <c r="A159" s="62" t="s">
        <v>130</v>
      </c>
      <c r="B159" s="7">
        <f>'FY23'!L159</f>
        <v>11500</v>
      </c>
      <c r="C159" s="7">
        <f>'FY24'!L159</f>
        <v>11845</v>
      </c>
      <c r="D159" s="7">
        <f>'FY25'!L159</f>
        <v>12200.35</v>
      </c>
      <c r="E159" s="7">
        <f>'FY26'!L159</f>
        <v>12566.360500000001</v>
      </c>
      <c r="F159" s="7">
        <f>'FY27'!L159</f>
        <v>12943.351315000002</v>
      </c>
      <c r="G159" s="7">
        <f>'FY28'!L159</f>
        <v>13331.651854450001</v>
      </c>
    </row>
    <row r="160" spans="1:7" x14ac:dyDescent="0.25">
      <c r="A160" s="62" t="s">
        <v>131</v>
      </c>
      <c r="B160" s="7">
        <f>'FY23'!L160</f>
        <v>5500</v>
      </c>
      <c r="C160" s="7">
        <f>'FY24'!L160</f>
        <v>6000</v>
      </c>
      <c r="D160" s="7">
        <f>'FY25'!L160</f>
        <v>6000</v>
      </c>
      <c r="E160" s="7">
        <f>'FY26'!L160</f>
        <v>6000</v>
      </c>
      <c r="F160" s="7">
        <f>'FY27'!L160</f>
        <v>6000</v>
      </c>
      <c r="G160" s="7">
        <f>'FY28'!L160</f>
        <v>6000</v>
      </c>
    </row>
    <row r="161" spans="1:7" x14ac:dyDescent="0.25">
      <c r="A161" s="62" t="s">
        <v>132</v>
      </c>
      <c r="B161" s="7">
        <f>'FY23'!L161</f>
        <v>100980</v>
      </c>
      <c r="C161" s="7">
        <f>'FY24'!L161</f>
        <v>107055</v>
      </c>
      <c r="D161" s="7">
        <f>'FY25'!L161</f>
        <v>108855</v>
      </c>
      <c r="E161" s="7">
        <f>'FY26'!L161</f>
        <v>109980</v>
      </c>
      <c r="F161" s="7">
        <f>'FY27'!L161</f>
        <v>110430</v>
      </c>
      <c r="G161" s="7">
        <f>'FY28'!L161</f>
        <v>110430</v>
      </c>
    </row>
    <row r="162" spans="1:7" x14ac:dyDescent="0.25">
      <c r="A162" s="62" t="s">
        <v>133</v>
      </c>
      <c r="B162" s="7">
        <f>'FY23'!L162</f>
        <v>10000</v>
      </c>
      <c r="C162" s="7">
        <f>'FY24'!L162</f>
        <v>9000</v>
      </c>
      <c r="D162" s="7">
        <f>'FY25'!L162</f>
        <v>9000</v>
      </c>
      <c r="E162" s="7">
        <f>'FY26'!L162</f>
        <v>9000</v>
      </c>
      <c r="F162" s="7">
        <f>'FY27'!L162</f>
        <v>9000</v>
      </c>
      <c r="G162" s="7">
        <f>'FY28'!L162</f>
        <v>9000</v>
      </c>
    </row>
    <row r="163" spans="1:7" x14ac:dyDescent="0.25">
      <c r="A163" s="62" t="s">
        <v>134</v>
      </c>
      <c r="B163" s="7">
        <f>'FY23'!L163</f>
        <v>207351.75000000003</v>
      </c>
      <c r="C163" s="7">
        <f>'FY24'!L163</f>
        <v>219694.97013749997</v>
      </c>
      <c r="D163" s="7">
        <f>'FY25'!L163</f>
        <v>226292.93000778748</v>
      </c>
      <c r="E163" s="7">
        <f>'FY26'!L163</f>
        <v>231603.84452717649</v>
      </c>
      <c r="F163" s="7">
        <f>'FY27'!L163</f>
        <v>235574.65643117722</v>
      </c>
      <c r="G163" s="7">
        <f>'FY28'!L163</f>
        <v>238637.12696478248</v>
      </c>
    </row>
    <row r="164" spans="1:7" x14ac:dyDescent="0.25">
      <c r="A164" s="62" t="s">
        <v>135</v>
      </c>
      <c r="B164" s="7">
        <f>'FY23'!L164</f>
        <v>81827.460000000006</v>
      </c>
      <c r="C164" s="7">
        <f>'FY24'!L164</f>
        <v>87877.988054999994</v>
      </c>
      <c r="D164" s="7">
        <f>'FY25'!L164</f>
        <v>90517.172003114989</v>
      </c>
      <c r="E164" s="7">
        <f>'FY26'!L164</f>
        <v>92641.537810870592</v>
      </c>
      <c r="F164" s="7">
        <f>'FY27'!L164</f>
        <v>94229.862572470884</v>
      </c>
      <c r="G164" s="7">
        <f>'FY28'!L164</f>
        <v>95454.85078591299</v>
      </c>
    </row>
    <row r="165" spans="1:7" x14ac:dyDescent="0.25">
      <c r="A165" s="62" t="s">
        <v>136</v>
      </c>
      <c r="B165" s="7">
        <f>'FY23'!L165</f>
        <v>81827.460000000006</v>
      </c>
      <c r="C165" s="7">
        <f>'FY24'!L165</f>
        <v>87877.988054999994</v>
      </c>
      <c r="D165" s="7">
        <f>'FY25'!L165</f>
        <v>90517.172003114989</v>
      </c>
      <c r="E165" s="7">
        <f>'FY26'!L165</f>
        <v>92641.537810870592</v>
      </c>
      <c r="F165" s="7">
        <f>'FY27'!L165</f>
        <v>94229.862572470884</v>
      </c>
      <c r="G165" s="7">
        <f>'FY28'!L165</f>
        <v>95454.85078591299</v>
      </c>
    </row>
    <row r="166" spans="1:7" ht="15.75" thickBot="1" x14ac:dyDescent="0.3">
      <c r="A166" s="62" t="s">
        <v>137</v>
      </c>
      <c r="B166" s="7">
        <f>'FY23'!L166</f>
        <v>0</v>
      </c>
      <c r="C166" s="7">
        <f>'FY24'!L166</f>
        <v>0</v>
      </c>
      <c r="D166" s="7">
        <f>'FY25'!L166</f>
        <v>0</v>
      </c>
      <c r="E166" s="7">
        <f>'FY26'!L166</f>
        <v>0</v>
      </c>
      <c r="F166" s="7">
        <f>'FY27'!L166</f>
        <v>0</v>
      </c>
      <c r="G166" s="7">
        <f>'FY28'!L166</f>
        <v>0</v>
      </c>
    </row>
    <row r="167" spans="1:7" ht="15.75" thickBot="1" x14ac:dyDescent="0.3">
      <c r="A167" s="95" t="s">
        <v>138</v>
      </c>
      <c r="B167" s="92">
        <f>SUM(B153:B166)</f>
        <v>1789666.67</v>
      </c>
      <c r="C167" s="92">
        <f>SUM(C153:C166)</f>
        <v>2051135.9462475001</v>
      </c>
      <c r="D167" s="92">
        <f>SUM(D153:D166)</f>
        <v>2103138.8240140174</v>
      </c>
      <c r="E167" s="92">
        <f t="shared" ref="E167:G167" si="29">SUM(E153:E166)</f>
        <v>2130982.366648918</v>
      </c>
      <c r="F167" s="92">
        <f t="shared" si="29"/>
        <v>2158736.8914711191</v>
      </c>
      <c r="G167" s="92">
        <f t="shared" si="29"/>
        <v>2164637.6389710587</v>
      </c>
    </row>
    <row r="168" spans="1:7" x14ac:dyDescent="0.25">
      <c r="A168" s="101" t="s">
        <v>139</v>
      </c>
      <c r="B168" s="149" t="str">
        <f>B152</f>
        <v xml:space="preserve"> FY 23</v>
      </c>
      <c r="C168" s="149" t="str">
        <f>C152</f>
        <v xml:space="preserve"> FY 24</v>
      </c>
      <c r="D168" s="149" t="str">
        <f>D152</f>
        <v xml:space="preserve"> FY 25</v>
      </c>
      <c r="E168" s="149" t="str">
        <f t="shared" ref="E168:G168" si="30">E152</f>
        <v xml:space="preserve"> FY 26</v>
      </c>
      <c r="F168" s="149" t="str">
        <f t="shared" si="30"/>
        <v xml:space="preserve"> FY 27</v>
      </c>
      <c r="G168" s="149" t="str">
        <f t="shared" si="30"/>
        <v xml:space="preserve"> FY 28</v>
      </c>
    </row>
    <row r="169" spans="1:7" x14ac:dyDescent="0.25">
      <c r="A169" s="62" t="s">
        <v>140</v>
      </c>
      <c r="B169" s="7">
        <f>'FY23'!L169</f>
        <v>8250</v>
      </c>
      <c r="C169" s="7">
        <f>'FY24'!L169</f>
        <v>8497.5</v>
      </c>
      <c r="D169" s="7">
        <f>'FY25'!L169</f>
        <v>8752.4250000000011</v>
      </c>
      <c r="E169" s="7">
        <f>'FY26'!L169</f>
        <v>9014.9977500000005</v>
      </c>
      <c r="F169" s="7">
        <f>'FY27'!L169</f>
        <v>9285.4476825000002</v>
      </c>
      <c r="G169" s="7">
        <f>'FY28'!L169</f>
        <v>9564.0111129750003</v>
      </c>
    </row>
    <row r="170" spans="1:7" x14ac:dyDescent="0.25">
      <c r="A170" s="62" t="s">
        <v>141</v>
      </c>
      <c r="B170" s="7">
        <f>'FY23'!L170</f>
        <v>16596</v>
      </c>
      <c r="C170" s="7">
        <f>'FY24'!L170</f>
        <v>17093.88</v>
      </c>
      <c r="D170" s="7">
        <f>'FY25'!L170</f>
        <v>17606.696400000001</v>
      </c>
      <c r="E170" s="7">
        <f>'FY26'!L170</f>
        <v>18134.897292000001</v>
      </c>
      <c r="F170" s="7">
        <f>'FY27'!L170</f>
        <v>18678.944210760001</v>
      </c>
      <c r="G170" s="7">
        <f>'FY28'!L170</f>
        <v>19239.312537082802</v>
      </c>
    </row>
    <row r="171" spans="1:7" x14ac:dyDescent="0.25">
      <c r="A171" s="62" t="s">
        <v>142</v>
      </c>
      <c r="B171" s="7">
        <f>'FY23'!L171</f>
        <v>0</v>
      </c>
      <c r="C171" s="7">
        <f>'FY24'!L171</f>
        <v>0</v>
      </c>
      <c r="D171" s="7">
        <f>'FY25'!L171</f>
        <v>0</v>
      </c>
      <c r="E171" s="7">
        <f>'FY26'!L171</f>
        <v>0</v>
      </c>
      <c r="F171" s="7">
        <f>'FY27'!L171</f>
        <v>0</v>
      </c>
      <c r="G171" s="7">
        <f>'FY28'!L171</f>
        <v>0</v>
      </c>
    </row>
    <row r="172" spans="1:7" x14ac:dyDescent="0.25">
      <c r="A172" s="62" t="s">
        <v>143</v>
      </c>
      <c r="B172" s="7">
        <f>'FY23'!L172</f>
        <v>1700</v>
      </c>
      <c r="C172" s="7">
        <f>'FY24'!L172</f>
        <v>1300</v>
      </c>
      <c r="D172" s="7">
        <f>'FY25'!L172</f>
        <v>1300</v>
      </c>
      <c r="E172" s="7">
        <f>'FY26'!L172</f>
        <v>1300</v>
      </c>
      <c r="F172" s="7">
        <f>'FY27'!L172</f>
        <v>1300</v>
      </c>
      <c r="G172" s="7">
        <f>'FY28'!L172</f>
        <v>1300</v>
      </c>
    </row>
    <row r="173" spans="1:7" x14ac:dyDescent="0.25">
      <c r="A173" s="62" t="s">
        <v>144</v>
      </c>
      <c r="B173" s="7">
        <f>'FY23'!L173</f>
        <v>5000</v>
      </c>
      <c r="C173" s="7">
        <f>'FY24'!L173</f>
        <v>5150</v>
      </c>
      <c r="D173" s="7">
        <f>'FY25'!L173</f>
        <v>5304.5</v>
      </c>
      <c r="E173" s="7">
        <f>'FY26'!L173</f>
        <v>5463.6350000000002</v>
      </c>
      <c r="F173" s="7">
        <f>'FY27'!L173</f>
        <v>5627.5440500000004</v>
      </c>
      <c r="G173" s="7">
        <f>'FY28'!L173</f>
        <v>5796.3703715000001</v>
      </c>
    </row>
    <row r="174" spans="1:7" x14ac:dyDescent="0.25">
      <c r="A174" s="62" t="s">
        <v>145</v>
      </c>
      <c r="B174" s="7">
        <f>'FY23'!L174</f>
        <v>61200</v>
      </c>
      <c r="C174" s="7">
        <f>'FY24'!L174</f>
        <v>63648</v>
      </c>
      <c r="D174" s="7">
        <f>'FY25'!L174</f>
        <v>66193.919999999998</v>
      </c>
      <c r="E174" s="7">
        <f>'FY26'!L174</f>
        <v>68841.676800000001</v>
      </c>
      <c r="F174" s="7">
        <f>'FY27'!L174</f>
        <v>71595.343871999998</v>
      </c>
      <c r="G174" s="7">
        <f>'FY28'!L174</f>
        <v>74459.157626879998</v>
      </c>
    </row>
    <row r="175" spans="1:7" ht="15.75" thickBot="1" x14ac:dyDescent="0.3">
      <c r="A175" s="62" t="s">
        <v>146</v>
      </c>
      <c r="B175" s="7">
        <f>'FY23'!L175</f>
        <v>2500</v>
      </c>
      <c r="C175" s="7">
        <f>'FY24'!L175</f>
        <v>7258</v>
      </c>
      <c r="D175" s="7">
        <f>'FY25'!L175</f>
        <v>7338</v>
      </c>
      <c r="E175" s="7">
        <f>'FY26'!L175</f>
        <v>7388</v>
      </c>
      <c r="F175" s="7">
        <f>'FY27'!L175</f>
        <v>7408</v>
      </c>
      <c r="G175" s="7">
        <f>'FY28'!L175</f>
        <v>7408</v>
      </c>
    </row>
    <row r="176" spans="1:7" ht="15.75" thickBot="1" x14ac:dyDescent="0.3">
      <c r="A176" s="95" t="s">
        <v>147</v>
      </c>
      <c r="B176" s="92">
        <f>SUM(B169:B175)</f>
        <v>95246</v>
      </c>
      <c r="C176" s="92">
        <f>SUM(C169:C175)</f>
        <v>102947.38</v>
      </c>
      <c r="D176" s="92">
        <f t="shared" ref="D176:G176" si="31">SUM(D169:D175)</f>
        <v>106495.5414</v>
      </c>
      <c r="E176" s="92">
        <f t="shared" si="31"/>
        <v>110143.20684200001</v>
      </c>
      <c r="F176" s="92">
        <f t="shared" si="31"/>
        <v>113895.27981526</v>
      </c>
      <c r="G176" s="92">
        <f t="shared" si="31"/>
        <v>117766.85164843779</v>
      </c>
    </row>
    <row r="177" spans="1:7" x14ac:dyDescent="0.25">
      <c r="A177" s="101" t="s">
        <v>148</v>
      </c>
      <c r="B177" s="96"/>
      <c r="C177" s="96"/>
      <c r="D177" s="96"/>
      <c r="E177" s="96"/>
      <c r="F177" s="96"/>
      <c r="G177" s="96"/>
    </row>
    <row r="178" spans="1:7" x14ac:dyDescent="0.25">
      <c r="A178" s="62" t="s">
        <v>149</v>
      </c>
      <c r="B178" s="7">
        <f>'FY23'!L178</f>
        <v>28050.000000000004</v>
      </c>
      <c r="C178" s="7">
        <f>'FY24'!L178</f>
        <v>29733.000000000004</v>
      </c>
      <c r="D178" s="7">
        <f>'FY25'!L178</f>
        <v>31516.980000000007</v>
      </c>
      <c r="E178" s="7">
        <f>'FY26'!L178</f>
        <v>33407.998800000008</v>
      </c>
      <c r="F178" s="7">
        <f>'FY27'!L178</f>
        <v>35412.478728000009</v>
      </c>
      <c r="G178" s="7">
        <f>'FY28'!L178</f>
        <v>37537.22745168001</v>
      </c>
    </row>
    <row r="179" spans="1:7" x14ac:dyDescent="0.25">
      <c r="A179" s="62" t="s">
        <v>150</v>
      </c>
      <c r="B179" s="7">
        <f>'FY23'!L179</f>
        <v>12100.000000000002</v>
      </c>
      <c r="C179" s="7">
        <f>'FY24'!L179</f>
        <v>12826.000000000002</v>
      </c>
      <c r="D179" s="7">
        <f>'FY25'!L179</f>
        <v>13595.560000000003</v>
      </c>
      <c r="E179" s="7">
        <f>'FY26'!L179</f>
        <v>14411.293600000005</v>
      </c>
      <c r="F179" s="7">
        <f>'FY27'!L179</f>
        <v>15275.971216000005</v>
      </c>
      <c r="G179" s="7">
        <f>'FY28'!L179</f>
        <v>16192.529488960006</v>
      </c>
    </row>
    <row r="180" spans="1:7" ht="15.75" thickBot="1" x14ac:dyDescent="0.3">
      <c r="A180" s="62" t="s">
        <v>151</v>
      </c>
      <c r="B180" s="7">
        <f>'FY23'!L180</f>
        <v>35750</v>
      </c>
      <c r="C180" s="7">
        <f>'FY24'!L180</f>
        <v>37895</v>
      </c>
      <c r="D180" s="7">
        <f>'FY25'!L180</f>
        <v>40168.700000000004</v>
      </c>
      <c r="E180" s="7">
        <f>'FY26'!L180</f>
        <v>42578.822000000007</v>
      </c>
      <c r="F180" s="7">
        <f>'FY27'!L180</f>
        <v>45133.551320000013</v>
      </c>
      <c r="G180" s="7">
        <f>'FY28'!L180</f>
        <v>47841.564399200019</v>
      </c>
    </row>
    <row r="181" spans="1:7" ht="15.75" thickBot="1" x14ac:dyDescent="0.3">
      <c r="A181" s="95" t="s">
        <v>152</v>
      </c>
      <c r="B181" s="92">
        <f>SUM(B178:B180)</f>
        <v>75900</v>
      </c>
      <c r="C181" s="92">
        <f>SUM(C178:C180)</f>
        <v>80454</v>
      </c>
      <c r="D181" s="92">
        <f t="shared" ref="D181:G181" si="32">SUM(D178:D180)</f>
        <v>85281.24000000002</v>
      </c>
      <c r="E181" s="92">
        <f t="shared" si="32"/>
        <v>90398.11440000002</v>
      </c>
      <c r="F181" s="92">
        <f t="shared" si="32"/>
        <v>95822.00126400002</v>
      </c>
      <c r="G181" s="92">
        <f t="shared" si="32"/>
        <v>101571.32133984004</v>
      </c>
    </row>
    <row r="182" spans="1:7" x14ac:dyDescent="0.25">
      <c r="A182" s="101" t="s">
        <v>153</v>
      </c>
      <c r="B182" s="96" t="str">
        <f t="shared" ref="B182:G182" si="33">B1</f>
        <v xml:space="preserve"> FY 23</v>
      </c>
      <c r="C182" s="96" t="str">
        <f t="shared" si="33"/>
        <v xml:space="preserve"> FY 24</v>
      </c>
      <c r="D182" s="96" t="str">
        <f t="shared" si="33"/>
        <v xml:space="preserve"> FY 25</v>
      </c>
      <c r="E182" s="96" t="str">
        <f t="shared" si="33"/>
        <v xml:space="preserve"> FY 26</v>
      </c>
      <c r="F182" s="96" t="str">
        <f t="shared" si="33"/>
        <v xml:space="preserve"> FY 27</v>
      </c>
      <c r="G182" s="96" t="str">
        <f t="shared" si="33"/>
        <v xml:space="preserve"> FY 28</v>
      </c>
    </row>
    <row r="183" spans="1:7" x14ac:dyDescent="0.25">
      <c r="A183" s="62" t="s">
        <v>154</v>
      </c>
      <c r="B183" s="7">
        <f>'FY23'!L183</f>
        <v>426196.48600000003</v>
      </c>
      <c r="C183" s="7">
        <f>'FY24'!L183</f>
        <v>532192.80000000005</v>
      </c>
      <c r="D183" s="7">
        <f>'FY25'!L183</f>
        <v>541120.80000000005</v>
      </c>
      <c r="E183" s="7">
        <f>'FY26'!L183</f>
        <v>546700.80000000005</v>
      </c>
      <c r="F183" s="7">
        <f>'FY27'!L183</f>
        <v>548932.80000000005</v>
      </c>
      <c r="G183" s="7">
        <f>'FY28'!L183</f>
        <v>548932.80000000005</v>
      </c>
    </row>
    <row r="184" spans="1:7" x14ac:dyDescent="0.25">
      <c r="A184" s="62" t="s">
        <v>155</v>
      </c>
      <c r="B184" s="7">
        <f>'FY23'!L184</f>
        <v>7500</v>
      </c>
      <c r="C184" s="7">
        <f>'FY24'!L184</f>
        <v>5000</v>
      </c>
      <c r="D184" s="7">
        <f>'FY25'!L184</f>
        <v>5000</v>
      </c>
      <c r="E184" s="7">
        <f>'FY26'!L184</f>
        <v>5000</v>
      </c>
      <c r="F184" s="7">
        <f>'FY27'!L184</f>
        <v>5000</v>
      </c>
      <c r="G184" s="7">
        <f>'FY28'!L184</f>
        <v>5000</v>
      </c>
    </row>
    <row r="185" spans="1:7" x14ac:dyDescent="0.25">
      <c r="A185" s="62" t="s">
        <v>156</v>
      </c>
      <c r="B185" s="7">
        <f>'FY23'!L185</f>
        <v>3000</v>
      </c>
      <c r="C185" s="7">
        <f>'FY24'!L185</f>
        <v>3000</v>
      </c>
      <c r="D185" s="7">
        <f>'FY25'!L185</f>
        <v>3000</v>
      </c>
      <c r="E185" s="7">
        <f>'FY26'!L185</f>
        <v>3000</v>
      </c>
      <c r="F185" s="7">
        <f>'FY27'!L185</f>
        <v>3000</v>
      </c>
      <c r="G185" s="7">
        <f>'FY28'!L185</f>
        <v>3000</v>
      </c>
    </row>
    <row r="186" spans="1:7" x14ac:dyDescent="0.25">
      <c r="A186" s="62" t="s">
        <v>157</v>
      </c>
      <c r="B186" s="7">
        <f>'FY23'!L186</f>
        <v>2520</v>
      </c>
      <c r="C186" s="7">
        <f>'FY24'!L186</f>
        <v>1350</v>
      </c>
      <c r="D186" s="7">
        <f>'FY25'!L186</f>
        <v>1350</v>
      </c>
      <c r="E186" s="7">
        <f>'FY26'!L186</f>
        <v>1350</v>
      </c>
      <c r="F186" s="7">
        <f>'FY27'!L186</f>
        <v>1350</v>
      </c>
      <c r="G186" s="7">
        <f>'FY28'!L186</f>
        <v>1350</v>
      </c>
    </row>
    <row r="187" spans="1:7" x14ac:dyDescent="0.25">
      <c r="A187" s="62" t="s">
        <v>158</v>
      </c>
      <c r="B187" s="7">
        <f>'FY23'!L187</f>
        <v>12200</v>
      </c>
      <c r="C187" s="7">
        <f>'FY24'!L187</f>
        <v>12000</v>
      </c>
      <c r="D187" s="7">
        <f>'FY25'!L187</f>
        <v>12000</v>
      </c>
      <c r="E187" s="7">
        <f>'FY26'!L187</f>
        <v>12000</v>
      </c>
      <c r="F187" s="7">
        <f>'FY27'!L187</f>
        <v>12000</v>
      </c>
      <c r="G187" s="7">
        <f>'FY28'!L187</f>
        <v>12000</v>
      </c>
    </row>
    <row r="188" spans="1:7" x14ac:dyDescent="0.25">
      <c r="A188" s="62" t="s">
        <v>159</v>
      </c>
      <c r="B188" s="7">
        <f>'FY23'!L188</f>
        <v>0</v>
      </c>
      <c r="C188" s="7">
        <f>'FY24'!L188</f>
        <v>0</v>
      </c>
      <c r="D188" s="7">
        <f>'FY25'!L188</f>
        <v>0</v>
      </c>
      <c r="E188" s="7">
        <f>'FY26'!L188</f>
        <v>0</v>
      </c>
      <c r="F188" s="7">
        <f>'FY27'!L188</f>
        <v>0</v>
      </c>
      <c r="G188" s="7">
        <f>'FY28'!L188</f>
        <v>0</v>
      </c>
    </row>
    <row r="189" spans="1:7" x14ac:dyDescent="0.25">
      <c r="A189" s="62" t="s">
        <v>160</v>
      </c>
      <c r="B189" s="7">
        <f>'FY23'!L189</f>
        <v>0</v>
      </c>
      <c r="C189" s="7">
        <f>'FY24'!L189</f>
        <v>0</v>
      </c>
      <c r="D189" s="7">
        <f>'FY25'!L189</f>
        <v>0</v>
      </c>
      <c r="E189" s="7">
        <f>'FY26'!L189</f>
        <v>0</v>
      </c>
      <c r="F189" s="7">
        <f>'FY27'!L189</f>
        <v>0</v>
      </c>
      <c r="G189" s="7">
        <f>'FY28'!L189</f>
        <v>0</v>
      </c>
    </row>
    <row r="190" spans="1:7" x14ac:dyDescent="0.25">
      <c r="A190" s="62" t="s">
        <v>161</v>
      </c>
      <c r="B190" s="7">
        <f>'FY23'!L190</f>
        <v>15000</v>
      </c>
      <c r="C190" s="7">
        <f>'FY24'!L190</f>
        <v>16000</v>
      </c>
      <c r="D190" s="7">
        <f>'FY25'!L190</f>
        <v>17000</v>
      </c>
      <c r="E190" s="7">
        <f>'FY26'!L190</f>
        <v>18000</v>
      </c>
      <c r="F190" s="7">
        <f>'FY27'!L190</f>
        <v>19000</v>
      </c>
      <c r="G190" s="7">
        <f>'FY28'!L190</f>
        <v>20000</v>
      </c>
    </row>
    <row r="191" spans="1:7" ht="15.75" thickBot="1" x14ac:dyDescent="0.3">
      <c r="A191" s="62" t="s">
        <v>162</v>
      </c>
      <c r="B191" s="7">
        <f>'FY23'!L191</f>
        <v>3000</v>
      </c>
      <c r="C191" s="7">
        <f>'FY24'!L191</f>
        <v>3000</v>
      </c>
      <c r="D191" s="7">
        <f>'FY25'!L191</f>
        <v>3000</v>
      </c>
      <c r="E191" s="7">
        <f>'FY26'!L191</f>
        <v>3000</v>
      </c>
      <c r="F191" s="7">
        <f>'FY27'!L191</f>
        <v>3000</v>
      </c>
      <c r="G191" s="7">
        <f>'FY28'!L191</f>
        <v>3000</v>
      </c>
    </row>
    <row r="192" spans="1:7" ht="15.75" thickBot="1" x14ac:dyDescent="0.3">
      <c r="A192" s="95" t="s">
        <v>163</v>
      </c>
      <c r="B192" s="92">
        <f>SUM(B183:B191)</f>
        <v>469416.48600000003</v>
      </c>
      <c r="C192" s="92">
        <f>SUM(C183:C191)</f>
        <v>572542.80000000005</v>
      </c>
      <c r="D192" s="92">
        <f t="shared" ref="D192:G192" si="34">SUM(D183:D191)</f>
        <v>582470.80000000005</v>
      </c>
      <c r="E192" s="92">
        <f t="shared" si="34"/>
        <v>589050.80000000005</v>
      </c>
      <c r="F192" s="92">
        <f t="shared" si="34"/>
        <v>592282.80000000005</v>
      </c>
      <c r="G192" s="92">
        <f t="shared" si="34"/>
        <v>593282.80000000005</v>
      </c>
    </row>
    <row r="193" spans="1:7" x14ac:dyDescent="0.25">
      <c r="A193" s="101" t="s">
        <v>164</v>
      </c>
      <c r="B193" s="77" t="str">
        <f>B182</f>
        <v xml:space="preserve"> FY 23</v>
      </c>
      <c r="C193" s="77" t="str">
        <f>C182</f>
        <v xml:space="preserve"> FY 24</v>
      </c>
      <c r="D193" s="77" t="str">
        <f>D182</f>
        <v xml:space="preserve"> FY 25</v>
      </c>
      <c r="E193" s="77" t="str">
        <f t="shared" ref="E193:G193" si="35">E182</f>
        <v xml:space="preserve"> FY 26</v>
      </c>
      <c r="F193" s="77" t="str">
        <f t="shared" si="35"/>
        <v xml:space="preserve"> FY 27</v>
      </c>
      <c r="G193" s="77" t="str">
        <f t="shared" si="35"/>
        <v xml:space="preserve"> FY 28</v>
      </c>
    </row>
    <row r="194" spans="1:7" x14ac:dyDescent="0.25">
      <c r="A194" s="62" t="s">
        <v>165</v>
      </c>
      <c r="B194" s="7">
        <f>'FY23'!L194</f>
        <v>214000</v>
      </c>
      <c r="C194" s="7">
        <f>'FY24'!L194</f>
        <v>220420</v>
      </c>
      <c r="D194" s="7">
        <f>'FY25'!L194</f>
        <v>227032.6</v>
      </c>
      <c r="E194" s="7">
        <f>'FY26'!L194</f>
        <v>233843.57800000001</v>
      </c>
      <c r="F194" s="7">
        <f>'FY27'!L194</f>
        <v>240858.88534000001</v>
      </c>
      <c r="G194" s="7">
        <f>'FY28'!L194</f>
        <v>248084.65190020003</v>
      </c>
    </row>
    <row r="195" spans="1:7" x14ac:dyDescent="0.25">
      <c r="A195" s="62" t="s">
        <v>166</v>
      </c>
      <c r="B195" s="7">
        <f>'FY23'!L195</f>
        <v>0</v>
      </c>
      <c r="C195" s="7">
        <f>'FY24'!L195</f>
        <v>0</v>
      </c>
      <c r="D195" s="7">
        <f>'FY25'!L195</f>
        <v>0</v>
      </c>
      <c r="E195" s="7">
        <f>'FY26'!L195</f>
        <v>0</v>
      </c>
      <c r="F195" s="7">
        <f>'FY27'!L195</f>
        <v>0</v>
      </c>
      <c r="G195" s="7">
        <f>'FY28'!L195</f>
        <v>0</v>
      </c>
    </row>
    <row r="196" spans="1:7" x14ac:dyDescent="0.25">
      <c r="A196" s="62" t="s">
        <v>167</v>
      </c>
      <c r="B196" s="7">
        <f>'FY23'!L196</f>
        <v>37560</v>
      </c>
      <c r="C196" s="7">
        <f>'FY24'!L196</f>
        <v>38686.800000000003</v>
      </c>
      <c r="D196" s="7">
        <f>'FY25'!L196</f>
        <v>39847.404000000002</v>
      </c>
      <c r="E196" s="7">
        <f>'FY26'!L196</f>
        <v>41042.826120000005</v>
      </c>
      <c r="F196" s="7">
        <f>'FY27'!L196</f>
        <v>42274.110903600005</v>
      </c>
      <c r="G196" s="7">
        <f>'FY28'!L196</f>
        <v>43542.334230708009</v>
      </c>
    </row>
    <row r="197" spans="1:7" x14ac:dyDescent="0.25">
      <c r="A197" s="62" t="s">
        <v>168</v>
      </c>
      <c r="B197" s="7">
        <f>'FY23'!L197</f>
        <v>48000</v>
      </c>
      <c r="C197" s="7">
        <f>'FY24'!L197</f>
        <v>49440</v>
      </c>
      <c r="D197" s="7">
        <f>'FY25'!L197</f>
        <v>50923.200000000004</v>
      </c>
      <c r="E197" s="7">
        <f>'FY26'!L197</f>
        <v>52450.896000000008</v>
      </c>
      <c r="F197" s="7">
        <f>'FY27'!L197</f>
        <v>54024.422880000013</v>
      </c>
      <c r="G197" s="7">
        <f>'FY28'!L197</f>
        <v>55645.155566400012</v>
      </c>
    </row>
    <row r="198" spans="1:7" x14ac:dyDescent="0.25">
      <c r="A198" s="62" t="s">
        <v>169</v>
      </c>
      <c r="B198" s="7">
        <f>'FY23'!L198</f>
        <v>20500</v>
      </c>
      <c r="C198" s="7">
        <f>'FY24'!L198</f>
        <v>21115</v>
      </c>
      <c r="D198" s="7">
        <f>'FY25'!L198</f>
        <v>21748.45</v>
      </c>
      <c r="E198" s="7">
        <f>'FY26'!L198</f>
        <v>22400.9035</v>
      </c>
      <c r="F198" s="7">
        <f>'FY27'!L198</f>
        <v>23072.930605000001</v>
      </c>
      <c r="G198" s="7">
        <f>'FY28'!L198</f>
        <v>23765.118523150002</v>
      </c>
    </row>
    <row r="199" spans="1:7" x14ac:dyDescent="0.25">
      <c r="A199" s="62" t="s">
        <v>170</v>
      </c>
      <c r="B199" s="7">
        <f>'FY23'!L199</f>
        <v>306638.55</v>
      </c>
      <c r="C199" s="7">
        <f>'FY24'!L199</f>
        <v>315837.70649999997</v>
      </c>
      <c r="D199" s="7">
        <f>'FY25'!L199</f>
        <v>325312.83769499999</v>
      </c>
      <c r="E199" s="7">
        <f>'FY26'!L199</f>
        <v>335072.22282585001</v>
      </c>
      <c r="F199" s="7">
        <f>'FY27'!L199</f>
        <v>345124.38951062551</v>
      </c>
      <c r="G199" s="7">
        <f>'FY28'!L199</f>
        <v>345124.38951062551</v>
      </c>
    </row>
    <row r="200" spans="1:7" x14ac:dyDescent="0.25">
      <c r="A200" s="62" t="s">
        <v>171</v>
      </c>
      <c r="B200" s="7">
        <f>'FY23'!L200</f>
        <v>71808</v>
      </c>
      <c r="C200" s="7">
        <f>'FY24'!L200</f>
        <v>76128</v>
      </c>
      <c r="D200" s="7">
        <f>'FY25'!L200</f>
        <v>77408</v>
      </c>
      <c r="E200" s="7">
        <f>'FY26'!L200</f>
        <v>78208</v>
      </c>
      <c r="F200" s="7">
        <f>'FY27'!L200</f>
        <v>78528</v>
      </c>
      <c r="G200" s="7">
        <f>'FY28'!L200</f>
        <v>78528</v>
      </c>
    </row>
    <row r="201" spans="1:7" x14ac:dyDescent="0.25">
      <c r="A201" s="62" t="s">
        <v>173</v>
      </c>
      <c r="B201" s="7">
        <f>'FY23'!L201</f>
        <v>105000</v>
      </c>
      <c r="C201" s="7">
        <f>'FY24'!L201</f>
        <v>107500</v>
      </c>
      <c r="D201" s="7">
        <f>'FY25'!L201</f>
        <v>110000</v>
      </c>
      <c r="E201" s="7">
        <f>'FY26'!L201</f>
        <v>112500</v>
      </c>
      <c r="F201" s="7">
        <f>'FY27'!L201</f>
        <v>115000</v>
      </c>
      <c r="G201" s="7">
        <f>'FY28'!L201</f>
        <v>117500</v>
      </c>
    </row>
    <row r="202" spans="1:7" x14ac:dyDescent="0.25">
      <c r="A202" s="62" t="s">
        <v>174</v>
      </c>
      <c r="B202" s="7">
        <f>'FY23'!L202</f>
        <v>31920</v>
      </c>
      <c r="C202" s="7">
        <f>'FY24'!L202</f>
        <v>32877.599999999999</v>
      </c>
      <c r="D202" s="7">
        <f>'FY25'!L202</f>
        <v>33863.928</v>
      </c>
      <c r="E202" s="7">
        <f>'FY26'!L202</f>
        <v>34879.845840000002</v>
      </c>
      <c r="F202" s="7">
        <f>'FY27'!L202</f>
        <v>35926.241215200003</v>
      </c>
      <c r="G202" s="7">
        <f>'FY28'!L202</f>
        <v>37004.028451656006</v>
      </c>
    </row>
    <row r="203" spans="1:7" x14ac:dyDescent="0.25">
      <c r="A203" s="62" t="s">
        <v>175</v>
      </c>
      <c r="B203" s="7">
        <f>'FY23'!L203</f>
        <v>0</v>
      </c>
      <c r="C203" s="7">
        <f>'FY24'!L203</f>
        <v>0</v>
      </c>
      <c r="D203" s="7">
        <f>'FY25'!L203</f>
        <v>0</v>
      </c>
      <c r="E203" s="7">
        <f>'FY26'!L203</f>
        <v>0</v>
      </c>
      <c r="F203" s="7">
        <f>'FY27'!L203</f>
        <v>0</v>
      </c>
      <c r="G203" s="7">
        <f>'FY28'!L203</f>
        <v>0</v>
      </c>
    </row>
    <row r="204" spans="1:7" ht="15.75" thickBot="1" x14ac:dyDescent="0.3">
      <c r="A204" s="62" t="s">
        <v>176</v>
      </c>
      <c r="B204" s="7">
        <f>'FY23'!L204</f>
        <v>48825</v>
      </c>
      <c r="C204" s="7">
        <f>'FY24'!L204</f>
        <v>50289.75</v>
      </c>
      <c r="D204" s="7">
        <f>'FY25'!L204</f>
        <v>51798.442500000005</v>
      </c>
      <c r="E204" s="7">
        <f>'FY26'!L204</f>
        <v>53352.395775000005</v>
      </c>
      <c r="F204" s="7">
        <f>'FY27'!L204</f>
        <v>54952.967648250007</v>
      </c>
      <c r="G204" s="7">
        <f>'FY28'!L204</f>
        <v>56601.55667769751</v>
      </c>
    </row>
    <row r="205" spans="1:7" ht="15.75" thickBot="1" x14ac:dyDescent="0.3">
      <c r="A205" s="95" t="s">
        <v>177</v>
      </c>
      <c r="B205" s="90">
        <f>SUM(B194:B204)</f>
        <v>884251.55</v>
      </c>
      <c r="C205" s="90">
        <f>SUM(C194:C204)</f>
        <v>912294.85649999988</v>
      </c>
      <c r="D205" s="90">
        <f>SUM(D194:D204)</f>
        <v>937934.86219500005</v>
      </c>
      <c r="E205" s="90">
        <f t="shared" ref="E205:G205" si="36">SUM(E194:E204)</f>
        <v>963750.66806085</v>
      </c>
      <c r="F205" s="90">
        <f t="shared" si="36"/>
        <v>989761.94810267573</v>
      </c>
      <c r="G205" s="90">
        <f t="shared" si="36"/>
        <v>1005795.234860437</v>
      </c>
    </row>
    <row r="206" spans="1:7" ht="15.75" thickBot="1" x14ac:dyDescent="0.3">
      <c r="A206" s="102"/>
      <c r="B206" s="103"/>
      <c r="C206" s="103"/>
      <c r="D206" s="103"/>
      <c r="E206" s="103"/>
      <c r="F206" s="103"/>
      <c r="G206" s="103"/>
    </row>
    <row r="207" spans="1:7" ht="15.75" thickBot="1" x14ac:dyDescent="0.3">
      <c r="A207" s="95" t="s">
        <v>178</v>
      </c>
      <c r="B207" s="104">
        <f t="shared" ref="B207:G207" si="37">B139+B151+B167+B176+B181+B192+B205</f>
        <v>15053503.04988925</v>
      </c>
      <c r="C207" s="104">
        <f t="shared" si="37"/>
        <v>16314830.792192325</v>
      </c>
      <c r="D207" s="104">
        <f t="shared" si="37"/>
        <v>16841876.025976814</v>
      </c>
      <c r="E207" s="104">
        <f t="shared" si="37"/>
        <v>17270823.211993162</v>
      </c>
      <c r="F207" s="104">
        <f t="shared" si="37"/>
        <v>17749220.833137419</v>
      </c>
      <c r="G207" s="104">
        <f t="shared" si="37"/>
        <v>17972941.310045332</v>
      </c>
    </row>
    <row r="208" spans="1:7" x14ac:dyDescent="0.25">
      <c r="A208" s="105"/>
      <c r="B208" s="61"/>
      <c r="C208" s="61"/>
      <c r="D208" s="61"/>
      <c r="E208" s="61"/>
      <c r="F208" s="61"/>
      <c r="G208" s="61"/>
    </row>
    <row r="209" spans="1:7" x14ac:dyDescent="0.25">
      <c r="A209" s="106" t="s">
        <v>179</v>
      </c>
      <c r="B209" s="7">
        <f>'FY23'!L209</f>
        <v>0</v>
      </c>
      <c r="C209" s="7">
        <f>'FY24'!L209</f>
        <v>0</v>
      </c>
      <c r="D209" s="7">
        <f>'FY25'!L209</f>
        <v>0</v>
      </c>
      <c r="E209" s="7">
        <f>'FY26'!L209</f>
        <v>0</v>
      </c>
      <c r="F209" s="7">
        <f>'FY27'!L209</f>
        <v>0</v>
      </c>
      <c r="G209" s="7">
        <f>'FY28'!L209</f>
        <v>0</v>
      </c>
    </row>
    <row r="210" spans="1:7" s="212" customFormat="1" x14ac:dyDescent="0.25">
      <c r="A210" s="210" t="s">
        <v>180</v>
      </c>
      <c r="B210" s="7">
        <f>'FY23'!L210</f>
        <v>0</v>
      </c>
      <c r="C210" s="7">
        <f>'FY24'!L210</f>
        <v>0</v>
      </c>
      <c r="D210" s="7">
        <f>'FY25'!L210</f>
        <v>0</v>
      </c>
      <c r="E210" s="7">
        <f>'FY26'!L210</f>
        <v>0</v>
      </c>
      <c r="F210" s="7">
        <f>'FY27'!L210</f>
        <v>0</v>
      </c>
      <c r="G210" s="7">
        <f>'FY28'!L210</f>
        <v>0</v>
      </c>
    </row>
    <row r="211" spans="1:7" x14ac:dyDescent="0.25">
      <c r="A211" s="210" t="s">
        <v>180</v>
      </c>
      <c r="B211" s="7">
        <f>'FY23'!L211</f>
        <v>2492800</v>
      </c>
      <c r="C211" s="7">
        <f>'FY24'!L211</f>
        <v>2495000</v>
      </c>
      <c r="D211" s="7">
        <f>'FY25'!L211</f>
        <v>2495000</v>
      </c>
      <c r="E211" s="7">
        <f>'FY26'!L211</f>
        <v>2494000</v>
      </c>
      <c r="F211" s="7">
        <f>'FY27'!L211</f>
        <v>2497000</v>
      </c>
      <c r="G211" s="7">
        <f>'FY28'!L211</f>
        <v>2493000</v>
      </c>
    </row>
    <row r="212" spans="1:7" hidden="1" x14ac:dyDescent="0.25">
      <c r="A212" s="210"/>
      <c r="B212" s="7">
        <f>'FY23'!L212</f>
        <v>0</v>
      </c>
      <c r="C212" s="7">
        <f>'FY24'!L212</f>
        <v>0</v>
      </c>
      <c r="D212" s="7">
        <f>'FY25'!L212</f>
        <v>0</v>
      </c>
      <c r="E212" s="7">
        <f>'FY26'!L212</f>
        <v>0</v>
      </c>
      <c r="F212" s="7">
        <f>'FY27'!L212</f>
        <v>0</v>
      </c>
      <c r="G212" s="7">
        <f>'FY28'!L212</f>
        <v>0</v>
      </c>
    </row>
    <row r="213" spans="1:7" hidden="1" x14ac:dyDescent="0.25">
      <c r="A213" s="106"/>
      <c r="B213" s="7">
        <f>'FY23'!L213</f>
        <v>0</v>
      </c>
      <c r="C213" s="7">
        <f>'FY24'!L213</f>
        <v>0</v>
      </c>
      <c r="D213" s="7">
        <f>'FY25'!L213</f>
        <v>0</v>
      </c>
      <c r="E213" s="7">
        <f>'FY26'!L213</f>
        <v>0</v>
      </c>
      <c r="F213" s="7">
        <f>'FY27'!L213</f>
        <v>0</v>
      </c>
      <c r="G213" s="7">
        <f>'FY28'!L213</f>
        <v>0</v>
      </c>
    </row>
    <row r="214" spans="1:7" hidden="1" x14ac:dyDescent="0.25">
      <c r="A214" s="106"/>
      <c r="B214" s="7">
        <f>'FY23'!L214</f>
        <v>0</v>
      </c>
      <c r="C214" s="7">
        <f>'FY24'!L214</f>
        <v>0</v>
      </c>
      <c r="D214" s="7">
        <f>'FY25'!L214</f>
        <v>0</v>
      </c>
      <c r="E214" s="7">
        <f>'FY26'!L214</f>
        <v>0</v>
      </c>
      <c r="F214" s="7">
        <f>'FY27'!L214</f>
        <v>0</v>
      </c>
      <c r="G214" s="7">
        <f>'FY28'!L214</f>
        <v>0</v>
      </c>
    </row>
    <row r="215" spans="1:7" hidden="1" x14ac:dyDescent="0.25">
      <c r="A215" s="106"/>
      <c r="B215" s="7">
        <f>'FY23'!L215</f>
        <v>0</v>
      </c>
      <c r="C215" s="7">
        <f>'FY24'!L215</f>
        <v>0</v>
      </c>
      <c r="D215" s="7">
        <f>'FY25'!L215</f>
        <v>0</v>
      </c>
      <c r="E215" s="7">
        <f>'FY26'!L215</f>
        <v>0</v>
      </c>
      <c r="F215" s="7">
        <f>'FY27'!L215</f>
        <v>0</v>
      </c>
      <c r="G215" s="7">
        <f>'FY28'!L215</f>
        <v>0</v>
      </c>
    </row>
    <row r="216" spans="1:7" x14ac:dyDescent="0.25">
      <c r="A216" s="106" t="s">
        <v>180</v>
      </c>
      <c r="B216" s="7">
        <f>'FY23'!L216</f>
        <v>0</v>
      </c>
      <c r="C216" s="7">
        <f>'FY24'!L216</f>
        <v>0</v>
      </c>
      <c r="D216" s="7">
        <f>'FY25'!L216</f>
        <v>0</v>
      </c>
      <c r="E216" s="7">
        <f>'FY26'!L216</f>
        <v>0</v>
      </c>
      <c r="F216" s="7">
        <f>'FY27'!L216</f>
        <v>0</v>
      </c>
      <c r="G216" s="7">
        <f>'FY28'!L216</f>
        <v>0</v>
      </c>
    </row>
    <row r="217" spans="1:7" x14ac:dyDescent="0.25">
      <c r="A217" s="107" t="s">
        <v>181</v>
      </c>
      <c r="B217" s="7">
        <f>'FY23'!L217</f>
        <v>0</v>
      </c>
      <c r="C217" s="7">
        <f>'FY24'!L217</f>
        <v>0</v>
      </c>
      <c r="D217" s="7">
        <f>'FY25'!L217</f>
        <v>0</v>
      </c>
      <c r="E217" s="7">
        <f>'FY26'!L217</f>
        <v>0</v>
      </c>
      <c r="F217" s="7">
        <f>'FY27'!L217</f>
        <v>0</v>
      </c>
      <c r="G217" s="7">
        <f>'FY28'!L217</f>
        <v>0</v>
      </c>
    </row>
    <row r="218" spans="1:7" x14ac:dyDescent="0.25">
      <c r="A218" s="146"/>
      <c r="B218" s="7">
        <f>'FY23'!L218</f>
        <v>0</v>
      </c>
      <c r="C218" s="7">
        <f>'FY24'!L218</f>
        <v>0</v>
      </c>
      <c r="D218" s="7">
        <f>'FY25'!L218</f>
        <v>0</v>
      </c>
      <c r="E218" s="7">
        <f>'FY26'!L218</f>
        <v>0</v>
      </c>
      <c r="F218" s="7">
        <f>'FY27'!L218</f>
        <v>0</v>
      </c>
      <c r="G218" s="7">
        <f>'FY28'!L218</f>
        <v>0</v>
      </c>
    </row>
    <row r="219" spans="1:7" x14ac:dyDescent="0.25">
      <c r="A219" s="147"/>
      <c r="B219" s="7"/>
      <c r="C219" s="7"/>
      <c r="D219" s="7"/>
      <c r="E219" s="7"/>
      <c r="F219" s="7"/>
      <c r="G219" s="7"/>
    </row>
    <row r="220" spans="1:7" ht="15.75" thickBot="1" x14ac:dyDescent="0.3">
      <c r="A220" s="144" t="s">
        <v>183</v>
      </c>
      <c r="B220" s="145">
        <f>B86-B207-B210-B211-B216-B217</f>
        <v>682145.85811075009</v>
      </c>
      <c r="C220" s="145">
        <f>C86-C207-C209-C210-C211-C216-C217</f>
        <v>853880.15837986395</v>
      </c>
      <c r="D220" s="145">
        <f t="shared" ref="D220:G220" si="38">D86-D207-D209-D210-D211-D216-D217</f>
        <v>991247.22223977</v>
      </c>
      <c r="E220" s="145">
        <f t="shared" si="38"/>
        <v>1117147.9437638409</v>
      </c>
      <c r="F220" s="145">
        <f t="shared" si="38"/>
        <v>1062812.6546187885</v>
      </c>
      <c r="G220" s="145">
        <f t="shared" si="38"/>
        <v>1137936.2294902094</v>
      </c>
    </row>
    <row r="221" spans="1:7" ht="15.75" thickBot="1" x14ac:dyDescent="0.3">
      <c r="A221" s="108"/>
      <c r="B221" s="110">
        <f>B220/(B86-B76)</f>
        <v>3.8386321753820722E-2</v>
      </c>
      <c r="C221" s="110">
        <f>C220/(C86-C76)</f>
        <v>4.4789711932553454E-2</v>
      </c>
      <c r="D221" s="110">
        <f>D220/(D86-D76)</f>
        <v>5.0269820235730844E-2</v>
      </c>
      <c r="E221" s="110">
        <f>E220/(E86)</f>
        <v>5.3498203566661455E-2</v>
      </c>
      <c r="F221" s="110">
        <f>F220/(F86-F76)</f>
        <v>5.1366869273609624E-2</v>
      </c>
      <c r="G221" s="110">
        <f>G220/(G86-G76)</f>
        <v>5.4224959195999699E-2</v>
      </c>
    </row>
    <row r="222" spans="1:7" x14ac:dyDescent="0.25">
      <c r="B222" s="111"/>
      <c r="C222" s="111"/>
      <c r="D222" s="111"/>
      <c r="E222" s="111"/>
      <c r="F222" s="111"/>
      <c r="G222" s="111"/>
    </row>
    <row r="223" spans="1:7" x14ac:dyDescent="0.25">
      <c r="A223" s="112" t="str">
        <f>A1</f>
        <v>Pinecrest Academy of Nevada - Cadence</v>
      </c>
      <c r="B223" s="112" t="str">
        <f>B1</f>
        <v xml:space="preserve"> FY 23</v>
      </c>
      <c r="C223" s="112" t="str">
        <f>C1</f>
        <v xml:space="preserve"> FY 24</v>
      </c>
      <c r="D223" s="112" t="str">
        <f>D1</f>
        <v xml:space="preserve"> FY 25</v>
      </c>
      <c r="E223" s="112" t="str">
        <f t="shared" ref="E223:G223" si="39">E1</f>
        <v xml:space="preserve"> FY 26</v>
      </c>
      <c r="F223" s="112" t="str">
        <f t="shared" si="39"/>
        <v xml:space="preserve"> FY 27</v>
      </c>
      <c r="G223" s="112" t="str">
        <f t="shared" si="39"/>
        <v xml:space="preserve"> FY 28</v>
      </c>
    </row>
    <row r="224" spans="1:7" x14ac:dyDescent="0.25">
      <c r="B224" s="109"/>
      <c r="C224" s="109"/>
      <c r="D224" s="109"/>
      <c r="E224" s="109"/>
      <c r="F224" s="109"/>
      <c r="G224" s="109"/>
    </row>
    <row r="225" spans="1:7" x14ac:dyDescent="0.25">
      <c r="A225" s="112"/>
      <c r="B225" s="71" t="b">
        <f>B220='FY23'!L220</f>
        <v>1</v>
      </c>
      <c r="C225" s="71" t="b">
        <f>C220='FY24'!L220</f>
        <v>1</v>
      </c>
      <c r="D225" s="71" t="b">
        <f>D220='FY25'!L220</f>
        <v>1</v>
      </c>
      <c r="E225" s="71" t="b">
        <f>E220='FY26'!L220</f>
        <v>1</v>
      </c>
      <c r="F225" s="71" t="b">
        <f>F220='FY27'!L220</f>
        <v>1</v>
      </c>
      <c r="G225" s="71" t="b">
        <f>G220='FY28'!L220</f>
        <v>1</v>
      </c>
    </row>
    <row r="226" spans="1:7" x14ac:dyDescent="0.25">
      <c r="B226" s="109"/>
      <c r="C226" s="109"/>
      <c r="D226" s="109"/>
      <c r="E226" s="109"/>
      <c r="F226" s="109"/>
      <c r="G226" s="109"/>
    </row>
    <row r="228" spans="1:7" x14ac:dyDescent="0.25">
      <c r="A228" s="266" t="s">
        <v>187</v>
      </c>
      <c r="B228" s="267">
        <f>B86-B207</f>
        <v>3174945.8581107501</v>
      </c>
      <c r="C228" s="267">
        <f t="shared" ref="C228:G228" si="40">C86-C207</f>
        <v>3348880.1583798639</v>
      </c>
      <c r="D228" s="267">
        <f t="shared" si="40"/>
        <v>3486247.22223977</v>
      </c>
      <c r="E228" s="267">
        <f t="shared" si="40"/>
        <v>3611147.9437638409</v>
      </c>
      <c r="F228" s="267">
        <f t="shared" si="40"/>
        <v>3559812.6546187885</v>
      </c>
      <c r="G228" s="267">
        <f t="shared" si="40"/>
        <v>3630936.2294902094</v>
      </c>
    </row>
    <row r="229" spans="1:7" x14ac:dyDescent="0.25">
      <c r="B229" s="268"/>
      <c r="C229" s="268"/>
      <c r="D229" s="268"/>
      <c r="E229" s="268"/>
      <c r="F229" s="268"/>
      <c r="G229" s="268"/>
    </row>
    <row r="230" spans="1:7" x14ac:dyDescent="0.25">
      <c r="A230" t="str">
        <f>A209</f>
        <v>Scheduled Lease Payment</v>
      </c>
      <c r="B230" s="269">
        <f t="shared" ref="B230:G234" si="41">B213</f>
        <v>0</v>
      </c>
      <c r="C230" s="269">
        <f t="shared" ref="C230:G232" si="42">C209</f>
        <v>0</v>
      </c>
      <c r="D230" s="269">
        <f t="shared" si="42"/>
        <v>0</v>
      </c>
      <c r="E230" s="269">
        <f t="shared" si="42"/>
        <v>0</v>
      </c>
      <c r="F230" s="269">
        <f t="shared" si="42"/>
        <v>0</v>
      </c>
      <c r="G230" s="269">
        <f t="shared" si="42"/>
        <v>0</v>
      </c>
    </row>
    <row r="231" spans="1:7" x14ac:dyDescent="0.25">
      <c r="A231" t="s">
        <v>180</v>
      </c>
      <c r="B231" s="269">
        <f>B210</f>
        <v>0</v>
      </c>
      <c r="C231" s="269">
        <f t="shared" si="42"/>
        <v>0</v>
      </c>
      <c r="D231" s="269">
        <f t="shared" si="42"/>
        <v>0</v>
      </c>
      <c r="E231" s="269">
        <f t="shared" si="42"/>
        <v>0</v>
      </c>
      <c r="F231" s="269">
        <f t="shared" si="42"/>
        <v>0</v>
      </c>
      <c r="G231" s="269">
        <f t="shared" si="42"/>
        <v>0</v>
      </c>
    </row>
    <row r="232" spans="1:7" x14ac:dyDescent="0.25">
      <c r="A232" t="s">
        <v>180</v>
      </c>
      <c r="B232" s="269">
        <f>B211</f>
        <v>2492800</v>
      </c>
      <c r="C232" s="269">
        <f t="shared" si="42"/>
        <v>2495000</v>
      </c>
      <c r="D232" s="269">
        <f t="shared" si="42"/>
        <v>2495000</v>
      </c>
      <c r="E232" s="269">
        <f t="shared" si="42"/>
        <v>2494000</v>
      </c>
      <c r="F232" s="269">
        <f t="shared" si="42"/>
        <v>2497000</v>
      </c>
      <c r="G232" s="269">
        <f t="shared" si="42"/>
        <v>2493000</v>
      </c>
    </row>
    <row r="233" spans="1:7" x14ac:dyDescent="0.25">
      <c r="A233" t="s">
        <v>180</v>
      </c>
      <c r="B233" s="269">
        <f t="shared" si="41"/>
        <v>0</v>
      </c>
      <c r="C233" s="269">
        <f t="shared" si="41"/>
        <v>0</v>
      </c>
      <c r="D233" s="269">
        <f t="shared" si="41"/>
        <v>0</v>
      </c>
      <c r="E233" s="269">
        <f t="shared" si="41"/>
        <v>0</v>
      </c>
      <c r="F233" s="269">
        <f t="shared" si="41"/>
        <v>0</v>
      </c>
      <c r="G233" s="269">
        <f t="shared" si="41"/>
        <v>0</v>
      </c>
    </row>
    <row r="234" spans="1:7" x14ac:dyDescent="0.25">
      <c r="B234" s="269">
        <f>B217</f>
        <v>0</v>
      </c>
      <c r="C234" s="269">
        <f t="shared" si="41"/>
        <v>0</v>
      </c>
      <c r="D234" s="269">
        <f t="shared" si="41"/>
        <v>0</v>
      </c>
      <c r="E234" s="269">
        <f t="shared" si="41"/>
        <v>0</v>
      </c>
      <c r="F234" s="269">
        <f t="shared" si="41"/>
        <v>0</v>
      </c>
      <c r="G234" s="269">
        <f t="shared" si="41"/>
        <v>0</v>
      </c>
    </row>
    <row r="235" spans="1:7" x14ac:dyDescent="0.25">
      <c r="A235" s="270" t="s">
        <v>188</v>
      </c>
      <c r="B235" s="271">
        <f t="shared" ref="B235:G235" si="43">SUM(B230:B234)</f>
        <v>2492800</v>
      </c>
      <c r="C235" s="271">
        <f t="shared" si="43"/>
        <v>2495000</v>
      </c>
      <c r="D235" s="271">
        <f t="shared" si="43"/>
        <v>2495000</v>
      </c>
      <c r="E235" s="271">
        <f t="shared" si="43"/>
        <v>2494000</v>
      </c>
      <c r="F235" s="271">
        <f t="shared" si="43"/>
        <v>2497000</v>
      </c>
      <c r="G235" s="271">
        <f t="shared" si="43"/>
        <v>2493000</v>
      </c>
    </row>
    <row r="236" spans="1:7" x14ac:dyDescent="0.25">
      <c r="B236" s="268"/>
      <c r="C236" s="268"/>
      <c r="D236" s="268"/>
      <c r="E236" s="268"/>
      <c r="F236" s="268"/>
      <c r="G236" s="268"/>
    </row>
    <row r="237" spans="1:7" x14ac:dyDescent="0.25">
      <c r="A237" s="266" t="s">
        <v>189</v>
      </c>
      <c r="B237" s="272">
        <f t="shared" ref="B237:G237" si="44">B228/B235</f>
        <v>1.2736464450059171</v>
      </c>
      <c r="C237" s="272">
        <f t="shared" si="44"/>
        <v>1.3422365364247952</v>
      </c>
      <c r="D237" s="272">
        <f t="shared" si="44"/>
        <v>1.3972934758476032</v>
      </c>
      <c r="E237" s="272">
        <f t="shared" si="44"/>
        <v>1.4479342196326548</v>
      </c>
      <c r="F237" s="272">
        <f t="shared" si="44"/>
        <v>1.4256358248373202</v>
      </c>
      <c r="G237" s="272">
        <f t="shared" si="44"/>
        <v>1.456452558961175</v>
      </c>
    </row>
    <row r="238" spans="1:7" x14ac:dyDescent="0.25">
      <c r="B238" s="268"/>
      <c r="C238" s="268"/>
      <c r="D238" s="268"/>
      <c r="E238" s="268"/>
      <c r="F238" s="268"/>
      <c r="G238" s="268"/>
    </row>
    <row r="239" spans="1:7" x14ac:dyDescent="0.25">
      <c r="A239" s="273" t="s">
        <v>190</v>
      </c>
      <c r="B239" s="273"/>
      <c r="C239" s="273"/>
      <c r="D239" s="273"/>
      <c r="E239" s="273"/>
      <c r="F239" s="273"/>
      <c r="G239" s="273"/>
    </row>
    <row r="240" spans="1:7" x14ac:dyDescent="0.25">
      <c r="A240" t="s">
        <v>298</v>
      </c>
      <c r="B240" s="274">
        <v>15437921</v>
      </c>
      <c r="C240" s="274">
        <f t="shared" ref="C240:G240" si="45">B243</f>
        <v>16120066.85811075</v>
      </c>
      <c r="D240" s="274">
        <f t="shared" si="45"/>
        <v>16973947.016490616</v>
      </c>
      <c r="E240" s="274">
        <f t="shared" si="45"/>
        <v>17965194.238730386</v>
      </c>
      <c r="F240" s="274">
        <f t="shared" si="45"/>
        <v>19082342.182494227</v>
      </c>
      <c r="G240" s="274">
        <f t="shared" si="45"/>
        <v>20145154.837113015</v>
      </c>
    </row>
    <row r="241" spans="1:9" x14ac:dyDescent="0.25">
      <c r="A241" s="268" t="s">
        <v>192</v>
      </c>
      <c r="B241" s="275">
        <v>0</v>
      </c>
      <c r="C241" s="275">
        <v>0</v>
      </c>
      <c r="D241" s="275">
        <v>0</v>
      </c>
      <c r="E241" s="275">
        <v>0</v>
      </c>
      <c r="F241" s="275">
        <v>0</v>
      </c>
      <c r="G241" s="275">
        <v>0</v>
      </c>
    </row>
    <row r="242" spans="1:9" x14ac:dyDescent="0.25">
      <c r="A242" s="268" t="s">
        <v>193</v>
      </c>
      <c r="B242" s="275">
        <f t="shared" ref="B242:G242" si="46">B220</f>
        <v>682145.85811075009</v>
      </c>
      <c r="C242" s="275">
        <f t="shared" si="46"/>
        <v>853880.15837986395</v>
      </c>
      <c r="D242" s="275">
        <f t="shared" si="46"/>
        <v>991247.22223977</v>
      </c>
      <c r="E242" s="275">
        <f t="shared" si="46"/>
        <v>1117147.9437638409</v>
      </c>
      <c r="F242" s="275">
        <f t="shared" si="46"/>
        <v>1062812.6546187885</v>
      </c>
      <c r="G242" s="275">
        <f t="shared" si="46"/>
        <v>1137936.2294902094</v>
      </c>
    </row>
    <row r="243" spans="1:9" x14ac:dyDescent="0.25">
      <c r="A243" s="276" t="s">
        <v>194</v>
      </c>
      <c r="B243" s="277">
        <f>B240+B241+B242</f>
        <v>16120066.85811075</v>
      </c>
      <c r="C243" s="277">
        <f t="shared" ref="C243:G243" si="47">C240+C241+C242</f>
        <v>16973947.016490616</v>
      </c>
      <c r="D243" s="277">
        <f t="shared" si="47"/>
        <v>17965194.238730386</v>
      </c>
      <c r="E243" s="277">
        <f t="shared" si="47"/>
        <v>19082342.182494227</v>
      </c>
      <c r="F243" s="277">
        <f t="shared" si="47"/>
        <v>20145154.837113015</v>
      </c>
      <c r="G243" s="277">
        <f t="shared" si="47"/>
        <v>21283091.066603225</v>
      </c>
    </row>
    <row r="244" spans="1:9" x14ac:dyDescent="0.25">
      <c r="A244" s="266" t="s">
        <v>195</v>
      </c>
      <c r="B244" s="272">
        <f t="shared" ref="B244:G244" si="48">B243/((SUM(B207:B218))/365)</f>
        <v>335.33128810559106</v>
      </c>
      <c r="C244" s="272">
        <f t="shared" si="48"/>
        <v>329.37514055632704</v>
      </c>
      <c r="D244" s="272">
        <f t="shared" si="48"/>
        <v>339.10833830281769</v>
      </c>
      <c r="E244" s="272">
        <f t="shared" si="48"/>
        <v>352.3965189015222</v>
      </c>
      <c r="F244" s="272">
        <f t="shared" si="48"/>
        <v>363.17797657879288</v>
      </c>
      <c r="G244" s="272">
        <f t="shared" si="48"/>
        <v>379.57346410923378</v>
      </c>
    </row>
    <row r="245" spans="1:9" x14ac:dyDescent="0.25">
      <c r="B245" s="109"/>
      <c r="C245" s="109"/>
      <c r="D245" s="109"/>
      <c r="E245" s="109"/>
      <c r="F245" s="109"/>
      <c r="G245" s="109"/>
    </row>
    <row r="246" spans="1:9" x14ac:dyDescent="0.25">
      <c r="B246" s="109"/>
      <c r="C246" s="278"/>
      <c r="D246" s="278"/>
      <c r="E246" s="278"/>
      <c r="F246" s="278"/>
      <c r="G246" s="278"/>
      <c r="I246" s="112" t="s">
        <v>265</v>
      </c>
    </row>
    <row r="247" spans="1:9" x14ac:dyDescent="0.25">
      <c r="A247" s="137" t="s">
        <v>266</v>
      </c>
      <c r="B247" s="278">
        <f>B129/SUM(B207:B217)</f>
        <v>0.40229531122480833</v>
      </c>
      <c r="C247" s="278">
        <f t="shared" ref="C247:G247" si="49">C129/SUM(C207:C217)</f>
        <v>0.40023620557460921</v>
      </c>
      <c r="D247" s="278">
        <f t="shared" si="49"/>
        <v>0.40168081404176725</v>
      </c>
      <c r="E247" s="278">
        <f t="shared" si="49"/>
        <v>0.40527105922392725</v>
      </c>
      <c r="F247" s="278">
        <f t="shared" si="49"/>
        <v>0.40810640250652369</v>
      </c>
      <c r="G247" s="278">
        <f t="shared" si="49"/>
        <v>0.41129681102935733</v>
      </c>
      <c r="I247" s="279">
        <f t="shared" ref="I247:I256" si="50">AVERAGE(B247:G247)</f>
        <v>0.40481443393349875</v>
      </c>
    </row>
    <row r="248" spans="1:9" x14ac:dyDescent="0.25">
      <c r="A248" s="137" t="s">
        <v>267</v>
      </c>
      <c r="B248" s="278">
        <f>SUM(B130:B134)/SUM(B207:B217)</f>
        <v>0.19824574371586529</v>
      </c>
      <c r="C248" s="278">
        <f t="shared" ref="C248:G248" si="51">SUM(C130:C134)/SUM(C207:C217)</f>
        <v>0.19930876832263264</v>
      </c>
      <c r="D248" s="278">
        <f t="shared" si="51"/>
        <v>0.20087324365573431</v>
      </c>
      <c r="E248" s="278">
        <f t="shared" si="51"/>
        <v>0.20352691427740255</v>
      </c>
      <c r="F248" s="278">
        <f t="shared" si="51"/>
        <v>0.20581505177665196</v>
      </c>
      <c r="G248" s="278">
        <f t="shared" si="51"/>
        <v>0.20830600597545529</v>
      </c>
      <c r="I248" s="279">
        <f t="shared" si="50"/>
        <v>0.20267928795395704</v>
      </c>
    </row>
    <row r="249" spans="1:9" x14ac:dyDescent="0.25">
      <c r="A249" s="137" t="s">
        <v>129</v>
      </c>
      <c r="B249" s="278">
        <f t="shared" ref="B249" si="52">B158/SUM(B207:B217)</f>
        <v>2.1930545648613355E-3</v>
      </c>
      <c r="C249" s="278">
        <f t="shared" ref="C249:G249" si="53">C158/SUM(C207:C217)</f>
        <v>2.1350537622416999E-3</v>
      </c>
      <c r="D249" s="278">
        <f t="shared" si="53"/>
        <v>2.1140953660292662E-3</v>
      </c>
      <c r="E249" s="278">
        <f t="shared" si="53"/>
        <v>2.1047494102936068E-3</v>
      </c>
      <c r="F249" s="278">
        <f t="shared" si="53"/>
        <v>2.0902666403170888E-3</v>
      </c>
      <c r="G249" s="278">
        <f t="shared" si="53"/>
        <v>2.0678257285545914E-3</v>
      </c>
      <c r="I249" s="279">
        <f t="shared" si="50"/>
        <v>2.1175075787162648E-3</v>
      </c>
    </row>
    <row r="250" spans="1:9" x14ac:dyDescent="0.25">
      <c r="A250" s="137" t="s">
        <v>268</v>
      </c>
      <c r="B250" s="278">
        <f>(B142+B155+B156+B157+B164+B165)/SUM(B207:B217)</f>
        <v>8.1581568261414189E-2</v>
      </c>
      <c r="C250" s="278">
        <f t="shared" ref="C250:G250" si="54">(C142+C155+C156+C157+C164+C165)/SUM(C207:C217)</f>
        <v>7.8751690670437496E-2</v>
      </c>
      <c r="D250" s="278">
        <f t="shared" si="54"/>
        <v>7.8067643500340053E-2</v>
      </c>
      <c r="E250" s="278">
        <f t="shared" si="54"/>
        <v>7.7414457959497321E-2</v>
      </c>
      <c r="F250" s="278">
        <f t="shared" si="54"/>
        <v>7.5952926613744032E-2</v>
      </c>
      <c r="G250" s="278">
        <f t="shared" si="54"/>
        <v>7.5501521193818144E-2</v>
      </c>
      <c r="I250" s="279">
        <f t="shared" si="50"/>
        <v>7.7878301366541877E-2</v>
      </c>
    </row>
    <row r="251" spans="1:9" x14ac:dyDescent="0.25">
      <c r="A251" s="137" t="s">
        <v>269</v>
      </c>
      <c r="B251" s="278">
        <f>(B154+B153+B137)/SUM(B207:B217)</f>
        <v>2.1488857164266285E-2</v>
      </c>
      <c r="C251" s="278">
        <f t="shared" ref="C251:G251" si="55">(C154+C153+C137)/SUM(C207:C217)</f>
        <v>2.9504518468627675E-2</v>
      </c>
      <c r="D251" s="278">
        <f t="shared" si="55"/>
        <v>2.9786414270135661E-2</v>
      </c>
      <c r="E251" s="278">
        <f t="shared" si="55"/>
        <v>2.9474034740999511E-2</v>
      </c>
      <c r="F251" s="278">
        <f t="shared" si="55"/>
        <v>2.9578811943008869E-2</v>
      </c>
      <c r="G251" s="278">
        <f t="shared" si="55"/>
        <v>2.9261256519193722E-2</v>
      </c>
      <c r="I251" s="279">
        <f t="shared" si="50"/>
        <v>2.8182315517705284E-2</v>
      </c>
    </row>
    <row r="252" spans="1:9" x14ac:dyDescent="0.25">
      <c r="A252" s="137" t="s">
        <v>270</v>
      </c>
      <c r="B252" s="278">
        <f>(B174+B143+B144)/SUM(B207:B217)</f>
        <v>1.4692553711571008E-2</v>
      </c>
      <c r="C252" s="278">
        <f t="shared" ref="C252:G252" si="56">(C174+C143+C144)/SUM(C207:C217)</f>
        <v>1.7472140160687506E-2</v>
      </c>
      <c r="D252" s="278">
        <f t="shared" si="56"/>
        <v>1.8679021343198276E-2</v>
      </c>
      <c r="E252" s="278">
        <f t="shared" si="56"/>
        <v>1.6131774788986173E-2</v>
      </c>
      <c r="F252" s="278">
        <f t="shared" si="56"/>
        <v>1.5884215949360687E-2</v>
      </c>
      <c r="G252" s="278">
        <f t="shared" si="56"/>
        <v>1.2188990178743331E-2</v>
      </c>
      <c r="I252" s="279">
        <f t="shared" si="50"/>
        <v>1.5841449355424499E-2</v>
      </c>
    </row>
    <row r="253" spans="1:9" x14ac:dyDescent="0.25">
      <c r="A253" s="137" t="s">
        <v>112</v>
      </c>
      <c r="B253" s="278">
        <f>(B141+B145+B146+B147+B148+B149)/SUM(B207:B217)</f>
        <v>2.6458394037764565E-2</v>
      </c>
      <c r="C253" s="278">
        <f t="shared" ref="C253:G253" si="57">(C141+C145+C146+C147+C148+C149)/SUM(C207:C217)</f>
        <v>2.7430671962371509E-2</v>
      </c>
      <c r="D253" s="278">
        <f t="shared" si="57"/>
        <v>2.7131665167482635E-2</v>
      </c>
      <c r="E253" s="278">
        <f t="shared" si="57"/>
        <v>2.681854182466329E-2</v>
      </c>
      <c r="F253" s="278">
        <f t="shared" si="57"/>
        <v>2.6287996127909153E-2</v>
      </c>
      <c r="G253" s="278">
        <f t="shared" si="57"/>
        <v>2.6005770602160062E-2</v>
      </c>
      <c r="I253" s="279">
        <f t="shared" si="50"/>
        <v>2.6688839953725202E-2</v>
      </c>
    </row>
    <row r="254" spans="1:9" x14ac:dyDescent="0.25">
      <c r="A254" s="137" t="s">
        <v>271</v>
      </c>
      <c r="B254" s="278">
        <f>(B181)/SUM(B207:B217)</f>
        <v>4.3256975434764911E-3</v>
      </c>
      <c r="C254" s="278">
        <f t="shared" ref="C254:G254" si="58">(C181)/SUM(C207:C217)</f>
        <v>4.2772314588494457E-3</v>
      </c>
      <c r="D254" s="278">
        <f t="shared" si="58"/>
        <v>4.4102904670555226E-3</v>
      </c>
      <c r="E254" s="278">
        <f t="shared" si="58"/>
        <v>4.5736869705541843E-3</v>
      </c>
      <c r="F254" s="278">
        <f t="shared" si="58"/>
        <v>4.7328339473194977E-3</v>
      </c>
      <c r="G254" s="278">
        <f t="shared" si="58"/>
        <v>4.9629440347307959E-3</v>
      </c>
      <c r="I254" s="279">
        <f t="shared" si="50"/>
        <v>4.5471140703309898E-3</v>
      </c>
    </row>
    <row r="255" spans="1:9" x14ac:dyDescent="0.25">
      <c r="A255" s="137" t="s">
        <v>272</v>
      </c>
      <c r="B255" s="278">
        <f>(B205+B210+B211+B216+B217)/SUM(B207:B217)</f>
        <v>0.1924651329911525</v>
      </c>
      <c r="C255" s="278">
        <f t="shared" ref="C255:G255" si="59">(C205+C210+C211+C216+C217)/SUM(C207:C217)</f>
        <v>0.18114436510052584</v>
      </c>
      <c r="D255" s="278">
        <f t="shared" si="59"/>
        <v>0.17753306467824775</v>
      </c>
      <c r="E255" s="278">
        <f t="shared" si="59"/>
        <v>0.17494467979671632</v>
      </c>
      <c r="F255" s="278">
        <f t="shared" si="59"/>
        <v>0.17221791547367787</v>
      </c>
      <c r="G255" s="278">
        <f t="shared" si="59"/>
        <v>0.17095696610559113</v>
      </c>
      <c r="I255" s="279">
        <f t="shared" si="50"/>
        <v>0.17821035402431859</v>
      </c>
    </row>
    <row r="256" spans="1:9" x14ac:dyDescent="0.25">
      <c r="A256" s="137" t="s">
        <v>4</v>
      </c>
      <c r="B256" s="278">
        <f t="shared" ref="B256" si="60">(B183)/SUM(B207:B217)</f>
        <v>2.4289816765856561E-2</v>
      </c>
      <c r="C256" s="278">
        <f t="shared" ref="C256:G256" si="61">(C183)/SUM(C207:C217)</f>
        <v>2.8293332666283484E-2</v>
      </c>
      <c r="D256" s="278">
        <f t="shared" si="61"/>
        <v>2.7983879054355419E-2</v>
      </c>
      <c r="E256" s="278">
        <f t="shared" si="61"/>
        <v>2.7660292942476999E-2</v>
      </c>
      <c r="F256" s="278">
        <f t="shared" si="61"/>
        <v>2.7112852542907667E-2</v>
      </c>
      <c r="G256" s="278">
        <f t="shared" si="61"/>
        <v>2.6821771434014933E-2</v>
      </c>
      <c r="I256" s="279">
        <f t="shared" si="50"/>
        <v>2.7026990900982512E-2</v>
      </c>
    </row>
    <row r="257" spans="1:9" x14ac:dyDescent="0.25">
      <c r="A257" s="137" t="s">
        <v>273</v>
      </c>
      <c r="B257" s="278">
        <f>(B150)/SUM(B207:B217)</f>
        <v>2.8496031248198229E-3</v>
      </c>
      <c r="C257" s="278">
        <f t="shared" ref="C257:G257" si="62">(C150)/SUM(C207:C217)</f>
        <v>3.1898213579308267E-3</v>
      </c>
      <c r="D257" s="278">
        <f t="shared" si="62"/>
        <v>3.6200263116939494E-3</v>
      </c>
      <c r="E257" s="278">
        <f t="shared" si="62"/>
        <v>4.0475950197953981E-3</v>
      </c>
      <c r="F257" s="278">
        <f t="shared" si="62"/>
        <v>4.4452740460429576E-3</v>
      </c>
      <c r="G257" s="278">
        <f t="shared" si="62"/>
        <v>4.886166655374744E-3</v>
      </c>
      <c r="I257" s="279">
        <f>AVERAGE(B257:G257)</f>
        <v>3.8397477526096167E-3</v>
      </c>
    </row>
    <row r="258" spans="1:9" x14ac:dyDescent="0.25">
      <c r="A258" s="137" t="s">
        <v>274</v>
      </c>
      <c r="B258" s="278">
        <f>B185/SUM(B207:B217)</f>
        <v>1.7097618748918939E-4</v>
      </c>
      <c r="C258" s="278">
        <f t="shared" ref="C258:G258" si="63">C185/SUM(C207:C217)</f>
        <v>1.5949106789654133E-4</v>
      </c>
      <c r="D258" s="278">
        <f t="shared" si="63"/>
        <v>1.5514398478688355E-4</v>
      </c>
      <c r="E258" s="278">
        <f t="shared" si="63"/>
        <v>1.5178481324232743E-4</v>
      </c>
      <c r="F258" s="278">
        <f t="shared" si="63"/>
        <v>1.4817580153476527E-4</v>
      </c>
      <c r="G258" s="278">
        <f t="shared" si="63"/>
        <v>1.4658499966124233E-4</v>
      </c>
      <c r="I258" s="279">
        <f>AVERAGE(B258:G258)</f>
        <v>1.5535947576849154E-4</v>
      </c>
    </row>
    <row r="259" spans="1:9" x14ac:dyDescent="0.25">
      <c r="A259" s="137" t="s">
        <v>275</v>
      </c>
      <c r="B259" s="278">
        <f>(B159+B160)/SUM(B207:B217)</f>
        <v>9.6886506243873979E-4</v>
      </c>
      <c r="C259" s="278">
        <f t="shared" ref="C259:G259" si="64">(C159+C160)/SUM(C207:C217)</f>
        <v>9.4870603553792667E-4</v>
      </c>
      <c r="D259" s="278">
        <f t="shared" si="64"/>
        <v>9.4122494117198524E-4</v>
      </c>
      <c r="E259" s="278">
        <f t="shared" si="64"/>
        <v>9.3936385369407509E-4</v>
      </c>
      <c r="F259" s="278">
        <f t="shared" si="64"/>
        <v>9.3564875495159155E-4</v>
      </c>
      <c r="G259" s="278">
        <f t="shared" si="64"/>
        <v>9.4457672684526912E-4</v>
      </c>
      <c r="I259" s="279">
        <f>AVERAGE(B259:G259)</f>
        <v>9.4639756243993119E-4</v>
      </c>
    </row>
    <row r="260" spans="1:9" x14ac:dyDescent="0.25">
      <c r="A260" s="137" t="s">
        <v>276</v>
      </c>
      <c r="B260" s="278">
        <f>(B161+B162+B169+B170+B171+B173+B175)/SUM(B207:B217)</f>
        <v>8.1684443493585182E-3</v>
      </c>
      <c r="C260" s="278">
        <f t="shared" ref="C260:G260" si="65">(C161+C162+C169+C170+C171+C173+C175)/SUM(C207:C217)</f>
        <v>8.1900991934465272E-3</v>
      </c>
      <c r="D260" s="278">
        <f t="shared" si="65"/>
        <v>8.1117870947345176E-3</v>
      </c>
      <c r="E260" s="278">
        <f t="shared" si="65"/>
        <v>8.0436606154681446E-3</v>
      </c>
      <c r="F260" s="278">
        <f t="shared" si="65"/>
        <v>7.9239447828545334E-3</v>
      </c>
      <c r="G260" s="278">
        <f t="shared" si="65"/>
        <v>7.8881147744872641E-3</v>
      </c>
      <c r="I260" s="279">
        <f>AVERAGE(B260:G260)</f>
        <v>8.0543418017249169E-3</v>
      </c>
    </row>
    <row r="261" spans="1:9" x14ac:dyDescent="0.25">
      <c r="A261" s="137" t="s">
        <v>153</v>
      </c>
      <c r="B261" s="278">
        <f>(B163+B172+B184+B186+B187+B189+B191+B136+B190)/SUM(B207:B217)</f>
        <v>1.5089888123280258E-2</v>
      </c>
      <c r="C261" s="278">
        <f t="shared" ref="C261:G261" si="66">(C163+C172+C184+C186+C187+C189+C191+C136+C190)/SUM(C207:C217)</f>
        <v>1.4372535995896149E-2</v>
      </c>
      <c r="D261" s="278">
        <f t="shared" si="66"/>
        <v>1.4373724568250005E-2</v>
      </c>
      <c r="E261" s="278">
        <f t="shared" si="66"/>
        <v>1.4381805568323684E-2</v>
      </c>
      <c r="F261" s="278">
        <f t="shared" si="66"/>
        <v>1.4285365096768929E-2</v>
      </c>
      <c r="G261" s="278">
        <f t="shared" si="66"/>
        <v>1.4330497802259791E-2</v>
      </c>
      <c r="I261" s="279">
        <f>AVERAGE(B261:G261)</f>
        <v>1.4472302859129801E-2</v>
      </c>
    </row>
    <row r="263" spans="1:9" x14ac:dyDescent="0.25">
      <c r="B263" s="279">
        <f>SUM(B247:B262)</f>
        <v>0.99528390682842294</v>
      </c>
      <c r="C263" s="279">
        <f>SUM(C247:C262)</f>
        <v>0.9954146317979744</v>
      </c>
      <c r="D263" s="279">
        <f>SUM(D247:D262)</f>
        <v>0.9954620384449836</v>
      </c>
      <c r="E263" s="279">
        <f t="shared" ref="E263:G263" si="67">SUM(E247:E262)</f>
        <v>0.9954844018060407</v>
      </c>
      <c r="F263" s="279">
        <f t="shared" si="67"/>
        <v>0.99551768200357316</v>
      </c>
      <c r="G263" s="279">
        <f t="shared" si="67"/>
        <v>0.99556580376024761</v>
      </c>
      <c r="I263" s="279">
        <f t="shared" ref="I263" si="68">SUM(I247:I262)</f>
        <v>0.99545474410687396</v>
      </c>
    </row>
    <row r="266" spans="1:9" x14ac:dyDescent="0.25">
      <c r="B266" s="155"/>
    </row>
  </sheetData>
  <pageMargins left="0.7" right="0.7" top="0.75" bottom="0.75" header="0.3" footer="0.3"/>
  <pageSetup scale="58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24"/>
  <sheetViews>
    <sheetView topLeftCell="A118" zoomScaleNormal="100" workbookViewId="0">
      <selection activeCell="C127" sqref="C127"/>
    </sheetView>
  </sheetViews>
  <sheetFormatPr defaultRowHeight="15" x14ac:dyDescent="0.25"/>
  <cols>
    <col min="1" max="1" width="10.42578125" customWidth="1"/>
    <col min="2" max="2" width="46.85546875" customWidth="1"/>
    <col min="3" max="3" width="16.42578125" customWidth="1"/>
    <col min="4" max="4" width="14.85546875" customWidth="1"/>
    <col min="5" max="5" width="16.42578125" customWidth="1"/>
    <col min="6" max="7" width="14.85546875" customWidth="1"/>
    <col min="8" max="8" width="11" bestFit="1" customWidth="1"/>
  </cols>
  <sheetData>
    <row r="1" spans="1:7" x14ac:dyDescent="0.25">
      <c r="A1" s="2"/>
      <c r="B1" s="1" t="s">
        <v>197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198</v>
      </c>
    </row>
    <row r="2" spans="1:7" x14ac:dyDescent="0.25">
      <c r="A2" s="4"/>
      <c r="B2" s="6" t="s">
        <v>7</v>
      </c>
      <c r="C2" s="7">
        <v>7196.79</v>
      </c>
      <c r="D2" s="7">
        <v>0</v>
      </c>
      <c r="E2" s="7">
        <v>0</v>
      </c>
      <c r="F2" s="7">
        <v>0</v>
      </c>
      <c r="G2" s="7">
        <f>SUM(C2:F2)</f>
        <v>7196.79</v>
      </c>
    </row>
    <row r="3" spans="1:7" x14ac:dyDescent="0.25">
      <c r="A3" s="4"/>
      <c r="B3" s="8"/>
      <c r="C3" s="7">
        <v>0</v>
      </c>
      <c r="D3" s="7">
        <v>0</v>
      </c>
      <c r="E3" s="7"/>
      <c r="F3" s="7">
        <v>0</v>
      </c>
      <c r="G3" s="7">
        <f>SUM(C3:F3)</f>
        <v>0</v>
      </c>
    </row>
    <row r="4" spans="1:7" x14ac:dyDescent="0.25">
      <c r="A4" s="4"/>
      <c r="B4" s="8"/>
      <c r="C4" s="139"/>
      <c r="D4" s="139"/>
      <c r="E4" s="139"/>
      <c r="F4" s="139"/>
      <c r="G4" s="153"/>
    </row>
    <row r="5" spans="1:7" x14ac:dyDescent="0.25">
      <c r="A5" s="4"/>
      <c r="B5" s="8" t="s">
        <v>8</v>
      </c>
      <c r="C5" s="9">
        <f>C6+C7+C8+C9+C10+C11+C12+C13+C14+C15+C16+C17+C18</f>
        <v>911</v>
      </c>
      <c r="D5" s="9"/>
      <c r="E5" s="9"/>
      <c r="F5" s="9"/>
      <c r="G5" s="9">
        <f t="shared" ref="G5:G19" si="0">SUM(C5:F5)</f>
        <v>911</v>
      </c>
    </row>
    <row r="6" spans="1:7" x14ac:dyDescent="0.25">
      <c r="A6" s="151">
        <v>6</v>
      </c>
      <c r="B6" s="10" t="s">
        <v>9</v>
      </c>
      <c r="C6" s="11">
        <f>25*6</f>
        <v>150</v>
      </c>
      <c r="D6" s="11"/>
      <c r="E6" s="11"/>
      <c r="F6" s="11"/>
      <c r="G6" s="9">
        <f t="shared" si="0"/>
        <v>150</v>
      </c>
    </row>
    <row r="7" spans="1:7" x14ac:dyDescent="0.25">
      <c r="A7" s="151">
        <v>6</v>
      </c>
      <c r="B7" s="12" t="s">
        <v>10</v>
      </c>
      <c r="C7" s="11">
        <v>150</v>
      </c>
      <c r="D7" s="11"/>
      <c r="E7" s="11"/>
      <c r="F7" s="11"/>
      <c r="G7" s="9">
        <f t="shared" si="0"/>
        <v>150</v>
      </c>
    </row>
    <row r="8" spans="1:7" x14ac:dyDescent="0.25">
      <c r="A8" s="151">
        <v>7</v>
      </c>
      <c r="B8" s="12" t="s">
        <v>11</v>
      </c>
      <c r="C8" s="11">
        <f>26*7</f>
        <v>182</v>
      </c>
      <c r="D8" s="11"/>
      <c r="E8" s="11"/>
      <c r="F8" s="11"/>
      <c r="G8" s="9">
        <f t="shared" si="0"/>
        <v>182</v>
      </c>
    </row>
    <row r="9" spans="1:7" x14ac:dyDescent="0.25">
      <c r="A9" s="151">
        <v>7</v>
      </c>
      <c r="B9" s="13" t="s">
        <v>12</v>
      </c>
      <c r="C9" s="11">
        <f>26*7</f>
        <v>182</v>
      </c>
      <c r="D9" s="11"/>
      <c r="E9" s="11"/>
      <c r="F9" s="11"/>
      <c r="G9" s="9">
        <f t="shared" si="0"/>
        <v>182</v>
      </c>
    </row>
    <row r="10" spans="1:7" x14ac:dyDescent="0.25">
      <c r="A10" s="151">
        <v>5</v>
      </c>
      <c r="B10" s="13" t="s">
        <v>13</v>
      </c>
      <c r="C10" s="11">
        <f>27*5</f>
        <v>135</v>
      </c>
      <c r="D10" s="11"/>
      <c r="E10" s="11"/>
      <c r="F10" s="11"/>
      <c r="G10" s="9">
        <f t="shared" si="0"/>
        <v>135</v>
      </c>
    </row>
    <row r="11" spans="1:7" x14ac:dyDescent="0.25">
      <c r="A11" s="151">
        <v>4</v>
      </c>
      <c r="B11" s="13" t="s">
        <v>14</v>
      </c>
      <c r="C11" s="11">
        <f>28*4</f>
        <v>112</v>
      </c>
      <c r="D11" s="11"/>
      <c r="E11" s="11"/>
      <c r="F11" s="11"/>
      <c r="G11" s="9">
        <f t="shared" si="0"/>
        <v>112</v>
      </c>
    </row>
    <row r="12" spans="1:7" x14ac:dyDescent="0.25">
      <c r="A12" s="151"/>
      <c r="B12" s="13" t="s">
        <v>15</v>
      </c>
      <c r="C12" s="7">
        <v>0</v>
      </c>
      <c r="D12" s="7"/>
      <c r="E12" s="7"/>
      <c r="F12" s="7"/>
      <c r="G12" s="9">
        <f t="shared" si="0"/>
        <v>0</v>
      </c>
    </row>
    <row r="13" spans="1:7" x14ac:dyDescent="0.25">
      <c r="A13" s="151"/>
      <c r="B13" s="13" t="s">
        <v>16</v>
      </c>
      <c r="C13" s="7">
        <v>0</v>
      </c>
      <c r="D13" s="7"/>
      <c r="E13" s="7"/>
      <c r="F13" s="7"/>
      <c r="G13" s="9">
        <f t="shared" si="0"/>
        <v>0</v>
      </c>
    </row>
    <row r="14" spans="1:7" x14ac:dyDescent="0.25">
      <c r="A14" s="151"/>
      <c r="B14" s="13" t="s">
        <v>17</v>
      </c>
      <c r="C14" s="7">
        <v>0</v>
      </c>
      <c r="D14" s="7"/>
      <c r="E14" s="7"/>
      <c r="F14" s="7"/>
      <c r="G14" s="9">
        <f t="shared" si="0"/>
        <v>0</v>
      </c>
    </row>
    <row r="15" spans="1:7" x14ac:dyDescent="0.25">
      <c r="A15" s="151"/>
      <c r="B15" s="13" t="s">
        <v>18</v>
      </c>
      <c r="C15" s="15">
        <v>0</v>
      </c>
      <c r="D15" s="7"/>
      <c r="E15" s="7"/>
      <c r="F15" s="7"/>
      <c r="G15" s="9">
        <f t="shared" si="0"/>
        <v>0</v>
      </c>
    </row>
    <row r="16" spans="1:7" x14ac:dyDescent="0.25">
      <c r="A16" s="151"/>
      <c r="B16" s="13" t="s">
        <v>19</v>
      </c>
      <c r="C16" s="15">
        <v>0</v>
      </c>
      <c r="D16" s="7"/>
      <c r="E16" s="7"/>
      <c r="F16" s="7"/>
      <c r="G16" s="9">
        <f t="shared" si="0"/>
        <v>0</v>
      </c>
    </row>
    <row r="17" spans="1:9" x14ac:dyDescent="0.25">
      <c r="A17" s="151"/>
      <c r="B17" s="13" t="s">
        <v>20</v>
      </c>
      <c r="C17" s="7">
        <v>0</v>
      </c>
      <c r="D17" s="7"/>
      <c r="E17" s="7"/>
      <c r="F17" s="7"/>
      <c r="G17" s="9">
        <f t="shared" si="0"/>
        <v>0</v>
      </c>
    </row>
    <row r="18" spans="1:9" x14ac:dyDescent="0.25">
      <c r="A18" s="151"/>
      <c r="B18" s="13" t="s">
        <v>21</v>
      </c>
      <c r="C18" s="7">
        <v>0</v>
      </c>
      <c r="D18" s="7"/>
      <c r="E18" s="7"/>
      <c r="F18" s="7"/>
      <c r="G18" s="9">
        <f t="shared" si="0"/>
        <v>0</v>
      </c>
    </row>
    <row r="19" spans="1:9" x14ac:dyDescent="0.25">
      <c r="A19" s="151"/>
      <c r="B19" s="13" t="s">
        <v>8</v>
      </c>
      <c r="C19" s="9">
        <f>SUM(C6:C18)</f>
        <v>911</v>
      </c>
      <c r="D19" s="9"/>
      <c r="E19" s="9"/>
      <c r="F19" s="9"/>
      <c r="G19" s="9">
        <f t="shared" si="0"/>
        <v>911</v>
      </c>
      <c r="H19" s="138">
        <f>G87+G92+G94</f>
        <v>6629123.4000000004</v>
      </c>
      <c r="I19">
        <f>H19/G19</f>
        <v>7276.7545554335902</v>
      </c>
    </row>
    <row r="20" spans="1:9" x14ac:dyDescent="0.25">
      <c r="A20" s="4"/>
      <c r="B20" s="16"/>
      <c r="C20" s="7"/>
      <c r="D20" s="7"/>
      <c r="E20" s="7"/>
      <c r="F20" s="7"/>
      <c r="G20" s="7"/>
    </row>
    <row r="21" spans="1:9" x14ac:dyDescent="0.25">
      <c r="A21" s="4"/>
      <c r="B21" s="17" t="s">
        <v>22</v>
      </c>
      <c r="C21" s="18"/>
      <c r="D21" s="18"/>
      <c r="E21" s="18"/>
      <c r="F21" s="18"/>
      <c r="G21" s="18"/>
      <c r="I21" s="137"/>
    </row>
    <row r="22" spans="1:9" x14ac:dyDescent="0.25">
      <c r="A22" s="4"/>
      <c r="B22" s="140" t="s">
        <v>23</v>
      </c>
      <c r="C22" s="7"/>
      <c r="D22" s="7"/>
      <c r="E22" s="7">
        <v>81</v>
      </c>
      <c r="F22" s="7"/>
      <c r="G22" s="7">
        <f t="shared" ref="G22:G27" si="1">SUM(C22:F22)</f>
        <v>81</v>
      </c>
      <c r="I22" s="168"/>
    </row>
    <row r="23" spans="1:9" x14ac:dyDescent="0.25">
      <c r="A23" s="4"/>
      <c r="B23" s="140" t="s">
        <v>24</v>
      </c>
      <c r="C23" s="7"/>
      <c r="D23" s="7">
        <v>12</v>
      </c>
      <c r="E23" s="7"/>
      <c r="F23" s="7"/>
      <c r="G23" s="7">
        <f t="shared" si="1"/>
        <v>12</v>
      </c>
    </row>
    <row r="24" spans="1:9" x14ac:dyDescent="0.25">
      <c r="A24" s="4"/>
      <c r="B24" s="140" t="s">
        <v>25</v>
      </c>
      <c r="C24" s="7"/>
      <c r="D24" s="7">
        <v>35</v>
      </c>
      <c r="E24" s="7"/>
      <c r="F24" s="7"/>
      <c r="G24" s="7">
        <f t="shared" si="1"/>
        <v>35</v>
      </c>
    </row>
    <row r="25" spans="1:9" x14ac:dyDescent="0.25">
      <c r="A25" s="4"/>
      <c r="B25" s="140" t="s">
        <v>26</v>
      </c>
      <c r="C25" s="19"/>
      <c r="D25" s="19"/>
      <c r="E25" s="19"/>
      <c r="F25" s="19">
        <v>0.32</v>
      </c>
      <c r="G25" s="19">
        <f t="shared" si="1"/>
        <v>0.32</v>
      </c>
    </row>
    <row r="26" spans="1:9" x14ac:dyDescent="0.25">
      <c r="A26" s="4"/>
      <c r="B26" s="140" t="s">
        <v>27</v>
      </c>
      <c r="C26" s="7"/>
      <c r="D26" s="7">
        <v>221</v>
      </c>
      <c r="E26" s="7"/>
      <c r="F26" s="7"/>
      <c r="G26" s="7">
        <f t="shared" si="1"/>
        <v>221</v>
      </c>
    </row>
    <row r="27" spans="1:9" x14ac:dyDescent="0.25">
      <c r="A27" s="4"/>
      <c r="B27" s="20"/>
      <c r="C27" s="7"/>
      <c r="D27" s="7"/>
      <c r="E27" s="7"/>
      <c r="F27" s="7"/>
      <c r="G27" s="7">
        <f t="shared" si="1"/>
        <v>0</v>
      </c>
    </row>
    <row r="28" spans="1:9" x14ac:dyDescent="0.25">
      <c r="A28" s="4"/>
      <c r="B28" s="17" t="s">
        <v>28</v>
      </c>
      <c r="C28" s="18"/>
      <c r="D28" s="18"/>
      <c r="E28" s="18"/>
      <c r="F28" s="18"/>
      <c r="G28" s="18"/>
    </row>
    <row r="29" spans="1:9" x14ac:dyDescent="0.25">
      <c r="A29" s="4"/>
      <c r="B29" s="21" t="s">
        <v>29</v>
      </c>
      <c r="C29" s="23">
        <v>35</v>
      </c>
      <c r="D29" s="23"/>
      <c r="E29" s="23"/>
      <c r="F29" s="23"/>
      <c r="G29" s="23">
        <f t="shared" ref="G29:G38" si="2">SUM(C29:F29)</f>
        <v>35</v>
      </c>
    </row>
    <row r="30" spans="1:9" x14ac:dyDescent="0.25">
      <c r="A30" s="25"/>
      <c r="B30" s="21" t="s">
        <v>30</v>
      </c>
      <c r="C30" s="26">
        <v>0</v>
      </c>
      <c r="D30" s="26"/>
      <c r="E30" s="26">
        <v>4</v>
      </c>
      <c r="F30" s="26"/>
      <c r="G30" s="23">
        <f t="shared" si="2"/>
        <v>4</v>
      </c>
    </row>
    <row r="31" spans="1:9" x14ac:dyDescent="0.25">
      <c r="A31" s="4"/>
      <c r="B31" s="21" t="s">
        <v>31</v>
      </c>
      <c r="C31" s="23">
        <v>1</v>
      </c>
      <c r="D31" s="23"/>
      <c r="E31" s="23"/>
      <c r="F31" s="23"/>
      <c r="G31" s="23">
        <f t="shared" si="2"/>
        <v>1</v>
      </c>
    </row>
    <row r="32" spans="1:9" x14ac:dyDescent="0.25">
      <c r="A32" s="4"/>
      <c r="B32" s="21" t="s">
        <v>32</v>
      </c>
      <c r="C32" s="23">
        <v>1</v>
      </c>
      <c r="D32" s="23"/>
      <c r="E32" s="23"/>
      <c r="F32" s="23"/>
      <c r="G32" s="23">
        <f t="shared" si="2"/>
        <v>1</v>
      </c>
    </row>
    <row r="33" spans="1:7" x14ac:dyDescent="0.25">
      <c r="A33" s="4"/>
      <c r="B33" s="21" t="s">
        <v>33</v>
      </c>
      <c r="C33" s="23">
        <v>1</v>
      </c>
      <c r="D33" s="23"/>
      <c r="E33" s="23"/>
      <c r="F33" s="23"/>
      <c r="G33" s="23">
        <f t="shared" si="2"/>
        <v>1</v>
      </c>
    </row>
    <row r="34" spans="1:7" x14ac:dyDescent="0.25">
      <c r="A34" s="4"/>
      <c r="B34" s="24" t="s">
        <v>34</v>
      </c>
      <c r="C34" s="23">
        <v>0</v>
      </c>
      <c r="D34" s="22"/>
      <c r="E34" s="22"/>
      <c r="F34" s="22"/>
      <c r="G34" s="23">
        <f t="shared" si="2"/>
        <v>0</v>
      </c>
    </row>
    <row r="35" spans="1:7" x14ac:dyDescent="0.25">
      <c r="A35" s="4"/>
      <c r="B35" s="27" t="s">
        <v>35</v>
      </c>
      <c r="C35" s="23">
        <v>1</v>
      </c>
      <c r="D35" s="23"/>
      <c r="E35" s="23"/>
      <c r="F35" s="23"/>
      <c r="G35" s="23">
        <f t="shared" si="2"/>
        <v>1</v>
      </c>
    </row>
    <row r="36" spans="1:7" x14ac:dyDescent="0.25">
      <c r="A36" s="4"/>
      <c r="B36" s="28" t="s">
        <v>36</v>
      </c>
      <c r="C36" s="23">
        <v>0</v>
      </c>
      <c r="D36" s="22"/>
      <c r="E36" s="22"/>
      <c r="F36" s="22"/>
      <c r="G36" s="23">
        <f t="shared" si="2"/>
        <v>0</v>
      </c>
    </row>
    <row r="37" spans="1:7" x14ac:dyDescent="0.25">
      <c r="A37" s="4"/>
      <c r="B37" s="27" t="s">
        <v>37</v>
      </c>
      <c r="C37" s="23">
        <v>1</v>
      </c>
      <c r="D37" s="23"/>
      <c r="E37" s="23"/>
      <c r="F37" s="23"/>
      <c r="G37" s="23">
        <f t="shared" si="2"/>
        <v>1</v>
      </c>
    </row>
    <row r="38" spans="1:7" x14ac:dyDescent="0.25">
      <c r="A38" s="4"/>
      <c r="B38" s="27" t="s">
        <v>38</v>
      </c>
      <c r="C38" s="23">
        <v>0.5</v>
      </c>
      <c r="D38" s="23"/>
      <c r="E38" s="23"/>
      <c r="F38" s="23"/>
      <c r="G38" s="23">
        <f t="shared" si="2"/>
        <v>0.5</v>
      </c>
    </row>
    <row r="39" spans="1:7" x14ac:dyDescent="0.25">
      <c r="A39" s="4"/>
      <c r="B39" s="29" t="s">
        <v>39</v>
      </c>
      <c r="C39" s="30">
        <f>SUM(C29:C38)</f>
        <v>40.5</v>
      </c>
      <c r="D39" s="30">
        <f>SUM(D29:D38)</f>
        <v>0</v>
      </c>
      <c r="E39" s="30">
        <f t="shared" ref="E39:F39" si="3">SUM(E29:E38)</f>
        <v>4</v>
      </c>
      <c r="F39" s="30">
        <f t="shared" si="3"/>
        <v>0</v>
      </c>
      <c r="G39" s="30">
        <f t="shared" ref="G39" si="4">SUM(G29:G38)</f>
        <v>44.5</v>
      </c>
    </row>
    <row r="40" spans="1:7" x14ac:dyDescent="0.25">
      <c r="A40" s="4"/>
      <c r="B40" s="31"/>
      <c r="C40" s="23"/>
      <c r="D40" s="23"/>
      <c r="E40" s="23"/>
      <c r="F40" s="23"/>
      <c r="G40" s="23"/>
    </row>
    <row r="41" spans="1:7" x14ac:dyDescent="0.25">
      <c r="A41" s="4"/>
      <c r="B41" s="17" t="s">
        <v>40</v>
      </c>
      <c r="C41" s="32"/>
      <c r="D41" s="32"/>
      <c r="E41" s="32"/>
      <c r="F41" s="32"/>
      <c r="G41" s="32"/>
    </row>
    <row r="42" spans="1:7" x14ac:dyDescent="0.25">
      <c r="A42" s="4"/>
      <c r="B42" s="21" t="s">
        <v>41</v>
      </c>
      <c r="C42" s="23">
        <v>1</v>
      </c>
      <c r="D42" s="23"/>
      <c r="E42" s="23"/>
      <c r="F42" s="23"/>
      <c r="G42" s="23">
        <f>SUM(C42:F42)</f>
        <v>1</v>
      </c>
    </row>
    <row r="43" spans="1:7" x14ac:dyDescent="0.25">
      <c r="A43" s="4"/>
      <c r="B43" s="21" t="s">
        <v>42</v>
      </c>
      <c r="C43" s="26">
        <v>2</v>
      </c>
      <c r="D43" s="23"/>
      <c r="E43" s="23"/>
      <c r="F43" s="23"/>
      <c r="G43" s="23">
        <f t="shared" ref="G43:G61" si="5">SUM(C43:F43)</f>
        <v>2</v>
      </c>
    </row>
    <row r="44" spans="1:7" x14ac:dyDescent="0.25">
      <c r="A44" s="4"/>
      <c r="B44" s="34" t="s">
        <v>199</v>
      </c>
      <c r="C44" s="23">
        <v>0</v>
      </c>
      <c r="D44" s="23">
        <v>0</v>
      </c>
      <c r="E44" s="23"/>
      <c r="F44" s="23"/>
      <c r="G44" s="23">
        <f t="shared" si="5"/>
        <v>0</v>
      </c>
    </row>
    <row r="45" spans="1:7" x14ac:dyDescent="0.25">
      <c r="A45" s="4"/>
      <c r="B45" s="33" t="s">
        <v>44</v>
      </c>
      <c r="C45" s="23">
        <v>1</v>
      </c>
      <c r="D45" s="23"/>
      <c r="E45" s="23"/>
      <c r="F45" s="23"/>
      <c r="G45" s="23">
        <f t="shared" si="5"/>
        <v>1</v>
      </c>
    </row>
    <row r="46" spans="1:7" x14ac:dyDescent="0.25">
      <c r="A46" s="4"/>
      <c r="B46" s="33" t="s">
        <v>45</v>
      </c>
      <c r="C46" s="23">
        <v>1</v>
      </c>
      <c r="D46" s="23"/>
      <c r="E46" s="23"/>
      <c r="F46" s="23"/>
      <c r="G46" s="23">
        <f t="shared" si="5"/>
        <v>1</v>
      </c>
    </row>
    <row r="47" spans="1:7" x14ac:dyDescent="0.25">
      <c r="A47" s="4"/>
      <c r="B47" s="21" t="s">
        <v>200</v>
      </c>
      <c r="C47" s="23">
        <v>1</v>
      </c>
      <c r="D47" s="23"/>
      <c r="E47" s="23"/>
      <c r="F47" s="23"/>
      <c r="G47" s="23">
        <f t="shared" si="5"/>
        <v>1</v>
      </c>
    </row>
    <row r="48" spans="1:7" x14ac:dyDescent="0.25">
      <c r="A48" s="4"/>
      <c r="B48" s="21" t="s">
        <v>47</v>
      </c>
      <c r="C48" s="23">
        <v>1</v>
      </c>
      <c r="D48" s="26"/>
      <c r="E48" s="26"/>
      <c r="F48" s="26"/>
      <c r="G48" s="23">
        <f t="shared" si="5"/>
        <v>1</v>
      </c>
    </row>
    <row r="49" spans="1:7" x14ac:dyDescent="0.25">
      <c r="A49" s="4"/>
      <c r="B49" s="21" t="s">
        <v>48</v>
      </c>
      <c r="C49" s="23">
        <v>1</v>
      </c>
      <c r="D49" s="26"/>
      <c r="E49" s="26"/>
      <c r="F49" s="26"/>
      <c r="G49" s="23">
        <f t="shared" si="5"/>
        <v>1</v>
      </c>
    </row>
    <row r="50" spans="1:7" x14ac:dyDescent="0.25">
      <c r="A50" s="4"/>
      <c r="B50" s="21" t="s">
        <v>49</v>
      </c>
      <c r="C50" s="23">
        <v>1</v>
      </c>
      <c r="D50" s="26"/>
      <c r="E50" s="26"/>
      <c r="F50" s="26"/>
      <c r="G50" s="23">
        <f t="shared" si="5"/>
        <v>1</v>
      </c>
    </row>
    <row r="51" spans="1:7" x14ac:dyDescent="0.25">
      <c r="A51" s="4"/>
      <c r="B51" s="21" t="s">
        <v>50</v>
      </c>
      <c r="C51" s="23">
        <v>0</v>
      </c>
      <c r="D51" s="180">
        <v>1.5</v>
      </c>
      <c r="E51" s="152">
        <v>4</v>
      </c>
      <c r="F51" s="152">
        <v>0</v>
      </c>
      <c r="G51" s="23">
        <f t="shared" si="5"/>
        <v>5.5</v>
      </c>
    </row>
    <row r="52" spans="1:7" x14ac:dyDescent="0.25">
      <c r="A52" s="4"/>
      <c r="B52" s="21" t="s">
        <v>51</v>
      </c>
      <c r="C52" s="23">
        <v>1</v>
      </c>
      <c r="D52" s="152"/>
      <c r="E52" s="152"/>
      <c r="F52" s="152"/>
      <c r="G52" s="23">
        <f t="shared" si="5"/>
        <v>1</v>
      </c>
    </row>
    <row r="53" spans="1:7" x14ac:dyDescent="0.25">
      <c r="A53" s="4"/>
      <c r="B53" s="21" t="s">
        <v>52</v>
      </c>
      <c r="C53" s="23">
        <v>0</v>
      </c>
      <c r="D53" s="152"/>
      <c r="E53" s="152"/>
      <c r="F53" s="152">
        <v>1</v>
      </c>
      <c r="G53" s="23">
        <f t="shared" si="5"/>
        <v>1</v>
      </c>
    </row>
    <row r="54" spans="1:7" x14ac:dyDescent="0.25">
      <c r="A54" s="4"/>
      <c r="B54" s="21" t="s">
        <v>53</v>
      </c>
      <c r="C54" s="26">
        <v>0</v>
      </c>
      <c r="D54" s="26">
        <v>0</v>
      </c>
      <c r="E54" s="26"/>
      <c r="F54" s="26"/>
      <c r="G54" s="23">
        <f t="shared" si="5"/>
        <v>0</v>
      </c>
    </row>
    <row r="55" spans="1:7" x14ac:dyDescent="0.25">
      <c r="A55" s="4"/>
      <c r="B55" s="34" t="s">
        <v>54</v>
      </c>
      <c r="C55" s="23">
        <v>0</v>
      </c>
      <c r="D55" s="23"/>
      <c r="E55" s="23"/>
      <c r="F55" s="23"/>
      <c r="G55" s="23">
        <f t="shared" si="5"/>
        <v>0</v>
      </c>
    </row>
    <row r="56" spans="1:7" x14ac:dyDescent="0.25">
      <c r="A56" s="4"/>
      <c r="B56" s="34" t="s">
        <v>55</v>
      </c>
      <c r="C56" s="23">
        <v>0</v>
      </c>
      <c r="D56" s="23">
        <v>0</v>
      </c>
      <c r="E56" s="23"/>
      <c r="F56" s="23"/>
      <c r="G56" s="23">
        <f t="shared" si="5"/>
        <v>0</v>
      </c>
    </row>
    <row r="57" spans="1:7" x14ac:dyDescent="0.25">
      <c r="A57" s="4"/>
      <c r="B57" s="34" t="s">
        <v>56</v>
      </c>
      <c r="C57" s="23">
        <v>0</v>
      </c>
      <c r="D57" s="23">
        <v>0</v>
      </c>
      <c r="E57" s="23"/>
      <c r="F57" s="23"/>
      <c r="G57" s="23">
        <f t="shared" si="5"/>
        <v>0</v>
      </c>
    </row>
    <row r="58" spans="1:7" x14ac:dyDescent="0.25">
      <c r="A58" s="4"/>
      <c r="B58" s="34" t="s">
        <v>57</v>
      </c>
      <c r="C58" s="23">
        <v>0</v>
      </c>
      <c r="D58" s="23">
        <v>0</v>
      </c>
      <c r="E58" s="23"/>
      <c r="F58" s="23"/>
      <c r="G58" s="23">
        <f t="shared" si="5"/>
        <v>0</v>
      </c>
    </row>
    <row r="59" spans="1:7" x14ac:dyDescent="0.25">
      <c r="A59" s="4"/>
      <c r="B59" s="34" t="s">
        <v>58</v>
      </c>
      <c r="C59" s="23">
        <v>0</v>
      </c>
      <c r="D59" s="23">
        <v>0</v>
      </c>
      <c r="E59" s="23"/>
      <c r="F59" s="23"/>
      <c r="G59" s="23">
        <f t="shared" si="5"/>
        <v>0</v>
      </c>
    </row>
    <row r="60" spans="1:7" x14ac:dyDescent="0.25">
      <c r="A60" s="4"/>
      <c r="B60" s="34" t="s">
        <v>59</v>
      </c>
      <c r="C60" s="23">
        <v>0</v>
      </c>
      <c r="D60" s="23">
        <v>0.5</v>
      </c>
      <c r="E60" s="23"/>
      <c r="F60" s="23"/>
      <c r="G60" s="23">
        <f t="shared" si="5"/>
        <v>0.5</v>
      </c>
    </row>
    <row r="61" spans="1:7" x14ac:dyDescent="0.25">
      <c r="A61" s="4"/>
      <c r="B61" s="35"/>
      <c r="C61" s="23">
        <v>0</v>
      </c>
      <c r="D61" s="23">
        <v>0</v>
      </c>
      <c r="E61" s="23"/>
      <c r="F61" s="23"/>
      <c r="G61" s="23">
        <f t="shared" si="5"/>
        <v>0</v>
      </c>
    </row>
    <row r="62" spans="1:7" x14ac:dyDescent="0.25">
      <c r="A62" s="4"/>
      <c r="B62" s="29" t="s">
        <v>60</v>
      </c>
      <c r="C62" s="30">
        <f>SUM(C42:C61)</f>
        <v>10</v>
      </c>
      <c r="D62" s="30">
        <f t="shared" ref="D62:G62" si="6">SUM(D42:D61)</f>
        <v>2</v>
      </c>
      <c r="E62" s="30">
        <f t="shared" si="6"/>
        <v>4</v>
      </c>
      <c r="F62" s="30">
        <f t="shared" si="6"/>
        <v>1</v>
      </c>
      <c r="G62" s="30">
        <f t="shared" si="6"/>
        <v>17</v>
      </c>
    </row>
    <row r="63" spans="1:7" ht="15.75" thickBot="1" x14ac:dyDescent="0.3">
      <c r="A63" s="4"/>
      <c r="B63" s="36"/>
      <c r="C63" s="38"/>
      <c r="D63" s="38"/>
      <c r="E63" s="38"/>
      <c r="F63" s="38"/>
      <c r="G63" s="38"/>
    </row>
    <row r="64" spans="1:7" x14ac:dyDescent="0.25">
      <c r="A64" s="2"/>
      <c r="B64" s="40" t="s">
        <v>61</v>
      </c>
      <c r="C64" s="39">
        <f>C39</f>
        <v>40.5</v>
      </c>
      <c r="D64" s="39">
        <f>D39</f>
        <v>0</v>
      </c>
      <c r="E64" s="39">
        <f>E39</f>
        <v>4</v>
      </c>
      <c r="F64" s="39">
        <f t="shared" ref="F64" si="7">F39</f>
        <v>0</v>
      </c>
      <c r="G64" s="39">
        <f>G39</f>
        <v>44.5</v>
      </c>
    </row>
    <row r="65" spans="1:7" ht="15.75" thickBot="1" x14ac:dyDescent="0.3">
      <c r="A65" s="2"/>
      <c r="B65" s="42" t="s">
        <v>62</v>
      </c>
      <c r="C65" s="41">
        <f>C62</f>
        <v>10</v>
      </c>
      <c r="D65" s="41">
        <f>D62</f>
        <v>2</v>
      </c>
      <c r="E65" s="41">
        <f>E62</f>
        <v>4</v>
      </c>
      <c r="F65" s="41">
        <f t="shared" ref="F65" si="8">F62</f>
        <v>1</v>
      </c>
      <c r="G65" s="41">
        <f t="shared" ref="G65" si="9">G62</f>
        <v>17</v>
      </c>
    </row>
    <row r="66" spans="1:7" ht="15.75" thickBot="1" x14ac:dyDescent="0.3">
      <c r="A66" s="2"/>
      <c r="B66" s="44" t="s">
        <v>63</v>
      </c>
      <c r="C66" s="43">
        <f>SUM(C64:C65)</f>
        <v>50.5</v>
      </c>
      <c r="D66" s="43">
        <f>SUM(D64:D65)</f>
        <v>2</v>
      </c>
      <c r="E66" s="43">
        <f>SUM(E64:E65)</f>
        <v>8</v>
      </c>
      <c r="F66" s="43">
        <f t="shared" ref="F66" si="10">SUM(F64:F65)</f>
        <v>1</v>
      </c>
      <c r="G66" s="43">
        <f t="shared" ref="G66" si="11">SUM(G64:G65)</f>
        <v>61.5</v>
      </c>
    </row>
    <row r="67" spans="1:7" ht="15.75" thickBot="1" x14ac:dyDescent="0.3">
      <c r="A67" s="4"/>
      <c r="B67" s="34"/>
      <c r="C67" s="45"/>
      <c r="D67" s="45"/>
      <c r="E67" s="45"/>
      <c r="F67" s="45"/>
      <c r="G67" s="45"/>
    </row>
    <row r="68" spans="1:7" x14ac:dyDescent="0.25">
      <c r="A68" s="4"/>
      <c r="B68" s="47" t="s">
        <v>64</v>
      </c>
      <c r="C68" s="46"/>
      <c r="D68" s="46"/>
      <c r="E68" s="46"/>
      <c r="F68" s="46"/>
      <c r="G68" s="46">
        <f t="shared" ref="G68" si="12">G137/(SUM(G204:G214))</f>
        <v>0.62850628857195945</v>
      </c>
    </row>
    <row r="69" spans="1:7" x14ac:dyDescent="0.25">
      <c r="A69" s="4"/>
      <c r="B69" s="49" t="s">
        <v>65</v>
      </c>
      <c r="C69" s="48"/>
      <c r="D69" s="48"/>
      <c r="E69" s="48"/>
      <c r="F69" s="48"/>
      <c r="G69" s="48">
        <f t="shared" ref="G69" si="13">(G108+G109+G110+G113)/G129</f>
        <v>0.76703234200065162</v>
      </c>
    </row>
    <row r="70" spans="1:7" x14ac:dyDescent="0.25">
      <c r="A70" s="4"/>
      <c r="B70" s="51" t="s">
        <v>66</v>
      </c>
      <c r="C70" s="48"/>
      <c r="D70" s="48"/>
      <c r="E70" s="48"/>
      <c r="F70" s="48"/>
      <c r="G70" s="48">
        <f t="shared" ref="G70" si="14">(G103+G104+G106+G107+G111+G112+G114+G115+G118+G119+G120+G121+G122+G105+G123+G124+G125+G126+G127)/G129</f>
        <v>0.23296765799934832</v>
      </c>
    </row>
    <row r="71" spans="1:7" ht="15.75" thickBot="1" x14ac:dyDescent="0.3">
      <c r="A71" s="4"/>
      <c r="B71" s="53" t="s">
        <v>67</v>
      </c>
      <c r="C71" s="52"/>
      <c r="D71" s="52"/>
      <c r="E71" s="52"/>
      <c r="F71" s="52"/>
      <c r="G71" s="52">
        <f t="shared" ref="G71" si="15">SUM(G206:G214)/G86</f>
        <v>0.12197603847910768</v>
      </c>
    </row>
    <row r="72" spans="1:7" x14ac:dyDescent="0.25">
      <c r="A72" s="50"/>
      <c r="B72" s="54"/>
      <c r="C72" s="55"/>
      <c r="D72" s="55"/>
      <c r="E72" s="55"/>
      <c r="F72" s="55"/>
      <c r="G72" s="55"/>
    </row>
    <row r="73" spans="1:7" x14ac:dyDescent="0.25">
      <c r="A73" s="56"/>
      <c r="B73" s="57" t="s">
        <v>68</v>
      </c>
      <c r="C73" s="58" t="str">
        <f>C1</f>
        <v>Operating</v>
      </c>
      <c r="D73" s="58" t="str">
        <f>D1</f>
        <v>Weights</v>
      </c>
      <c r="E73" s="58" t="s">
        <v>3</v>
      </c>
      <c r="F73" s="58" t="str">
        <f t="shared" ref="F73" si="16">F1</f>
        <v>NSLP</v>
      </c>
      <c r="G73" s="58" t="str">
        <f>G1</f>
        <v>Saddle</v>
      </c>
    </row>
    <row r="74" spans="1:7" x14ac:dyDescent="0.25">
      <c r="A74" s="59">
        <v>3110</v>
      </c>
      <c r="B74" s="60" t="s">
        <v>69</v>
      </c>
      <c r="C74" s="7">
        <f>(C2*C5)*0.97</f>
        <v>6359587.4193000002</v>
      </c>
      <c r="D74" s="7">
        <f t="shared" ref="D74" si="17">(D2*D5)*0.95</f>
        <v>0</v>
      </c>
      <c r="E74" s="7"/>
      <c r="F74" s="7"/>
      <c r="G74" s="7">
        <f t="shared" ref="G74:G85" si="18">SUM(C74:F74)</f>
        <v>6359587.4193000002</v>
      </c>
    </row>
    <row r="75" spans="1:7" x14ac:dyDescent="0.25">
      <c r="A75" s="59"/>
      <c r="B75" s="62" t="s">
        <v>70</v>
      </c>
      <c r="C75" s="7">
        <f>(C3*C5)*0.95</f>
        <v>0</v>
      </c>
      <c r="D75" s="7">
        <f t="shared" ref="D75" si="19">(D3*D5)*0.95</f>
        <v>0</v>
      </c>
      <c r="E75" s="7">
        <f>SPED!D5</f>
        <v>0</v>
      </c>
      <c r="F75" s="7"/>
      <c r="G75" s="7">
        <f t="shared" si="18"/>
        <v>0</v>
      </c>
    </row>
    <row r="76" spans="1:7" x14ac:dyDescent="0.25">
      <c r="A76" s="59">
        <v>4500</v>
      </c>
      <c r="B76" s="62" t="s">
        <v>71</v>
      </c>
      <c r="C76" s="7">
        <f>($C$19*C25)*3.15*180</f>
        <v>0</v>
      </c>
      <c r="D76" s="7">
        <f t="shared" ref="D76" si="20">($C$19*D25)*3.15*180</f>
        <v>0</v>
      </c>
      <c r="E76" s="7"/>
      <c r="F76" s="7">
        <f>(($C$19*F25)*4*180)</f>
        <v>209894.39999999999</v>
      </c>
      <c r="G76" s="7">
        <f t="shared" si="18"/>
        <v>209894.39999999999</v>
      </c>
    </row>
    <row r="77" spans="1:7" x14ac:dyDescent="0.25">
      <c r="A77" s="59">
        <v>4500</v>
      </c>
      <c r="B77" s="62" t="s">
        <v>72</v>
      </c>
      <c r="C77" s="7">
        <f>950*C22</f>
        <v>0</v>
      </c>
      <c r="D77" s="7">
        <f t="shared" ref="D77" si="21">950*D22</f>
        <v>0</v>
      </c>
      <c r="E77" s="7">
        <f>950*E22</f>
        <v>76950</v>
      </c>
      <c r="F77" s="7"/>
      <c r="G77" s="7">
        <f t="shared" si="18"/>
        <v>76950</v>
      </c>
    </row>
    <row r="78" spans="1:7" x14ac:dyDescent="0.25">
      <c r="A78" s="143">
        <v>3115</v>
      </c>
      <c r="B78" s="141" t="s">
        <v>73</v>
      </c>
      <c r="C78" s="37">
        <f>3200*C22</f>
        <v>0</v>
      </c>
      <c r="D78" s="37">
        <f t="shared" ref="D78" si="22">3200*D22</f>
        <v>0</v>
      </c>
      <c r="E78" s="37">
        <f>2755*E22</f>
        <v>223155</v>
      </c>
      <c r="F78" s="37"/>
      <c r="G78" s="7">
        <f t="shared" si="18"/>
        <v>223155</v>
      </c>
    </row>
    <row r="79" spans="1:7" x14ac:dyDescent="0.25">
      <c r="A79" s="63"/>
      <c r="B79" s="62" t="s">
        <v>74</v>
      </c>
      <c r="C79" s="37">
        <f>1400*C23</f>
        <v>0</v>
      </c>
      <c r="D79" s="37">
        <f>1634.62*D23</f>
        <v>19615.439999999999</v>
      </c>
      <c r="E79" s="37"/>
      <c r="F79" s="37"/>
      <c r="G79" s="7">
        <f t="shared" si="18"/>
        <v>19615.439999999999</v>
      </c>
    </row>
    <row r="80" spans="1:7" x14ac:dyDescent="0.25">
      <c r="A80" s="59">
        <v>3200</v>
      </c>
      <c r="B80" s="62" t="s">
        <v>75</v>
      </c>
      <c r="C80" s="7">
        <f>830*C24</f>
        <v>0</v>
      </c>
      <c r="D80" s="7">
        <f>837.64*D24</f>
        <v>29317.399999999998</v>
      </c>
      <c r="E80" s="7"/>
      <c r="F80" s="7"/>
      <c r="G80" s="7">
        <f t="shared" si="18"/>
        <v>29317.399999999998</v>
      </c>
    </row>
    <row r="81" spans="1:7" x14ac:dyDescent="0.25">
      <c r="A81" s="59"/>
      <c r="B81" s="62" t="s">
        <v>76</v>
      </c>
      <c r="C81" s="7">
        <f>240*C26</f>
        <v>0</v>
      </c>
      <c r="D81" s="7">
        <f>240.87*D26</f>
        <v>53232.270000000004</v>
      </c>
      <c r="E81" s="7"/>
      <c r="F81" s="7"/>
      <c r="G81" s="7">
        <f t="shared" si="18"/>
        <v>53232.270000000004</v>
      </c>
    </row>
    <row r="82" spans="1:7" x14ac:dyDescent="0.25">
      <c r="A82" s="64"/>
      <c r="B82" s="62" t="s">
        <v>77</v>
      </c>
      <c r="C82" s="7"/>
      <c r="D82" s="7"/>
      <c r="E82" s="7"/>
      <c r="F82" s="7"/>
      <c r="G82" s="7">
        <f t="shared" si="18"/>
        <v>0</v>
      </c>
    </row>
    <row r="83" spans="1:7" x14ac:dyDescent="0.25">
      <c r="A83" s="59">
        <v>1510</v>
      </c>
      <c r="B83" s="154" t="s">
        <v>78</v>
      </c>
      <c r="C83" s="7">
        <v>0</v>
      </c>
      <c r="D83" s="7"/>
      <c r="E83" s="7"/>
      <c r="F83" s="7"/>
      <c r="G83" s="7">
        <f t="shared" si="18"/>
        <v>0</v>
      </c>
    </row>
    <row r="84" spans="1:7" x14ac:dyDescent="0.25">
      <c r="A84" s="59"/>
      <c r="B84" s="62" t="s">
        <v>77</v>
      </c>
      <c r="C84" s="7"/>
      <c r="D84" s="7"/>
      <c r="E84" s="7"/>
      <c r="F84" s="7"/>
      <c r="G84" s="7">
        <f t="shared" si="18"/>
        <v>0</v>
      </c>
    </row>
    <row r="85" spans="1:7" ht="15.75" thickBot="1" x14ac:dyDescent="0.3">
      <c r="A85" s="63"/>
      <c r="B85" s="65" t="s">
        <v>79</v>
      </c>
      <c r="C85" s="37">
        <f>C155</f>
        <v>14120</v>
      </c>
      <c r="D85" s="37">
        <f t="shared" ref="D85:F85" si="23">D155</f>
        <v>480</v>
      </c>
      <c r="E85" s="37">
        <f t="shared" si="23"/>
        <v>1920</v>
      </c>
      <c r="F85" s="37">
        <f t="shared" si="23"/>
        <v>240</v>
      </c>
      <c r="G85" s="7">
        <f t="shared" si="18"/>
        <v>16760</v>
      </c>
    </row>
    <row r="86" spans="1:7" ht="15.75" thickBot="1" x14ac:dyDescent="0.3">
      <c r="A86" s="66"/>
      <c r="B86" s="67" t="s">
        <v>80</v>
      </c>
      <c r="C86" s="68">
        <f>SUM(C74:C85)</f>
        <v>6373707.4193000002</v>
      </c>
      <c r="D86" s="68">
        <f>SUM(D74:D85)</f>
        <v>102645.11</v>
      </c>
      <c r="E86" s="68">
        <f>SUM(E74:E85)</f>
        <v>302025</v>
      </c>
      <c r="F86" s="68">
        <f t="shared" ref="F86" si="24">SUM(F74:F85)</f>
        <v>210134.39999999999</v>
      </c>
      <c r="G86" s="68">
        <f t="shared" ref="G86" si="25">SUM(G74:G85)</f>
        <v>6988511.9293000009</v>
      </c>
    </row>
    <row r="87" spans="1:7" hidden="1" x14ac:dyDescent="0.25">
      <c r="A87" s="59">
        <f>A74</f>
        <v>3110</v>
      </c>
      <c r="B87" s="60" t="s">
        <v>69</v>
      </c>
      <c r="C87" s="61">
        <f>C2*C5</f>
        <v>6556275.6900000004</v>
      </c>
      <c r="D87" s="61">
        <f>D2*D5</f>
        <v>0</v>
      </c>
      <c r="E87" s="61">
        <f>E2*E5</f>
        <v>0</v>
      </c>
      <c r="F87" s="61">
        <f t="shared" ref="F87" si="26">F2*F5</f>
        <v>0</v>
      </c>
      <c r="G87" s="61">
        <f t="shared" ref="G87" si="27">G2*G5</f>
        <v>6556275.6900000004</v>
      </c>
    </row>
    <row r="88" spans="1:7" hidden="1" x14ac:dyDescent="0.25">
      <c r="A88" s="59"/>
      <c r="B88" s="62" t="s">
        <v>201</v>
      </c>
      <c r="C88" s="61">
        <f>C3*C5</f>
        <v>0</v>
      </c>
      <c r="D88" s="61">
        <f>D3*D5</f>
        <v>0</v>
      </c>
      <c r="E88" s="61">
        <f>E3*E5</f>
        <v>0</v>
      </c>
      <c r="F88" s="61">
        <f t="shared" ref="F88" si="28">F3*F5</f>
        <v>0</v>
      </c>
      <c r="G88" s="61">
        <f t="shared" ref="G88" si="29">G3*G5</f>
        <v>0</v>
      </c>
    </row>
    <row r="89" spans="1:7" hidden="1" x14ac:dyDescent="0.25">
      <c r="A89" s="59">
        <f t="shared" ref="A89:A91" si="30">A76</f>
        <v>4500</v>
      </c>
      <c r="B89" s="62" t="s">
        <v>71</v>
      </c>
      <c r="C89" s="61">
        <f t="shared" ref="C89:G98" si="31">C76</f>
        <v>0</v>
      </c>
      <c r="D89" s="61">
        <f t="shared" ref="D89:D98" si="32">D76</f>
        <v>0</v>
      </c>
      <c r="E89" s="61">
        <f t="shared" ref="E89" si="33">E76</f>
        <v>0</v>
      </c>
      <c r="F89" s="61">
        <f t="shared" ref="F89" si="34">F76</f>
        <v>209894.39999999999</v>
      </c>
      <c r="G89" s="61">
        <f t="shared" si="31"/>
        <v>209894.39999999999</v>
      </c>
    </row>
    <row r="90" spans="1:7" hidden="1" x14ac:dyDescent="0.25">
      <c r="A90" s="59">
        <f t="shared" si="30"/>
        <v>4500</v>
      </c>
      <c r="B90" s="62" t="s">
        <v>72</v>
      </c>
      <c r="C90" s="61">
        <f t="shared" si="31"/>
        <v>0</v>
      </c>
      <c r="D90" s="61">
        <f t="shared" si="32"/>
        <v>0</v>
      </c>
      <c r="E90" s="61">
        <f t="shared" ref="E90" si="35">E77</f>
        <v>76950</v>
      </c>
      <c r="F90" s="61">
        <f t="shared" ref="F90" si="36">F77</f>
        <v>0</v>
      </c>
      <c r="G90" s="61">
        <f t="shared" si="31"/>
        <v>76950</v>
      </c>
    </row>
    <row r="91" spans="1:7" hidden="1" x14ac:dyDescent="0.25">
      <c r="A91" s="59">
        <f t="shared" si="30"/>
        <v>3115</v>
      </c>
      <c r="B91" s="141" t="s">
        <v>73</v>
      </c>
      <c r="C91" s="61">
        <f t="shared" si="31"/>
        <v>0</v>
      </c>
      <c r="D91" s="61">
        <f t="shared" si="32"/>
        <v>0</v>
      </c>
      <c r="E91" s="61">
        <f t="shared" ref="E91" si="37">E78</f>
        <v>223155</v>
      </c>
      <c r="F91" s="61">
        <f t="shared" ref="F91" si="38">F78</f>
        <v>0</v>
      </c>
      <c r="G91" s="61">
        <f t="shared" si="31"/>
        <v>223155</v>
      </c>
    </row>
    <row r="92" spans="1:7" hidden="1" x14ac:dyDescent="0.25">
      <c r="A92" s="59"/>
      <c r="B92" s="62" t="s">
        <v>74</v>
      </c>
      <c r="C92" s="61">
        <f t="shared" si="31"/>
        <v>0</v>
      </c>
      <c r="D92" s="61">
        <f t="shared" si="32"/>
        <v>19615.439999999999</v>
      </c>
      <c r="E92" s="61">
        <f t="shared" ref="E92" si="39">E79</f>
        <v>0</v>
      </c>
      <c r="F92" s="61">
        <f t="shared" ref="F92" si="40">F79</f>
        <v>0</v>
      </c>
      <c r="G92" s="61">
        <f t="shared" si="31"/>
        <v>19615.439999999999</v>
      </c>
    </row>
    <row r="93" spans="1:7" hidden="1" x14ac:dyDescent="0.25">
      <c r="A93" s="59">
        <f t="shared" ref="A93" si="41">A80</f>
        <v>3200</v>
      </c>
      <c r="B93" s="62" t="s">
        <v>75</v>
      </c>
      <c r="C93" s="61">
        <f t="shared" si="31"/>
        <v>0</v>
      </c>
      <c r="D93" s="61">
        <f t="shared" si="32"/>
        <v>29317.399999999998</v>
      </c>
      <c r="E93" s="61">
        <f t="shared" ref="E93" si="42">E80</f>
        <v>0</v>
      </c>
      <c r="F93" s="61">
        <f t="shared" ref="F93" si="43">F80</f>
        <v>0</v>
      </c>
      <c r="G93" s="61">
        <f t="shared" si="31"/>
        <v>29317.399999999998</v>
      </c>
    </row>
    <row r="94" spans="1:7" hidden="1" x14ac:dyDescent="0.25">
      <c r="A94" s="59"/>
      <c r="B94" s="62" t="s">
        <v>76</v>
      </c>
      <c r="C94" s="61">
        <f t="shared" si="31"/>
        <v>0</v>
      </c>
      <c r="D94" s="61">
        <f t="shared" si="32"/>
        <v>53232.270000000004</v>
      </c>
      <c r="E94" s="61">
        <f t="shared" ref="E94" si="44">E81</f>
        <v>0</v>
      </c>
      <c r="F94" s="61">
        <f t="shared" ref="F94" si="45">F81</f>
        <v>0</v>
      </c>
      <c r="G94" s="61">
        <f t="shared" si="31"/>
        <v>53232.270000000004</v>
      </c>
    </row>
    <row r="95" spans="1:7" hidden="1" x14ac:dyDescent="0.25">
      <c r="A95" s="64"/>
      <c r="B95" s="62" t="s">
        <v>202</v>
      </c>
      <c r="C95" s="61">
        <f t="shared" si="31"/>
        <v>0</v>
      </c>
      <c r="D95" s="61">
        <f t="shared" si="32"/>
        <v>0</v>
      </c>
      <c r="E95" s="61">
        <f t="shared" ref="E95" si="46">E82</f>
        <v>0</v>
      </c>
      <c r="F95" s="61">
        <f t="shared" ref="F95" si="47">F82</f>
        <v>0</v>
      </c>
      <c r="G95" s="61">
        <f t="shared" si="31"/>
        <v>0</v>
      </c>
    </row>
    <row r="96" spans="1:7" hidden="1" x14ac:dyDescent="0.25">
      <c r="A96" s="59">
        <f t="shared" ref="A96" si="48">A83</f>
        <v>1510</v>
      </c>
      <c r="B96" s="62" t="s">
        <v>203</v>
      </c>
      <c r="C96" s="61">
        <f t="shared" si="31"/>
        <v>0</v>
      </c>
      <c r="D96" s="61">
        <f t="shared" si="32"/>
        <v>0</v>
      </c>
      <c r="E96" s="61">
        <f t="shared" ref="E96" si="49">E83</f>
        <v>0</v>
      </c>
      <c r="F96" s="61">
        <f t="shared" ref="F96" si="50">F83</f>
        <v>0</v>
      </c>
      <c r="G96" s="61">
        <f t="shared" si="31"/>
        <v>0</v>
      </c>
    </row>
    <row r="97" spans="1:9" hidden="1" x14ac:dyDescent="0.25">
      <c r="A97" s="59"/>
      <c r="B97" s="62" t="s">
        <v>77</v>
      </c>
      <c r="C97" s="61">
        <f t="shared" si="31"/>
        <v>0</v>
      </c>
      <c r="D97" s="61">
        <f t="shared" si="32"/>
        <v>0</v>
      </c>
      <c r="E97" s="61">
        <f t="shared" ref="E97" si="51">E84</f>
        <v>0</v>
      </c>
      <c r="F97" s="61">
        <f t="shared" ref="F97" si="52">F84</f>
        <v>0</v>
      </c>
      <c r="G97" s="61">
        <f t="shared" si="31"/>
        <v>0</v>
      </c>
    </row>
    <row r="98" spans="1:9" ht="15.75" hidden="1" thickBot="1" x14ac:dyDescent="0.3">
      <c r="A98" s="59"/>
      <c r="B98" s="65" t="s">
        <v>204</v>
      </c>
      <c r="C98" s="61">
        <f t="shared" si="31"/>
        <v>14120</v>
      </c>
      <c r="D98" s="61">
        <f t="shared" si="32"/>
        <v>480</v>
      </c>
      <c r="E98" s="61">
        <f t="shared" ref="E98" si="53">E85</f>
        <v>1920</v>
      </c>
      <c r="F98" s="61">
        <f t="shared" ref="F98" si="54">F85</f>
        <v>240</v>
      </c>
      <c r="G98" s="61">
        <f t="shared" si="31"/>
        <v>16760</v>
      </c>
    </row>
    <row r="99" spans="1:9" ht="15.75" hidden="1" thickBot="1" x14ac:dyDescent="0.3">
      <c r="A99" s="66"/>
      <c r="B99" s="67" t="s">
        <v>81</v>
      </c>
      <c r="C99" s="68">
        <f>SUM(C87:C98)</f>
        <v>6570395.6900000004</v>
      </c>
      <c r="D99" s="68">
        <f>SUM(D87:D98)</f>
        <v>102645.11</v>
      </c>
      <c r="E99" s="68"/>
      <c r="F99" s="68">
        <f t="shared" ref="F99" si="55">SUM(F87:F98)</f>
        <v>210134.39999999999</v>
      </c>
      <c r="G99" s="68">
        <f t="shared" ref="G99" si="56">SUM(G87:G98)</f>
        <v>7185200.2000000011</v>
      </c>
    </row>
    <row r="100" spans="1:9" x14ac:dyDescent="0.25">
      <c r="A100" s="50"/>
      <c r="B100" s="70"/>
      <c r="C100" s="55"/>
      <c r="D100" s="55"/>
      <c r="E100" s="55"/>
      <c r="F100" s="55"/>
      <c r="G100" s="55"/>
    </row>
    <row r="101" spans="1:9" ht="15.75" thickBot="1" x14ac:dyDescent="0.3">
      <c r="A101" s="72"/>
      <c r="B101" s="73" t="s">
        <v>82</v>
      </c>
      <c r="C101" s="74" t="str">
        <f>C1</f>
        <v>Operating</v>
      </c>
      <c r="D101" s="74" t="str">
        <f>D1</f>
        <v>Weights</v>
      </c>
      <c r="E101" s="74" t="str">
        <f>E1</f>
        <v>SPED</v>
      </c>
      <c r="F101" s="74" t="str">
        <f t="shared" ref="F101:G101" si="57">F1</f>
        <v>NSLP</v>
      </c>
      <c r="G101" s="74" t="str">
        <f t="shared" si="57"/>
        <v>Saddle</v>
      </c>
    </row>
    <row r="102" spans="1:9" x14ac:dyDescent="0.25">
      <c r="A102" s="78"/>
      <c r="B102" s="76" t="s">
        <v>83</v>
      </c>
      <c r="C102" s="77"/>
      <c r="D102" s="77"/>
      <c r="E102" s="77"/>
      <c r="F102" s="77"/>
      <c r="G102" s="77"/>
    </row>
    <row r="103" spans="1:9" x14ac:dyDescent="0.25">
      <c r="A103" s="59">
        <v>104</v>
      </c>
      <c r="B103" s="62" t="s">
        <v>41</v>
      </c>
      <c r="C103" s="15">
        <f>103000+7000</f>
        <v>110000</v>
      </c>
      <c r="D103" s="7"/>
      <c r="E103" s="7"/>
      <c r="F103" s="7"/>
      <c r="G103" s="7">
        <f t="shared" ref="G103:G115" si="58">SUM(C103:F103)</f>
        <v>110000</v>
      </c>
    </row>
    <row r="104" spans="1:9" x14ac:dyDescent="0.25">
      <c r="A104" s="59">
        <v>104</v>
      </c>
      <c r="B104" s="62" t="s">
        <v>84</v>
      </c>
      <c r="C104" s="15">
        <f>(79200+70000)*1.015*1.02</f>
        <v>154466.75999999998</v>
      </c>
      <c r="D104" s="7"/>
      <c r="E104" s="7"/>
      <c r="F104" s="7"/>
      <c r="G104" s="7">
        <f t="shared" si="58"/>
        <v>154466.75999999998</v>
      </c>
    </row>
    <row r="105" spans="1:9" x14ac:dyDescent="0.25">
      <c r="A105" s="59">
        <v>105</v>
      </c>
      <c r="B105" s="62" t="s">
        <v>45</v>
      </c>
      <c r="C105" s="179"/>
      <c r="D105" s="7"/>
      <c r="E105" s="7"/>
      <c r="F105" s="7"/>
      <c r="G105" s="7">
        <f t="shared" si="58"/>
        <v>0</v>
      </c>
      <c r="I105">
        <v>62143</v>
      </c>
    </row>
    <row r="106" spans="1:9" x14ac:dyDescent="0.25">
      <c r="A106" s="59">
        <v>105</v>
      </c>
      <c r="B106" s="62" t="s">
        <v>85</v>
      </c>
      <c r="C106" s="15">
        <v>0</v>
      </c>
      <c r="D106" s="15">
        <v>0</v>
      </c>
      <c r="E106" s="7"/>
      <c r="F106" s="7"/>
      <c r="G106" s="7">
        <f t="shared" si="58"/>
        <v>0</v>
      </c>
    </row>
    <row r="107" spans="1:9" x14ac:dyDescent="0.25">
      <c r="A107" s="59" t="s">
        <v>86</v>
      </c>
      <c r="B107" s="62" t="s">
        <v>87</v>
      </c>
      <c r="C107" s="7">
        <f>55000*1.02</f>
        <v>56100</v>
      </c>
      <c r="D107" s="7"/>
      <c r="E107" s="7"/>
      <c r="F107" s="7"/>
      <c r="G107" s="7">
        <f t="shared" si="58"/>
        <v>56100</v>
      </c>
    </row>
    <row r="108" spans="1:9" x14ac:dyDescent="0.25">
      <c r="A108" s="59" t="s">
        <v>88</v>
      </c>
      <c r="B108" s="62" t="s">
        <v>89</v>
      </c>
      <c r="C108" s="7">
        <f>46725*C39</f>
        <v>1892362.5</v>
      </c>
      <c r="D108" s="7"/>
      <c r="E108" s="7"/>
      <c r="F108" s="7"/>
      <c r="G108" s="7">
        <f t="shared" si="58"/>
        <v>1892362.5</v>
      </c>
    </row>
    <row r="109" spans="1:9" hidden="1" x14ac:dyDescent="0.25">
      <c r="A109" s="4">
        <v>101</v>
      </c>
      <c r="B109" s="62" t="s">
        <v>90</v>
      </c>
      <c r="C109" s="14">
        <v>0</v>
      </c>
      <c r="D109" s="14"/>
      <c r="E109" s="14"/>
      <c r="F109" s="14"/>
      <c r="G109" s="7">
        <f t="shared" si="58"/>
        <v>0</v>
      </c>
    </row>
    <row r="110" spans="1:9" x14ac:dyDescent="0.25">
      <c r="A110" s="59">
        <v>101</v>
      </c>
      <c r="B110" s="62" t="s">
        <v>30</v>
      </c>
      <c r="C110" s="7">
        <v>0</v>
      </c>
      <c r="D110" s="7"/>
      <c r="E110" s="7">
        <f>46725*E30</f>
        <v>186900</v>
      </c>
      <c r="F110" s="7"/>
      <c r="G110" s="7">
        <f t="shared" si="58"/>
        <v>186900</v>
      </c>
    </row>
    <row r="111" spans="1:9" x14ac:dyDescent="0.25">
      <c r="A111" s="59">
        <v>107</v>
      </c>
      <c r="B111" s="62" t="s">
        <v>91</v>
      </c>
      <c r="C111" s="7">
        <f>107688*1.015*1.02</f>
        <v>111489.38639999999</v>
      </c>
      <c r="D111" s="7"/>
      <c r="E111" s="7"/>
      <c r="F111" s="7"/>
      <c r="G111" s="7">
        <f t="shared" si="58"/>
        <v>111489.38639999999</v>
      </c>
    </row>
    <row r="112" spans="1:9" x14ac:dyDescent="0.25">
      <c r="A112" s="59">
        <v>107</v>
      </c>
      <c r="B112" s="62" t="s">
        <v>92</v>
      </c>
      <c r="C112" s="7">
        <f>56056*1.015*1.02</f>
        <v>58034.7768</v>
      </c>
      <c r="D112" s="7"/>
      <c r="E112" s="7"/>
      <c r="F112" s="7"/>
      <c r="G112" s="7">
        <f t="shared" si="58"/>
        <v>58034.7768</v>
      </c>
    </row>
    <row r="113" spans="1:7" x14ac:dyDescent="0.25">
      <c r="A113" s="59">
        <v>102</v>
      </c>
      <c r="B113" s="62" t="s">
        <v>93</v>
      </c>
      <c r="C113" s="7">
        <f>(13.5*8*180)*C51</f>
        <v>0</v>
      </c>
      <c r="D113" s="7">
        <f>(13.75*8*180)*D51</f>
        <v>29700</v>
      </c>
      <c r="E113" s="7">
        <f>(13.75*8*180)*E51</f>
        <v>79200</v>
      </c>
      <c r="F113" s="7">
        <f>(14.5*8*180)*F51</f>
        <v>0</v>
      </c>
      <c r="G113" s="7">
        <f t="shared" si="58"/>
        <v>108900</v>
      </c>
    </row>
    <row r="114" spans="1:7" x14ac:dyDescent="0.25">
      <c r="A114" s="59">
        <v>107</v>
      </c>
      <c r="B114" s="62" t="s">
        <v>94</v>
      </c>
      <c r="C114" s="7">
        <f>(22.75*8*240)*C52</f>
        <v>43680</v>
      </c>
      <c r="D114" s="7"/>
      <c r="E114" s="7"/>
      <c r="F114" s="7"/>
      <c r="G114" s="7">
        <f t="shared" si="58"/>
        <v>43680</v>
      </c>
    </row>
    <row r="115" spans="1:7" x14ac:dyDescent="0.25">
      <c r="A115" s="59">
        <v>107</v>
      </c>
      <c r="B115" s="62" t="s">
        <v>53</v>
      </c>
      <c r="C115" s="7">
        <f>(13*8*180)*C54</f>
        <v>0</v>
      </c>
      <c r="D115" s="7">
        <f>(12.75*8*180)*D54</f>
        <v>0</v>
      </c>
      <c r="E115" s="7"/>
      <c r="F115" s="7"/>
      <c r="G115" s="7">
        <f t="shared" si="58"/>
        <v>0</v>
      </c>
    </row>
    <row r="116" spans="1:7" ht="15.75" thickBot="1" x14ac:dyDescent="0.3">
      <c r="A116" s="72"/>
      <c r="B116" s="82" t="s">
        <v>95</v>
      </c>
      <c r="C116" s="83">
        <f>SUM(C103:C115)</f>
        <v>2426133.4232000001</v>
      </c>
      <c r="D116" s="83">
        <f>SUM(D103:D115)</f>
        <v>29700</v>
      </c>
      <c r="E116" s="83">
        <f t="shared" ref="E116:F116" si="59">SUM(E103:E115)</f>
        <v>266100</v>
      </c>
      <c r="F116" s="83">
        <f t="shared" si="59"/>
        <v>0</v>
      </c>
      <c r="G116" s="83">
        <f t="shared" ref="G116" si="60">SUM(G103:G115)</f>
        <v>2721933.4232000001</v>
      </c>
    </row>
    <row r="117" spans="1:7" x14ac:dyDescent="0.25">
      <c r="A117" s="75"/>
      <c r="B117" s="84" t="s">
        <v>96</v>
      </c>
      <c r="C117" s="150" t="str">
        <f>C1</f>
        <v>Operating</v>
      </c>
      <c r="D117" s="150" t="str">
        <f>D1</f>
        <v>Weights</v>
      </c>
      <c r="E117" s="150" t="str">
        <f>E1</f>
        <v>SPED</v>
      </c>
      <c r="F117" s="150" t="str">
        <f t="shared" ref="F117:G117" si="61">F1</f>
        <v>NSLP</v>
      </c>
      <c r="G117" s="150" t="str">
        <f t="shared" si="61"/>
        <v>Saddle</v>
      </c>
    </row>
    <row r="118" spans="1:7" x14ac:dyDescent="0.25">
      <c r="A118" s="5"/>
      <c r="B118" s="62"/>
      <c r="C118" s="7"/>
      <c r="D118" s="7"/>
      <c r="E118" s="7"/>
      <c r="F118" s="7"/>
      <c r="G118" s="7">
        <f t="shared" ref="G118:G127" si="62">SUM(C118:F118)</f>
        <v>0</v>
      </c>
    </row>
    <row r="119" spans="1:7" x14ac:dyDescent="0.25">
      <c r="A119" s="85"/>
      <c r="B119" s="62" t="s">
        <v>54</v>
      </c>
      <c r="C119" s="7"/>
      <c r="D119" s="7"/>
      <c r="E119" s="7">
        <f>63450*1.02</f>
        <v>64719</v>
      </c>
      <c r="F119" s="7"/>
      <c r="G119" s="7">
        <f t="shared" si="62"/>
        <v>64719</v>
      </c>
    </row>
    <row r="120" spans="1:7" x14ac:dyDescent="0.25">
      <c r="A120" s="59"/>
      <c r="B120" s="62" t="s">
        <v>55</v>
      </c>
      <c r="C120" s="7"/>
      <c r="D120" s="7"/>
      <c r="E120" s="7"/>
      <c r="F120" s="7"/>
      <c r="G120" s="7">
        <f t="shared" si="62"/>
        <v>0</v>
      </c>
    </row>
    <row r="121" spans="1:7" x14ac:dyDescent="0.25">
      <c r="A121" s="59"/>
      <c r="B121" s="62" t="s">
        <v>56</v>
      </c>
      <c r="C121" s="7"/>
      <c r="D121" s="7"/>
      <c r="E121" s="7">
        <v>0</v>
      </c>
      <c r="F121" s="7"/>
      <c r="G121" s="7">
        <f t="shared" si="62"/>
        <v>0</v>
      </c>
    </row>
    <row r="122" spans="1:7" x14ac:dyDescent="0.25">
      <c r="A122" s="59"/>
      <c r="B122" s="62" t="s">
        <v>97</v>
      </c>
      <c r="C122" s="7"/>
      <c r="D122" s="7"/>
      <c r="E122" s="7"/>
      <c r="F122" s="7"/>
      <c r="G122" s="7">
        <f t="shared" si="62"/>
        <v>0</v>
      </c>
    </row>
    <row r="123" spans="1:7" x14ac:dyDescent="0.25">
      <c r="A123" s="59"/>
      <c r="B123" s="62" t="s">
        <v>58</v>
      </c>
      <c r="C123" s="7"/>
      <c r="D123" s="7"/>
      <c r="E123" s="7">
        <v>0</v>
      </c>
      <c r="F123" s="7"/>
      <c r="G123" s="7">
        <f t="shared" si="62"/>
        <v>0</v>
      </c>
    </row>
    <row r="124" spans="1:7" x14ac:dyDescent="0.25">
      <c r="A124" s="59"/>
      <c r="B124" s="62" t="s">
        <v>98</v>
      </c>
      <c r="C124" s="7">
        <v>0</v>
      </c>
      <c r="D124" s="7">
        <f>23345*1.02</f>
        <v>23811.9</v>
      </c>
      <c r="E124" s="7"/>
      <c r="F124" s="7"/>
      <c r="G124" s="7">
        <f t="shared" si="62"/>
        <v>23811.9</v>
      </c>
    </row>
    <row r="125" spans="1:7" x14ac:dyDescent="0.25">
      <c r="A125" s="59"/>
      <c r="B125" s="62" t="s">
        <v>99</v>
      </c>
      <c r="C125" s="7">
        <v>0</v>
      </c>
      <c r="D125" s="7">
        <v>0</v>
      </c>
      <c r="E125" s="7"/>
      <c r="F125" s="7">
        <v>0</v>
      </c>
      <c r="G125" s="7">
        <f t="shared" si="62"/>
        <v>0</v>
      </c>
    </row>
    <row r="126" spans="1:7" x14ac:dyDescent="0.25">
      <c r="A126" s="59">
        <v>107</v>
      </c>
      <c r="B126" s="62" t="s">
        <v>100</v>
      </c>
      <c r="C126" s="146"/>
      <c r="D126" s="7">
        <f t="shared" ref="D126" si="63">(12.5*6*185)*D53</f>
        <v>0</v>
      </c>
      <c r="E126" s="146"/>
      <c r="F126" s="7">
        <f>(13.75*8*180)*F53</f>
        <v>19800</v>
      </c>
      <c r="G126" s="7">
        <f t="shared" si="62"/>
        <v>19800</v>
      </c>
    </row>
    <row r="127" spans="1:7" x14ac:dyDescent="0.25">
      <c r="A127" s="59"/>
      <c r="B127" s="62" t="s">
        <v>101</v>
      </c>
      <c r="C127" s="37">
        <f>125*180</f>
        <v>22500</v>
      </c>
      <c r="D127" s="37"/>
      <c r="E127" s="37"/>
      <c r="F127" s="37"/>
      <c r="G127" s="7">
        <f t="shared" si="62"/>
        <v>22500</v>
      </c>
    </row>
    <row r="128" spans="1:7" ht="15.75" thickBot="1" x14ac:dyDescent="0.3">
      <c r="A128" s="72"/>
      <c r="B128" s="82" t="s">
        <v>102</v>
      </c>
      <c r="C128" s="87">
        <f>SUM(C118:C127)</f>
        <v>22500</v>
      </c>
      <c r="D128" s="87">
        <f>SUM(D118:D127)</f>
        <v>23811.9</v>
      </c>
      <c r="E128" s="87">
        <f>SUM(E118:E127)</f>
        <v>64719</v>
      </c>
      <c r="F128" s="87">
        <f t="shared" ref="F128" si="64">SUM(F118:F127)</f>
        <v>19800</v>
      </c>
      <c r="G128" s="87">
        <f t="shared" ref="G128" si="65">SUM(G118:G127)</f>
        <v>130830.9</v>
      </c>
    </row>
    <row r="129" spans="1:7" ht="15.75" thickBot="1" x14ac:dyDescent="0.3">
      <c r="A129" s="88"/>
      <c r="B129" s="89" t="s">
        <v>103</v>
      </c>
      <c r="C129" s="90">
        <f>C116+C128</f>
        <v>2448633.4232000001</v>
      </c>
      <c r="D129" s="90">
        <f>D116+D128</f>
        <v>53511.9</v>
      </c>
      <c r="E129" s="90">
        <f>E116+E128</f>
        <v>330819</v>
      </c>
      <c r="F129" s="90">
        <f t="shared" ref="F129" si="66">F116+F128</f>
        <v>19800</v>
      </c>
      <c r="G129" s="90">
        <f t="shared" ref="G129" si="67">G116+G128</f>
        <v>2852764.3232</v>
      </c>
    </row>
    <row r="130" spans="1:7" x14ac:dyDescent="0.25">
      <c r="A130" s="93">
        <v>230</v>
      </c>
      <c r="B130" s="62" t="s">
        <v>104</v>
      </c>
      <c r="C130" s="61">
        <f>C129*0.2975</f>
        <v>728468.443402</v>
      </c>
      <c r="D130" s="61">
        <f t="shared" ref="D130:F130" si="68">D129*0.2975</f>
        <v>15919.79025</v>
      </c>
      <c r="E130" s="61">
        <f t="shared" si="68"/>
        <v>98418.652499999997</v>
      </c>
      <c r="F130" s="61">
        <f t="shared" si="68"/>
        <v>5890.5</v>
      </c>
      <c r="G130" s="61">
        <f>SUM(C130:F130)</f>
        <v>848697.38615199993</v>
      </c>
    </row>
    <row r="131" spans="1:7" x14ac:dyDescent="0.25">
      <c r="A131" s="64"/>
      <c r="B131" s="62" t="s">
        <v>105</v>
      </c>
      <c r="C131" s="14">
        <f>C129*0.18</f>
        <v>440754.016176</v>
      </c>
      <c r="D131" s="14">
        <f>D129*0.165</f>
        <v>8829.4634999999998</v>
      </c>
      <c r="E131" s="14">
        <f>E129*0.175</f>
        <v>57893.324999999997</v>
      </c>
      <c r="F131" s="14">
        <f>F129*0.14</f>
        <v>2772.0000000000005</v>
      </c>
      <c r="G131" s="61">
        <f t="shared" ref="G131:G135" si="69">SUM(C131:F131)</f>
        <v>510248.80467600003</v>
      </c>
    </row>
    <row r="132" spans="1:7" x14ac:dyDescent="0.25">
      <c r="A132" s="59">
        <v>150</v>
      </c>
      <c r="B132" s="62" t="s">
        <v>106</v>
      </c>
      <c r="C132" s="11">
        <f>(125*C66)+(125*8)+((C42*2000)+(C43*1500)+(C44*1200)+(C45*1200)+(C46*1200)+(C47*1000)+(C48*1000)+(C49*300)+(C50*300)+(C51*300)+(C52*300)+(C53*300)+(C55*1000)+(C56*1000)+(C57*1000)+(C58*1000)+(C59*1000)+(C60*1000)+(C39*1000)+(1000*C54))*0.9</f>
        <v>53032.5</v>
      </c>
      <c r="D132" s="11">
        <f>(125*D66)+((D42*2000)+(D43*1500)+(D44*1200)+(D45*1200)+(D46*1200)+(D47*1000)+(D48*1000)+(D49*300)+(D50*300)+(D51*300)+(D52*300)+(D53*300)+(D55*1000)+(D56*1000)+(D57*1000)+(D58*1000)+(D59*1000)+(D60*1000)+(D39*1000)+(1000*D54))*0.9</f>
        <v>1105</v>
      </c>
      <c r="E132" s="11">
        <f>(125*E66)+((E42*2000)+(E43*1500)+(E44*1200)+(E45*1200)+(E46*1200)+(E47*1000)+(E48*1000)+(E49*300)+(E50*300)+(E51*300)+(E52*300)+(E53*300)+(E55*1000)+(E56*1000)+(E57*1000)+(E58*1000)+(E59*1000)+(E60*1000)+(E39*1000)+(1000*E54))*0.9</f>
        <v>5680</v>
      </c>
      <c r="F132" s="11">
        <f>(125*F66)+((F42*2000)+(F43*1500)+(F44*1200)+(F45*1200)+(F46*1200)+(F47*1000)+(F48*1000)+(F49*300)+(F50*300)+(F51*300)+(F52*300)+(F53*300)+(F55*1000)+(F56*1000)+(F57*1000)+(F58*1000)+(F59*1000)+(F60*1000)+(F39*1000)+(1000*F54))</f>
        <v>425</v>
      </c>
      <c r="G132" s="61">
        <f t="shared" si="69"/>
        <v>60242.5</v>
      </c>
    </row>
    <row r="133" spans="1:7" x14ac:dyDescent="0.25">
      <c r="A133" s="59">
        <v>150</v>
      </c>
      <c r="B133" s="62" t="s">
        <v>107</v>
      </c>
      <c r="C133" s="14"/>
      <c r="D133" s="14"/>
      <c r="E133" s="14"/>
      <c r="F133" s="14"/>
      <c r="G133" s="61">
        <f t="shared" si="69"/>
        <v>0</v>
      </c>
    </row>
    <row r="134" spans="1:7" x14ac:dyDescent="0.25">
      <c r="A134" s="59">
        <v>250</v>
      </c>
      <c r="B134" s="62" t="s">
        <v>108</v>
      </c>
      <c r="C134" s="7">
        <v>7500</v>
      </c>
      <c r="D134" s="7"/>
      <c r="E134" s="7"/>
      <c r="F134" s="7"/>
      <c r="G134" s="61">
        <f t="shared" si="69"/>
        <v>7500</v>
      </c>
    </row>
    <row r="135" spans="1:7" x14ac:dyDescent="0.25">
      <c r="A135" s="64"/>
      <c r="B135" s="62" t="s">
        <v>109</v>
      </c>
      <c r="C135" s="37">
        <f>(165*10*C39)-C127</f>
        <v>44325</v>
      </c>
      <c r="D135" s="37">
        <v>8000</v>
      </c>
      <c r="E135" s="37">
        <f t="shared" ref="E135:F135" si="70">(165*10*E39)-E127</f>
        <v>6600</v>
      </c>
      <c r="F135" s="37">
        <f t="shared" si="70"/>
        <v>0</v>
      </c>
      <c r="G135" s="61">
        <f t="shared" si="69"/>
        <v>58925</v>
      </c>
    </row>
    <row r="136" spans="1:7" ht="15.75" thickBot="1" x14ac:dyDescent="0.3">
      <c r="A136" s="72"/>
      <c r="B136" s="91" t="s">
        <v>110</v>
      </c>
      <c r="C136" s="87">
        <f>SUM(C130:C135)</f>
        <v>1274079.959578</v>
      </c>
      <c r="D136" s="87">
        <f>SUM(D130:D135)</f>
        <v>33854.253750000003</v>
      </c>
      <c r="E136" s="87">
        <f>SUM(E130:E135)</f>
        <v>168591.97749999998</v>
      </c>
      <c r="F136" s="87">
        <f t="shared" ref="F136" si="71">SUM(F130:F135)</f>
        <v>9087.5</v>
      </c>
      <c r="G136" s="87">
        <f t="shared" ref="G136" si="72">SUM(G130:G135)</f>
        <v>1485613.690828</v>
      </c>
    </row>
    <row r="137" spans="1:7" ht="15.75" thickBot="1" x14ac:dyDescent="0.3">
      <c r="A137" s="88"/>
      <c r="B137" s="95" t="s">
        <v>111</v>
      </c>
      <c r="C137" s="90">
        <f>C129+C136</f>
        <v>3722713.3827780001</v>
      </c>
      <c r="D137" s="90">
        <f>D129+D136</f>
        <v>87366.153749999998</v>
      </c>
      <c r="E137" s="90">
        <f>E129+E136</f>
        <v>499410.97749999998</v>
      </c>
      <c r="F137" s="90">
        <f t="shared" ref="F137" si="73">F129+F136</f>
        <v>28887.5</v>
      </c>
      <c r="G137" s="90">
        <f t="shared" ref="G137" si="74">G129+G136</f>
        <v>4338378.0140279997</v>
      </c>
    </row>
    <row r="138" spans="1:7" x14ac:dyDescent="0.25">
      <c r="A138" s="75"/>
      <c r="B138" s="97" t="s">
        <v>112</v>
      </c>
      <c r="C138" s="149" t="str">
        <f>C1</f>
        <v>Operating</v>
      </c>
      <c r="D138" s="149" t="str">
        <f>D1</f>
        <v>Weights</v>
      </c>
      <c r="E138" s="149" t="str">
        <f>E1</f>
        <v>SPED</v>
      </c>
      <c r="F138" s="149" t="str">
        <f t="shared" ref="F138:G138" si="75">F1</f>
        <v>NSLP</v>
      </c>
      <c r="G138" s="149" t="str">
        <f t="shared" si="75"/>
        <v>Saddle</v>
      </c>
    </row>
    <row r="139" spans="1:7" x14ac:dyDescent="0.25">
      <c r="A139" s="64"/>
      <c r="B139" s="98" t="s">
        <v>113</v>
      </c>
      <c r="C139" s="15">
        <f>C19*130</f>
        <v>118430</v>
      </c>
      <c r="D139" s="15"/>
      <c r="E139" s="15"/>
      <c r="F139" s="15"/>
      <c r="G139" s="15">
        <f t="shared" ref="G139:G147" si="76">SUM(C139:F139)</f>
        <v>118430</v>
      </c>
    </row>
    <row r="140" spans="1:7" hidden="1" x14ac:dyDescent="0.25">
      <c r="A140" s="59">
        <v>561</v>
      </c>
      <c r="B140" s="99" t="s">
        <v>114</v>
      </c>
      <c r="C140" s="7">
        <v>0</v>
      </c>
      <c r="D140" s="7"/>
      <c r="E140" s="7"/>
      <c r="F140" s="7"/>
      <c r="G140" s="15">
        <f t="shared" si="76"/>
        <v>0</v>
      </c>
    </row>
    <row r="141" spans="1:7" x14ac:dyDescent="0.25">
      <c r="A141" s="64"/>
      <c r="B141" s="62" t="s">
        <v>115</v>
      </c>
      <c r="C141" s="11">
        <v>61000</v>
      </c>
      <c r="D141" s="11"/>
      <c r="E141" s="11"/>
      <c r="F141" s="11"/>
      <c r="G141" s="15">
        <f t="shared" si="76"/>
        <v>61000</v>
      </c>
    </row>
    <row r="142" spans="1:7" hidden="1" x14ac:dyDescent="0.25">
      <c r="A142" s="64"/>
      <c r="B142" s="62" t="s">
        <v>116</v>
      </c>
      <c r="C142" s="7">
        <v>0</v>
      </c>
      <c r="D142" s="7">
        <v>0</v>
      </c>
      <c r="E142" s="7"/>
      <c r="F142" s="7"/>
      <c r="G142" s="15">
        <f t="shared" si="76"/>
        <v>0</v>
      </c>
    </row>
    <row r="143" spans="1:7" x14ac:dyDescent="0.25">
      <c r="A143" s="59">
        <v>610</v>
      </c>
      <c r="B143" s="62" t="s">
        <v>117</v>
      </c>
      <c r="C143" s="7">
        <f>13*C19</f>
        <v>11843</v>
      </c>
      <c r="D143" s="7">
        <f t="shared" ref="D143" si="77">13*D19</f>
        <v>0</v>
      </c>
      <c r="E143" s="7"/>
      <c r="F143" s="7">
        <v>0</v>
      </c>
      <c r="G143" s="15">
        <f t="shared" si="76"/>
        <v>11843</v>
      </c>
    </row>
    <row r="144" spans="1:7" x14ac:dyDescent="0.25">
      <c r="A144" s="59">
        <v>610</v>
      </c>
      <c r="B144" s="62" t="s">
        <v>118</v>
      </c>
      <c r="C144" s="7">
        <f>(27*C19)</f>
        <v>24597</v>
      </c>
      <c r="D144" s="7">
        <v>0</v>
      </c>
      <c r="E144" s="7"/>
      <c r="F144" s="7"/>
      <c r="G144" s="15">
        <f t="shared" si="76"/>
        <v>24597</v>
      </c>
    </row>
    <row r="145" spans="1:8" x14ac:dyDescent="0.25">
      <c r="A145" s="59">
        <v>610</v>
      </c>
      <c r="B145" s="62" t="s">
        <v>119</v>
      </c>
      <c r="C145" s="7">
        <f>4*C19</f>
        <v>3644</v>
      </c>
      <c r="D145" s="7">
        <f t="shared" ref="D145" si="78">4*D19</f>
        <v>0</v>
      </c>
      <c r="E145" s="7"/>
      <c r="F145" s="7"/>
      <c r="G145" s="15">
        <f t="shared" si="76"/>
        <v>3644</v>
      </c>
    </row>
    <row r="146" spans="1:8" x14ac:dyDescent="0.25">
      <c r="A146" s="59">
        <v>610</v>
      </c>
      <c r="B146" s="62" t="s">
        <v>120</v>
      </c>
      <c r="C146" s="7">
        <f>3*C19</f>
        <v>2733</v>
      </c>
      <c r="D146" s="7">
        <f t="shared" ref="D146" si="79">3*D19</f>
        <v>0</v>
      </c>
      <c r="E146" s="7"/>
      <c r="F146" s="7"/>
      <c r="G146" s="15">
        <f t="shared" si="76"/>
        <v>2733</v>
      </c>
    </row>
    <row r="147" spans="1:8" x14ac:dyDescent="0.25">
      <c r="A147" s="59">
        <v>610</v>
      </c>
      <c r="B147" s="62" t="s">
        <v>121</v>
      </c>
      <c r="C147" s="7">
        <f>120*C22</f>
        <v>0</v>
      </c>
      <c r="D147" s="7">
        <f t="shared" ref="D147" si="80">120*D22</f>
        <v>0</v>
      </c>
      <c r="E147" s="7">
        <f>120*E22</f>
        <v>9720</v>
      </c>
      <c r="F147" s="7"/>
      <c r="G147" s="15">
        <f t="shared" si="76"/>
        <v>9720</v>
      </c>
    </row>
    <row r="148" spans="1:8" ht="15.75" thickBot="1" x14ac:dyDescent="0.3">
      <c r="A148" s="100"/>
      <c r="B148" s="62" t="s">
        <v>122</v>
      </c>
      <c r="C148" s="37">
        <v>0</v>
      </c>
      <c r="D148" s="37">
        <v>0</v>
      </c>
      <c r="E148" s="37"/>
      <c r="F148" s="37"/>
      <c r="G148" s="37">
        <v>0</v>
      </c>
    </row>
    <row r="149" spans="1:8" ht="15.75" thickBot="1" x14ac:dyDescent="0.3">
      <c r="A149" s="88"/>
      <c r="B149" s="95" t="s">
        <v>123</v>
      </c>
      <c r="C149" s="92">
        <f>SUM(C139:C148)</f>
        <v>222247</v>
      </c>
      <c r="D149" s="92">
        <f>SUM(D139:D148)</f>
        <v>0</v>
      </c>
      <c r="E149" s="92">
        <f t="shared" ref="E149:F149" si="81">SUM(E139:E148)</f>
        <v>9720</v>
      </c>
      <c r="F149" s="92">
        <f t="shared" si="81"/>
        <v>0</v>
      </c>
      <c r="G149" s="92">
        <f t="shared" ref="G149" si="82">SUM(G139:G148)</f>
        <v>231967</v>
      </c>
    </row>
    <row r="150" spans="1:8" x14ac:dyDescent="0.25">
      <c r="A150" s="75"/>
      <c r="B150" s="101" t="s">
        <v>124</v>
      </c>
      <c r="C150" s="149" t="str">
        <f>C1</f>
        <v>Operating</v>
      </c>
      <c r="D150" s="149" t="str">
        <f>D1</f>
        <v>Weights</v>
      </c>
      <c r="E150" s="149" t="str">
        <f>E1</f>
        <v>SPED</v>
      </c>
      <c r="F150" s="149" t="str">
        <f t="shared" ref="F150:G150" si="83">F1</f>
        <v>NSLP</v>
      </c>
      <c r="G150" s="149" t="str">
        <f t="shared" si="83"/>
        <v>Saddle</v>
      </c>
    </row>
    <row r="151" spans="1:8" x14ac:dyDescent="0.25">
      <c r="A151" s="93">
        <v>320</v>
      </c>
      <c r="B151" s="62" t="s">
        <v>125</v>
      </c>
      <c r="C151" s="80">
        <v>0</v>
      </c>
      <c r="D151" s="80">
        <v>10000</v>
      </c>
      <c r="E151" s="80"/>
      <c r="F151" s="80"/>
      <c r="G151" s="80">
        <f t="shared" ref="G151:G162" si="84">SUM(C151:F151)</f>
        <v>10000</v>
      </c>
    </row>
    <row r="152" spans="1:8" x14ac:dyDescent="0.25">
      <c r="A152" s="59">
        <v>300</v>
      </c>
      <c r="B152" s="62" t="s">
        <v>126</v>
      </c>
      <c r="C152" s="14">
        <v>0</v>
      </c>
      <c r="D152" s="142"/>
      <c r="E152" s="11">
        <f>300*$C$19</f>
        <v>273300</v>
      </c>
      <c r="F152" s="142"/>
      <c r="G152" s="80">
        <f t="shared" si="84"/>
        <v>273300</v>
      </c>
      <c r="H152" t="s">
        <v>205</v>
      </c>
    </row>
    <row r="153" spans="1:8" x14ac:dyDescent="0.25">
      <c r="A153" s="59">
        <v>310</v>
      </c>
      <c r="B153" s="62" t="s">
        <v>127</v>
      </c>
      <c r="C153" s="11">
        <v>0</v>
      </c>
      <c r="D153" s="142"/>
      <c r="E153" s="14"/>
      <c r="F153" s="142"/>
      <c r="G153" s="80">
        <f t="shared" si="84"/>
        <v>0</v>
      </c>
    </row>
    <row r="154" spans="1:8" x14ac:dyDescent="0.25">
      <c r="A154" s="59">
        <v>310</v>
      </c>
      <c r="B154" s="62" t="s">
        <v>128</v>
      </c>
      <c r="C154" s="7">
        <f>(450*C19)</f>
        <v>409950</v>
      </c>
      <c r="D154" s="7"/>
      <c r="E154" s="7"/>
      <c r="F154" s="7"/>
      <c r="G154" s="80">
        <f t="shared" si="84"/>
        <v>409950</v>
      </c>
    </row>
    <row r="155" spans="1:8" x14ac:dyDescent="0.25">
      <c r="A155" s="59">
        <v>310</v>
      </c>
      <c r="B155" s="62" t="s">
        <v>129</v>
      </c>
      <c r="C155" s="7">
        <f>(240*C66)+2000</f>
        <v>14120</v>
      </c>
      <c r="D155" s="7">
        <f>(240*D66)</f>
        <v>480</v>
      </c>
      <c r="E155" s="7">
        <f>(240*E66)</f>
        <v>1920</v>
      </c>
      <c r="F155" s="7">
        <f>(240*F66)</f>
        <v>240</v>
      </c>
      <c r="G155" s="80">
        <f t="shared" si="84"/>
        <v>16760</v>
      </c>
    </row>
    <row r="156" spans="1:8" x14ac:dyDescent="0.25">
      <c r="A156" s="59">
        <v>340</v>
      </c>
      <c r="B156" s="62" t="s">
        <v>130</v>
      </c>
      <c r="C156" s="7">
        <v>11000</v>
      </c>
      <c r="D156" s="7"/>
      <c r="E156" s="7"/>
      <c r="F156" s="7"/>
      <c r="G156" s="80">
        <f t="shared" si="84"/>
        <v>11000</v>
      </c>
    </row>
    <row r="157" spans="1:8" x14ac:dyDescent="0.25">
      <c r="A157" s="59">
        <v>340</v>
      </c>
      <c r="B157" s="62" t="s">
        <v>131</v>
      </c>
      <c r="C157" s="7">
        <v>5250</v>
      </c>
      <c r="D157" s="7"/>
      <c r="E157" s="7"/>
      <c r="F157" s="7"/>
      <c r="G157" s="80">
        <f t="shared" si="84"/>
        <v>5250</v>
      </c>
    </row>
    <row r="158" spans="1:8" x14ac:dyDescent="0.25">
      <c r="A158" s="59">
        <v>352</v>
      </c>
      <c r="B158" s="62" t="s">
        <v>132</v>
      </c>
      <c r="C158" s="7">
        <f>42*C19</f>
        <v>38262</v>
      </c>
      <c r="D158" s="7"/>
      <c r="E158" s="7"/>
      <c r="F158" s="7"/>
      <c r="G158" s="80">
        <f t="shared" si="84"/>
        <v>38262</v>
      </c>
    </row>
    <row r="159" spans="1:8" x14ac:dyDescent="0.25">
      <c r="A159" s="59">
        <v>350</v>
      </c>
      <c r="B159" s="62" t="s">
        <v>133</v>
      </c>
      <c r="C159" s="7">
        <v>5500</v>
      </c>
      <c r="D159" s="7"/>
      <c r="E159" s="7"/>
      <c r="F159" s="7"/>
      <c r="G159" s="80">
        <f t="shared" si="84"/>
        <v>5500</v>
      </c>
    </row>
    <row r="160" spans="1:8" x14ac:dyDescent="0.25">
      <c r="A160" s="59">
        <v>591</v>
      </c>
      <c r="B160" s="62" t="s">
        <v>134</v>
      </c>
      <c r="C160" s="7">
        <f>(C87+C88)*0.0125</f>
        <v>81953.446125000017</v>
      </c>
      <c r="D160" s="7"/>
      <c r="E160" s="7"/>
      <c r="F160" s="7"/>
      <c r="G160" s="80">
        <f t="shared" si="84"/>
        <v>81953.446125000017</v>
      </c>
    </row>
    <row r="161" spans="1:7" x14ac:dyDescent="0.25">
      <c r="A161" s="59">
        <v>320</v>
      </c>
      <c r="B161" s="62" t="s">
        <v>135</v>
      </c>
      <c r="C161" s="7">
        <f>(C87+C88)*0.005</f>
        <v>32781.378450000004</v>
      </c>
      <c r="D161" s="7"/>
      <c r="E161" s="7"/>
      <c r="F161" s="7"/>
      <c r="G161" s="80">
        <f t="shared" si="84"/>
        <v>32781.378450000004</v>
      </c>
    </row>
    <row r="162" spans="1:7" ht="15.75" thickBot="1" x14ac:dyDescent="0.3">
      <c r="A162" s="59">
        <v>330</v>
      </c>
      <c r="B162" s="62" t="s">
        <v>136</v>
      </c>
      <c r="C162" s="7">
        <f>(C87+C88)*0.005</f>
        <v>32781.378450000004</v>
      </c>
      <c r="D162" s="7"/>
      <c r="E162" s="7"/>
      <c r="F162" s="7"/>
      <c r="G162" s="80">
        <f t="shared" si="84"/>
        <v>32781.378450000004</v>
      </c>
    </row>
    <row r="163" spans="1:7" ht="15.75" hidden="1" thickBot="1" x14ac:dyDescent="0.3">
      <c r="A163" s="59">
        <v>330</v>
      </c>
      <c r="B163" s="62" t="s">
        <v>137</v>
      </c>
      <c r="C163" s="81"/>
      <c r="D163" s="81"/>
      <c r="E163" s="81"/>
      <c r="F163" s="81"/>
      <c r="G163" s="81"/>
    </row>
    <row r="164" spans="1:7" ht="15.75" thickBot="1" x14ac:dyDescent="0.3">
      <c r="A164" s="88"/>
      <c r="B164" s="95" t="s">
        <v>138</v>
      </c>
      <c r="C164" s="92">
        <f>SUM(C151:C163)</f>
        <v>631598.20302499994</v>
      </c>
      <c r="D164" s="92">
        <f>SUM(D151:D163)</f>
        <v>10480</v>
      </c>
      <c r="E164" s="92">
        <f>SUM(E151:E163)</f>
        <v>275220</v>
      </c>
      <c r="F164" s="92">
        <f t="shared" ref="F164" si="85">SUM(F151:F163)</f>
        <v>240</v>
      </c>
      <c r="G164" s="92">
        <f t="shared" ref="G164" si="86">SUM(G151:G163)</f>
        <v>917538.20302499994</v>
      </c>
    </row>
    <row r="165" spans="1:7" x14ac:dyDescent="0.25">
      <c r="A165" s="75"/>
      <c r="B165" s="101" t="s">
        <v>139</v>
      </c>
      <c r="C165" s="149" t="str">
        <f>C150</f>
        <v>Operating</v>
      </c>
      <c r="D165" s="149" t="str">
        <f>D150</f>
        <v>Weights</v>
      </c>
      <c r="E165" s="149" t="str">
        <f>E150</f>
        <v>SPED</v>
      </c>
      <c r="F165" s="149" t="str">
        <f t="shared" ref="F165:G165" si="87">F150</f>
        <v>NSLP</v>
      </c>
      <c r="G165" s="149" t="str">
        <f t="shared" si="87"/>
        <v>Saddle</v>
      </c>
    </row>
    <row r="166" spans="1:7" x14ac:dyDescent="0.25">
      <c r="A166" s="59">
        <v>533</v>
      </c>
      <c r="B166" s="62" t="s">
        <v>140</v>
      </c>
      <c r="C166" s="7">
        <v>3600</v>
      </c>
      <c r="D166" s="7"/>
      <c r="E166" s="7"/>
      <c r="F166" s="7"/>
      <c r="G166" s="7">
        <f t="shared" ref="G166:G172" si="88">SUM(C166:F166)</f>
        <v>3600</v>
      </c>
    </row>
    <row r="167" spans="1:7" x14ac:dyDescent="0.25">
      <c r="A167" s="59">
        <v>535</v>
      </c>
      <c r="B167" s="62" t="s">
        <v>141</v>
      </c>
      <c r="C167" s="7">
        <v>15500</v>
      </c>
      <c r="D167" s="7"/>
      <c r="E167" s="7"/>
      <c r="F167" s="7"/>
      <c r="G167" s="7">
        <f t="shared" si="88"/>
        <v>15500</v>
      </c>
    </row>
    <row r="168" spans="1:7" x14ac:dyDescent="0.25">
      <c r="A168" s="59">
        <v>534</v>
      </c>
      <c r="B168" s="62" t="s">
        <v>142</v>
      </c>
      <c r="C168" s="7">
        <v>0</v>
      </c>
      <c r="D168" s="7"/>
      <c r="E168" s="7"/>
      <c r="F168" s="7"/>
      <c r="G168" s="7">
        <f t="shared" si="88"/>
        <v>0</v>
      </c>
    </row>
    <row r="169" spans="1:7" x14ac:dyDescent="0.25">
      <c r="A169" s="59">
        <v>531</v>
      </c>
      <c r="B169" s="62" t="s">
        <v>143</v>
      </c>
      <c r="C169" s="7">
        <v>900</v>
      </c>
      <c r="D169" s="7"/>
      <c r="E169" s="7"/>
      <c r="F169" s="7"/>
      <c r="G169" s="7">
        <f t="shared" si="88"/>
        <v>900</v>
      </c>
    </row>
    <row r="170" spans="1:7" x14ac:dyDescent="0.25">
      <c r="A170" s="59">
        <v>535</v>
      </c>
      <c r="B170" s="62" t="s">
        <v>144</v>
      </c>
      <c r="C170" s="7">
        <v>4200</v>
      </c>
      <c r="D170" s="7"/>
      <c r="E170" s="7"/>
      <c r="F170" s="7"/>
      <c r="G170" s="7">
        <f t="shared" si="88"/>
        <v>4200</v>
      </c>
    </row>
    <row r="171" spans="1:7" x14ac:dyDescent="0.25">
      <c r="A171" s="59">
        <v>443</v>
      </c>
      <c r="B171" s="62" t="s">
        <v>145</v>
      </c>
      <c r="C171" s="7">
        <v>30000</v>
      </c>
      <c r="D171" s="7"/>
      <c r="E171" s="7"/>
      <c r="F171" s="7"/>
      <c r="G171" s="7">
        <f t="shared" si="88"/>
        <v>30000</v>
      </c>
    </row>
    <row r="172" spans="1:7" ht="15.75" thickBot="1" x14ac:dyDescent="0.3">
      <c r="A172" s="59">
        <v>651</v>
      </c>
      <c r="B172" s="62" t="s">
        <v>146</v>
      </c>
      <c r="C172" s="7">
        <f>2500+(2*C20)</f>
        <v>2500</v>
      </c>
      <c r="D172" s="7"/>
      <c r="E172" s="7"/>
      <c r="F172" s="7"/>
      <c r="G172" s="7">
        <f t="shared" si="88"/>
        <v>2500</v>
      </c>
    </row>
    <row r="173" spans="1:7" ht="15.75" thickBot="1" x14ac:dyDescent="0.3">
      <c r="A173" s="88"/>
      <c r="B173" s="95" t="s">
        <v>147</v>
      </c>
      <c r="C173" s="92">
        <f>SUM(C166:C172)</f>
        <v>56700</v>
      </c>
      <c r="D173" s="92">
        <f>SUM(D166:D172)</f>
        <v>0</v>
      </c>
      <c r="E173" s="92">
        <f t="shared" ref="E173" si="89">SUM(E166:E172)</f>
        <v>0</v>
      </c>
      <c r="F173" s="92">
        <f t="shared" ref="F173" si="90">SUM(F166:F172)</f>
        <v>0</v>
      </c>
      <c r="G173" s="92">
        <f t="shared" ref="G173" si="91">SUM(G166:G172)</f>
        <v>56700</v>
      </c>
    </row>
    <row r="174" spans="1:7" x14ac:dyDescent="0.25">
      <c r="A174" s="75"/>
      <c r="B174" s="101" t="s">
        <v>148</v>
      </c>
      <c r="C174" s="96"/>
      <c r="D174" s="96"/>
      <c r="E174" s="96"/>
      <c r="F174" s="96"/>
      <c r="G174" s="96"/>
    </row>
    <row r="175" spans="1:7" x14ac:dyDescent="0.25">
      <c r="A175" s="59">
        <v>521</v>
      </c>
      <c r="B175" s="62" t="s">
        <v>149</v>
      </c>
      <c r="C175" s="15">
        <f>9054.37013284471*1.06</f>
        <v>9597.632340815393</v>
      </c>
      <c r="D175" s="15"/>
      <c r="E175" s="15"/>
      <c r="F175" s="15"/>
      <c r="G175" s="15">
        <f>SUM(C175:F175)</f>
        <v>9597.632340815393</v>
      </c>
    </row>
    <row r="176" spans="1:7" x14ac:dyDescent="0.25">
      <c r="A176" s="59">
        <v>522</v>
      </c>
      <c r="B176" s="62" t="s">
        <v>150</v>
      </c>
      <c r="C176" s="7">
        <f>6665.55199267064*1.06</f>
        <v>7065.4851122308792</v>
      </c>
      <c r="D176" s="7"/>
      <c r="E176" s="7"/>
      <c r="F176" s="7"/>
      <c r="G176" s="15">
        <f>SUM(C176:F176)</f>
        <v>7065.4851122308792</v>
      </c>
    </row>
    <row r="177" spans="1:7" ht="15.75" thickBot="1" x14ac:dyDescent="0.3">
      <c r="A177" s="59">
        <v>523</v>
      </c>
      <c r="B177" s="62" t="s">
        <v>151</v>
      </c>
      <c r="C177" s="7">
        <f>(14238.2501145213*1.06)+1850</f>
        <v>16942.545121392577</v>
      </c>
      <c r="D177" s="7"/>
      <c r="E177" s="7"/>
      <c r="F177" s="7"/>
      <c r="G177" s="15">
        <f>SUM(C177:F177)</f>
        <v>16942.545121392577</v>
      </c>
    </row>
    <row r="178" spans="1:7" ht="15.75" thickBot="1" x14ac:dyDescent="0.3">
      <c r="A178" s="88"/>
      <c r="B178" s="95" t="s">
        <v>152</v>
      </c>
      <c r="C178" s="92">
        <f>SUM(C175:C177)</f>
        <v>33605.662574438851</v>
      </c>
      <c r="D178" s="92">
        <f>SUM(D175:D177)</f>
        <v>0</v>
      </c>
      <c r="E178" s="92">
        <f t="shared" ref="E178" si="92">SUM(E175:E177)</f>
        <v>0</v>
      </c>
      <c r="F178" s="92">
        <f t="shared" ref="F178" si="93">SUM(F175:F177)</f>
        <v>0</v>
      </c>
      <c r="G178" s="92">
        <f t="shared" ref="G178" si="94">SUM(G175:G177)</f>
        <v>33605.662574438851</v>
      </c>
    </row>
    <row r="179" spans="1:7" x14ac:dyDescent="0.25">
      <c r="A179" s="75"/>
      <c r="B179" s="101" t="s">
        <v>153</v>
      </c>
      <c r="C179" s="96" t="str">
        <f>C1</f>
        <v>Operating</v>
      </c>
      <c r="D179" s="96" t="str">
        <f>D1</f>
        <v>Weights</v>
      </c>
      <c r="E179" s="96" t="str">
        <f>E1</f>
        <v>SPED</v>
      </c>
      <c r="F179" s="96" t="str">
        <f t="shared" ref="F179:G179" si="95">F1</f>
        <v>NSLP</v>
      </c>
      <c r="G179" s="96" t="str">
        <f t="shared" si="95"/>
        <v>Saddle</v>
      </c>
    </row>
    <row r="180" spans="1:7" x14ac:dyDescent="0.25">
      <c r="A180" s="59">
        <v>570</v>
      </c>
      <c r="B180" s="62" t="s">
        <v>154</v>
      </c>
      <c r="C180" s="14">
        <f>(($C$19*C25)*3.56*180)</f>
        <v>0</v>
      </c>
      <c r="D180" s="142"/>
      <c r="E180" s="142"/>
      <c r="F180" s="14">
        <f>(($C$19*F25)*3.05*180)+1000</f>
        <v>161044.47999999998</v>
      </c>
      <c r="G180" s="14">
        <f t="shared" ref="G180:G188" si="96">SUM(C180:F180)</f>
        <v>161044.47999999998</v>
      </c>
    </row>
    <row r="181" spans="1:7" x14ac:dyDescent="0.25">
      <c r="A181" s="59">
        <v>540</v>
      </c>
      <c r="B181" s="62" t="s">
        <v>155</v>
      </c>
      <c r="C181" s="7">
        <v>3000</v>
      </c>
      <c r="D181" s="7"/>
      <c r="E181" s="7"/>
      <c r="F181" s="7"/>
      <c r="G181" s="14">
        <f t="shared" si="96"/>
        <v>3000</v>
      </c>
    </row>
    <row r="182" spans="1:7" x14ac:dyDescent="0.25">
      <c r="A182" s="59">
        <v>580</v>
      </c>
      <c r="B182" s="62" t="s">
        <v>156</v>
      </c>
      <c r="C182" s="7">
        <v>2000</v>
      </c>
      <c r="D182" s="7"/>
      <c r="E182" s="7"/>
      <c r="F182" s="7"/>
      <c r="G182" s="14">
        <f t="shared" si="96"/>
        <v>2000</v>
      </c>
    </row>
    <row r="183" spans="1:7" x14ac:dyDescent="0.25">
      <c r="A183" s="59">
        <v>340</v>
      </c>
      <c r="B183" s="62" t="s">
        <v>157</v>
      </c>
      <c r="C183" s="7">
        <f>60*9</f>
        <v>540</v>
      </c>
      <c r="D183" s="7"/>
      <c r="E183" s="7"/>
      <c r="F183" s="7"/>
      <c r="G183" s="14">
        <f t="shared" si="96"/>
        <v>540</v>
      </c>
    </row>
    <row r="184" spans="1:7" x14ac:dyDescent="0.25">
      <c r="A184" s="79">
        <v>810</v>
      </c>
      <c r="B184" s="62" t="s">
        <v>158</v>
      </c>
      <c r="C184" s="15">
        <f>10500+1200</f>
        <v>11700</v>
      </c>
      <c r="D184" s="15"/>
      <c r="E184" s="15"/>
      <c r="F184" s="15"/>
      <c r="G184" s="14">
        <f t="shared" si="96"/>
        <v>11700</v>
      </c>
    </row>
    <row r="185" spans="1:7" x14ac:dyDescent="0.25">
      <c r="A185" s="64"/>
      <c r="B185" s="62" t="s">
        <v>159</v>
      </c>
      <c r="C185" s="15">
        <v>0</v>
      </c>
      <c r="D185" s="148"/>
      <c r="E185" s="148"/>
      <c r="F185" s="148"/>
      <c r="G185" s="14">
        <f t="shared" si="96"/>
        <v>0</v>
      </c>
    </row>
    <row r="186" spans="1:7" x14ac:dyDescent="0.25">
      <c r="A186" s="64"/>
      <c r="B186" s="62" t="s">
        <v>160</v>
      </c>
      <c r="C186" s="15">
        <v>0</v>
      </c>
      <c r="D186" s="15"/>
      <c r="E186" s="15"/>
      <c r="F186" s="15"/>
      <c r="G186" s="14">
        <f t="shared" si="96"/>
        <v>0</v>
      </c>
    </row>
    <row r="187" spans="1:7" x14ac:dyDescent="0.25">
      <c r="A187" s="64"/>
      <c r="B187" s="62" t="s">
        <v>161</v>
      </c>
      <c r="C187" s="15">
        <v>0</v>
      </c>
      <c r="D187" s="15"/>
      <c r="E187" s="15"/>
      <c r="F187" s="15"/>
      <c r="G187" s="14">
        <f t="shared" si="96"/>
        <v>0</v>
      </c>
    </row>
    <row r="188" spans="1:7" ht="15.75" thickBot="1" x14ac:dyDescent="0.3">
      <c r="A188" s="59">
        <v>900</v>
      </c>
      <c r="B188" s="62" t="s">
        <v>162</v>
      </c>
      <c r="C188" s="7">
        <v>1000</v>
      </c>
      <c r="D188" s="7"/>
      <c r="E188" s="7"/>
      <c r="F188" s="7"/>
      <c r="G188" s="14">
        <f t="shared" si="96"/>
        <v>1000</v>
      </c>
    </row>
    <row r="189" spans="1:7" ht="15.75" thickBot="1" x14ac:dyDescent="0.3">
      <c r="A189" s="88"/>
      <c r="B189" s="95" t="s">
        <v>163</v>
      </c>
      <c r="C189" s="92">
        <f>SUM(C180:C188)</f>
        <v>18240</v>
      </c>
      <c r="D189" s="92">
        <f>SUM(D180:D188)</f>
        <v>0</v>
      </c>
      <c r="E189" s="92">
        <f t="shared" ref="E189" si="97">SUM(E180:E188)</f>
        <v>0</v>
      </c>
      <c r="F189" s="92">
        <f t="shared" ref="F189" si="98">SUM(F180:F188)</f>
        <v>161044.47999999998</v>
      </c>
      <c r="G189" s="92">
        <f t="shared" ref="G189" si="99">SUM(G180:G188)</f>
        <v>179284.47999999998</v>
      </c>
    </row>
    <row r="190" spans="1:7" x14ac:dyDescent="0.25">
      <c r="A190" s="75"/>
      <c r="B190" s="101" t="s">
        <v>164</v>
      </c>
      <c r="C190" s="77" t="str">
        <f>C179</f>
        <v>Operating</v>
      </c>
      <c r="D190" s="77" t="str">
        <f>D179</f>
        <v>Weights</v>
      </c>
      <c r="E190" s="77" t="str">
        <f>E179</f>
        <v>SPED</v>
      </c>
      <c r="F190" s="77" t="str">
        <f t="shared" ref="F190:G190" si="100">F179</f>
        <v>NSLP</v>
      </c>
      <c r="G190" s="77" t="str">
        <f t="shared" si="100"/>
        <v>Saddle</v>
      </c>
    </row>
    <row r="191" spans="1:7" x14ac:dyDescent="0.25">
      <c r="A191" s="93">
        <v>622</v>
      </c>
      <c r="B191" s="62" t="s">
        <v>165</v>
      </c>
      <c r="C191" s="61">
        <f>5500*12+4000</f>
        <v>70000</v>
      </c>
      <c r="D191" s="61"/>
      <c r="E191" s="61"/>
      <c r="F191" s="61"/>
      <c r="G191" s="61">
        <f t="shared" ref="G191:G201" si="101">SUM(C191:F191)</f>
        <v>70000</v>
      </c>
    </row>
    <row r="192" spans="1:7" x14ac:dyDescent="0.25">
      <c r="A192" s="59">
        <v>621</v>
      </c>
      <c r="B192" s="62" t="s">
        <v>166</v>
      </c>
      <c r="C192" s="7">
        <f>500*12</f>
        <v>6000</v>
      </c>
      <c r="D192" s="15"/>
      <c r="E192" s="15"/>
      <c r="F192" s="15"/>
      <c r="G192" s="61">
        <f t="shared" si="101"/>
        <v>6000</v>
      </c>
    </row>
    <row r="193" spans="1:7" x14ac:dyDescent="0.25">
      <c r="A193" s="59">
        <v>411</v>
      </c>
      <c r="B193" s="62" t="s">
        <v>167</v>
      </c>
      <c r="C193" s="7">
        <v>18000</v>
      </c>
      <c r="D193" s="7"/>
      <c r="E193" s="7"/>
      <c r="F193" s="7"/>
      <c r="G193" s="61">
        <f t="shared" si="101"/>
        <v>18000</v>
      </c>
    </row>
    <row r="194" spans="1:7" x14ac:dyDescent="0.25">
      <c r="A194" s="59">
        <v>422</v>
      </c>
      <c r="B194" s="62" t="s">
        <v>168</v>
      </c>
      <c r="C194" s="7">
        <f>(248*12)+(600*12)+(58*12)+500</f>
        <v>11372</v>
      </c>
      <c r="D194" s="7"/>
      <c r="E194" s="7"/>
      <c r="F194" s="7"/>
      <c r="G194" s="61">
        <f t="shared" si="101"/>
        <v>11372</v>
      </c>
    </row>
    <row r="195" spans="1:7" x14ac:dyDescent="0.25">
      <c r="A195" s="59">
        <v>490</v>
      </c>
      <c r="B195" s="62" t="s">
        <v>169</v>
      </c>
      <c r="C195" s="7">
        <v>6500</v>
      </c>
      <c r="D195" s="7"/>
      <c r="E195" s="7"/>
      <c r="F195" s="7"/>
      <c r="G195" s="61">
        <f t="shared" si="101"/>
        <v>6500</v>
      </c>
    </row>
    <row r="196" spans="1:7" x14ac:dyDescent="0.25">
      <c r="A196" s="59">
        <v>422</v>
      </c>
      <c r="B196" s="62" t="s">
        <v>170</v>
      </c>
      <c r="C196" s="11">
        <f>5610*13</f>
        <v>72930</v>
      </c>
      <c r="D196" s="11"/>
      <c r="E196" s="11"/>
      <c r="F196" s="11"/>
      <c r="G196" s="61">
        <f t="shared" si="101"/>
        <v>72930</v>
      </c>
    </row>
    <row r="197" spans="1:7" x14ac:dyDescent="0.25">
      <c r="A197" s="59">
        <v>610</v>
      </c>
      <c r="B197" s="62" t="s">
        <v>171</v>
      </c>
      <c r="C197" s="15">
        <f>30*C19</f>
        <v>27330</v>
      </c>
      <c r="D197" s="7"/>
      <c r="E197" s="7"/>
      <c r="F197" s="7"/>
      <c r="G197" s="61">
        <f t="shared" si="101"/>
        <v>27330</v>
      </c>
    </row>
    <row r="198" spans="1:7" x14ac:dyDescent="0.25">
      <c r="A198" s="59" t="s">
        <v>172</v>
      </c>
      <c r="B198" s="62" t="s">
        <v>173</v>
      </c>
      <c r="C198" s="7">
        <f>34000+11000+5000</f>
        <v>50000</v>
      </c>
      <c r="D198" s="7"/>
      <c r="E198" s="7"/>
      <c r="F198" s="7">
        <v>0</v>
      </c>
      <c r="G198" s="61">
        <f t="shared" si="101"/>
        <v>50000</v>
      </c>
    </row>
    <row r="199" spans="1:7" x14ac:dyDescent="0.25">
      <c r="A199" s="59">
        <v>420</v>
      </c>
      <c r="B199" s="62" t="s">
        <v>174</v>
      </c>
      <c r="C199" s="11">
        <f>(600*12)+4000</f>
        <v>11200</v>
      </c>
      <c r="D199" s="11"/>
      <c r="E199" s="11"/>
      <c r="F199" s="11"/>
      <c r="G199" s="61">
        <f t="shared" si="101"/>
        <v>11200</v>
      </c>
    </row>
    <row r="200" spans="1:7" x14ac:dyDescent="0.25">
      <c r="A200" s="59">
        <v>420</v>
      </c>
      <c r="B200" s="62" t="s">
        <v>175</v>
      </c>
      <c r="C200" s="11"/>
      <c r="D200" s="7"/>
      <c r="E200" s="7"/>
      <c r="F200" s="7"/>
      <c r="G200" s="61">
        <f t="shared" si="101"/>
        <v>0</v>
      </c>
    </row>
    <row r="201" spans="1:7" ht="15.75" thickBot="1" x14ac:dyDescent="0.3">
      <c r="A201" s="63">
        <v>431</v>
      </c>
      <c r="B201" s="62" t="s">
        <v>176</v>
      </c>
      <c r="C201" s="86">
        <f>((82+357+98)*12)+13000</f>
        <v>19444</v>
      </c>
      <c r="D201" s="86"/>
      <c r="E201" s="86"/>
      <c r="F201" s="86"/>
      <c r="G201" s="61">
        <f t="shared" si="101"/>
        <v>19444</v>
      </c>
    </row>
    <row r="202" spans="1:7" ht="15.75" thickBot="1" x14ac:dyDescent="0.3">
      <c r="A202" s="88"/>
      <c r="B202" s="95" t="s">
        <v>177</v>
      </c>
      <c r="C202" s="90">
        <f>SUM(C191:C201)</f>
        <v>292776</v>
      </c>
      <c r="D202" s="90">
        <f>SUM(D191:D201)</f>
        <v>0</v>
      </c>
      <c r="E202" s="90">
        <f>SUM(E191:E201)</f>
        <v>0</v>
      </c>
      <c r="F202" s="90">
        <f t="shared" ref="F202" si="102">SUM(F191:F201)</f>
        <v>0</v>
      </c>
      <c r="G202" s="90">
        <f t="shared" ref="G202" si="103">SUM(G191:G201)</f>
        <v>292776</v>
      </c>
    </row>
    <row r="203" spans="1:7" ht="15.75" thickBot="1" x14ac:dyDescent="0.3">
      <c r="A203" s="69"/>
      <c r="B203" s="102"/>
      <c r="C203" s="103"/>
      <c r="D203" s="103"/>
      <c r="E203" s="103"/>
      <c r="F203" s="103"/>
      <c r="G203" s="103"/>
    </row>
    <row r="204" spans="1:7" ht="15.75" thickBot="1" x14ac:dyDescent="0.3">
      <c r="A204" s="69"/>
      <c r="B204" s="95" t="s">
        <v>178</v>
      </c>
      <c r="C204" s="104">
        <f>C137+C149+C164+C173+C178+C189+C202</f>
        <v>4977880.2483774396</v>
      </c>
      <c r="D204" s="104">
        <f>D137+D149+D164+D173+D178+D189+D202</f>
        <v>97846.153749999998</v>
      </c>
      <c r="E204" s="104">
        <f>E137+E149+E164+E173+E178+E189+E202</f>
        <v>784350.97750000004</v>
      </c>
      <c r="F204" s="104">
        <f t="shared" ref="F204" si="104">F137+F149+F164+F173+F178+F189+F202</f>
        <v>190171.97999999998</v>
      </c>
      <c r="G204" s="104">
        <f>G137+G149+G164+G173+G178+G189+G202</f>
        <v>6050249.3596274387</v>
      </c>
    </row>
    <row r="205" spans="1:7" x14ac:dyDescent="0.25">
      <c r="A205" s="69"/>
      <c r="B205" s="105"/>
      <c r="C205" s="61"/>
      <c r="D205" s="61"/>
      <c r="E205" s="61"/>
      <c r="F205" s="61"/>
      <c r="G205" s="61"/>
    </row>
    <row r="206" spans="1:7" x14ac:dyDescent="0.25">
      <c r="A206" s="69"/>
      <c r="B206" s="106" t="s">
        <v>179</v>
      </c>
      <c r="C206" s="7">
        <v>0</v>
      </c>
      <c r="D206" s="7"/>
      <c r="E206" s="7"/>
      <c r="F206" s="7"/>
      <c r="G206" s="7">
        <f t="shared" ref="G206:G215" si="105">SUM(C206:F206)</f>
        <v>0</v>
      </c>
    </row>
    <row r="207" spans="1:7" x14ac:dyDescent="0.25">
      <c r="A207" s="69"/>
      <c r="B207" s="106" t="s">
        <v>180</v>
      </c>
      <c r="C207" s="7">
        <v>852431</v>
      </c>
      <c r="D207" s="7">
        <v>0</v>
      </c>
      <c r="E207" s="7"/>
      <c r="F207" s="7"/>
      <c r="G207" s="7">
        <f t="shared" si="105"/>
        <v>852431</v>
      </c>
    </row>
    <row r="208" spans="1:7" hidden="1" x14ac:dyDescent="0.25">
      <c r="A208" s="69"/>
      <c r="B208" s="106"/>
      <c r="C208" s="7"/>
      <c r="D208" s="7"/>
      <c r="E208" s="7"/>
      <c r="F208" s="7"/>
      <c r="G208" s="7">
        <f t="shared" si="105"/>
        <v>0</v>
      </c>
    </row>
    <row r="209" spans="1:7" hidden="1" x14ac:dyDescent="0.25">
      <c r="A209" s="69"/>
      <c r="B209" s="106"/>
      <c r="C209" s="7"/>
      <c r="D209" s="7"/>
      <c r="E209" s="7"/>
      <c r="F209" s="7"/>
      <c r="G209" s="7">
        <f t="shared" si="105"/>
        <v>0</v>
      </c>
    </row>
    <row r="210" spans="1:7" hidden="1" x14ac:dyDescent="0.25">
      <c r="A210" s="69"/>
      <c r="B210" s="106"/>
      <c r="C210" s="7"/>
      <c r="D210" s="7"/>
      <c r="E210" s="7"/>
      <c r="F210" s="7"/>
      <c r="G210" s="7">
        <f t="shared" si="105"/>
        <v>0</v>
      </c>
    </row>
    <row r="211" spans="1:7" hidden="1" x14ac:dyDescent="0.25">
      <c r="A211" s="69"/>
      <c r="B211" s="106"/>
      <c r="C211" s="7"/>
      <c r="D211" s="7"/>
      <c r="E211" s="7"/>
      <c r="F211" s="7"/>
      <c r="G211" s="7">
        <f t="shared" si="105"/>
        <v>0</v>
      </c>
    </row>
    <row r="212" spans="1:7" hidden="1" x14ac:dyDescent="0.25">
      <c r="A212" s="69"/>
      <c r="B212" s="106"/>
      <c r="C212" s="7"/>
      <c r="D212" s="7"/>
      <c r="E212" s="7"/>
      <c r="F212" s="7"/>
      <c r="G212" s="7">
        <f t="shared" si="105"/>
        <v>0</v>
      </c>
    </row>
    <row r="213" spans="1:7" hidden="1" x14ac:dyDescent="0.25">
      <c r="A213" s="69"/>
      <c r="B213" s="106" t="s">
        <v>180</v>
      </c>
      <c r="C213" s="7"/>
      <c r="D213" s="7"/>
      <c r="E213" s="7"/>
      <c r="F213" s="7"/>
      <c r="G213" s="7">
        <f t="shared" si="105"/>
        <v>0</v>
      </c>
    </row>
    <row r="214" spans="1:7" hidden="1" x14ac:dyDescent="0.25">
      <c r="A214" s="69"/>
      <c r="B214" s="107" t="s">
        <v>181</v>
      </c>
      <c r="C214" s="7">
        <v>0</v>
      </c>
      <c r="D214" s="7">
        <v>0</v>
      </c>
      <c r="E214" s="7"/>
      <c r="F214" s="7"/>
      <c r="G214" s="7">
        <f t="shared" si="105"/>
        <v>0</v>
      </c>
    </row>
    <row r="215" spans="1:7" x14ac:dyDescent="0.25">
      <c r="A215" s="69"/>
      <c r="B215" s="106" t="s">
        <v>206</v>
      </c>
      <c r="C215" s="7">
        <v>30000</v>
      </c>
      <c r="D215" s="7"/>
      <c r="E215" s="7"/>
      <c r="F215" s="7"/>
      <c r="G215" s="7">
        <f t="shared" si="105"/>
        <v>30000</v>
      </c>
    </row>
    <row r="216" spans="1:7" x14ac:dyDescent="0.25">
      <c r="A216" s="69"/>
      <c r="B216" s="147"/>
      <c r="C216" s="7"/>
      <c r="D216" s="7"/>
      <c r="E216" s="7"/>
      <c r="F216" s="7"/>
      <c r="G216" s="7"/>
    </row>
    <row r="217" spans="1:7" ht="15.75" thickBot="1" x14ac:dyDescent="0.3">
      <c r="A217" s="69"/>
      <c r="B217" s="144" t="s">
        <v>183</v>
      </c>
      <c r="C217" s="145">
        <f>C86-C204-C206-C207-C213-C214</f>
        <v>543396.17092256062</v>
      </c>
      <c r="D217" s="145">
        <f>D86-D204-D206-D207-D213-D214</f>
        <v>4798.9562500000029</v>
      </c>
      <c r="E217" s="145">
        <f>E86-E204-E206-E207-E213-E214</f>
        <v>-482325.97750000004</v>
      </c>
      <c r="F217" s="145">
        <f t="shared" ref="F217" si="106">F86-F204-F206-F207-F213-F214</f>
        <v>19962.420000000013</v>
      </c>
      <c r="G217" s="145">
        <f>G86-G204-G206-G207-G213-G214-G215</f>
        <v>55831.569672562182</v>
      </c>
    </row>
    <row r="218" spans="1:7" ht="15.75" thickBot="1" x14ac:dyDescent="0.3">
      <c r="A218" s="69"/>
      <c r="B218" s="108"/>
      <c r="C218" s="110">
        <f>C217/(C86-C76)</f>
        <v>8.5255901341991583E-2</v>
      </c>
      <c r="D218" s="110">
        <f t="shared" ref="D218" si="107">D217/(D86-D76)</f>
        <v>4.6752896947550672E-2</v>
      </c>
      <c r="E218" s="110">
        <f>E217/(E86-E76)</f>
        <v>-1.5969736859531496</v>
      </c>
      <c r="F218" s="110">
        <f>F217/(F86)</f>
        <v>9.4998343917036016E-2</v>
      </c>
      <c r="G218" s="110">
        <f>G217/(G86-G76)</f>
        <v>8.2364242312292953E-3</v>
      </c>
    </row>
    <row r="219" spans="1:7" x14ac:dyDescent="0.25">
      <c r="A219" s="5"/>
      <c r="C219" s="111"/>
      <c r="D219" s="111"/>
      <c r="E219" s="111"/>
      <c r="F219" s="111"/>
      <c r="G219" s="111"/>
    </row>
    <row r="220" spans="1:7" x14ac:dyDescent="0.25">
      <c r="A220" s="5"/>
      <c r="B220" s="112" t="str">
        <f>B1</f>
        <v xml:space="preserve">Horizon FY 22 </v>
      </c>
      <c r="C220" s="112" t="str">
        <f>C1</f>
        <v>Operating</v>
      </c>
      <c r="D220" s="112" t="str">
        <f>D1</f>
        <v>Weights</v>
      </c>
      <c r="E220" s="112" t="str">
        <f>E1</f>
        <v>SPED</v>
      </c>
      <c r="F220" s="112" t="str">
        <f t="shared" ref="F220:G220" si="108">F1</f>
        <v>NSLP</v>
      </c>
      <c r="G220" s="112" t="str">
        <f t="shared" si="108"/>
        <v>Saddle</v>
      </c>
    </row>
    <row r="221" spans="1:7" x14ac:dyDescent="0.25">
      <c r="A221" s="5"/>
      <c r="C221" s="109"/>
      <c r="D221" s="109"/>
      <c r="E221" s="109"/>
      <c r="F221" s="109"/>
      <c r="G221" s="109"/>
    </row>
    <row r="222" spans="1:7" x14ac:dyDescent="0.25">
      <c r="A222" s="5"/>
      <c r="B222" s="112"/>
      <c r="C222" s="71"/>
      <c r="D222" s="71"/>
      <c r="E222" s="71"/>
      <c r="F222" s="71"/>
      <c r="G222" s="71"/>
    </row>
    <row r="223" spans="1:7" x14ac:dyDescent="0.25">
      <c r="A223" s="4"/>
      <c r="C223" s="109"/>
      <c r="D223" s="109"/>
      <c r="E223" s="109"/>
      <c r="F223" s="109"/>
      <c r="G223" s="109"/>
    </row>
    <row r="224" spans="1:7" x14ac:dyDescent="0.25">
      <c r="A224" s="4"/>
      <c r="C224" s="109"/>
      <c r="D224" s="109"/>
      <c r="E224" s="109"/>
      <c r="F224" s="109"/>
      <c r="G224" s="109"/>
    </row>
  </sheetData>
  <pageMargins left="0.7" right="0.7" top="0.75" bottom="0.75" header="0.3" footer="0.3"/>
  <pageSetup scale="64" orientation="portrait" r:id="rId1"/>
  <rowBreaks count="2" manualBreakCount="2">
    <brk id="72" max="6" man="1"/>
    <brk id="149" max="6" man="1"/>
  </rowBreaks>
  <colBreaks count="1" manualBreakCount="1">
    <brk id="7" max="221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266"/>
  <sheetViews>
    <sheetView topLeftCell="A186" zoomScale="75" zoomScaleNormal="75" workbookViewId="0">
      <pane xSplit="1" topLeftCell="B1" activePane="topRight" state="frozen"/>
      <selection pane="topRight" activeCell="H225" sqref="H225"/>
    </sheetView>
  </sheetViews>
  <sheetFormatPr defaultRowHeight="15" x14ac:dyDescent="0.25"/>
  <cols>
    <col min="1" max="1" width="50.140625" bestFit="1" customWidth="1"/>
    <col min="2" max="2" width="16.42578125" customWidth="1"/>
    <col min="3" max="3" width="14.85546875" customWidth="1"/>
    <col min="4" max="4" width="16.42578125" customWidth="1"/>
    <col min="5" max="7" width="14.85546875" customWidth="1"/>
    <col min="10" max="10" width="9.5703125" customWidth="1"/>
  </cols>
  <sheetData>
    <row r="1" spans="1:14" x14ac:dyDescent="0.25">
      <c r="A1" s="1" t="s">
        <v>300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25">
      <c r="A2" s="6" t="s">
        <v>7</v>
      </c>
      <c r="B2" s="7">
        <f>'FY23'!X2</f>
        <v>7293</v>
      </c>
      <c r="C2" s="7">
        <f>'FY24'!X2</f>
        <v>7387.8089999999993</v>
      </c>
      <c r="D2" s="7">
        <f>'FY25'!X2</f>
        <v>7483.8505169999989</v>
      </c>
      <c r="E2" s="7">
        <f>'FY26'!X2</f>
        <v>7581.140573720998</v>
      </c>
      <c r="F2" s="7">
        <f>'FY27'!X2</f>
        <v>7679.6954011793705</v>
      </c>
      <c r="G2" s="7">
        <f>'FY28'!X2</f>
        <v>7779.5314413947017</v>
      </c>
      <c r="J2" s="157">
        <f>(C2-B2)/B2</f>
        <v>1.2999999999999902E-2</v>
      </c>
      <c r="K2" s="157">
        <f t="shared" ref="K2:N2" si="0">(D2-C2)/C2</f>
        <v>1.2999999999999954E-2</v>
      </c>
      <c r="L2" s="157">
        <f t="shared" si="0"/>
        <v>1.2999999999999871E-2</v>
      </c>
      <c r="M2" s="157">
        <f t="shared" si="0"/>
        <v>1.2999999999999942E-2</v>
      </c>
      <c r="N2" s="157">
        <f t="shared" si="0"/>
        <v>1.299999999999992E-2</v>
      </c>
    </row>
    <row r="3" spans="1:14" hidden="1" x14ac:dyDescent="0.25">
      <c r="A3" s="8"/>
      <c r="B3" s="7">
        <f>'FY23'!AV3</f>
        <v>0</v>
      </c>
      <c r="C3" s="7">
        <f>'FY24'!BB3</f>
        <v>0</v>
      </c>
      <c r="D3" s="7">
        <f>'FY25'!BB3</f>
        <v>0</v>
      </c>
      <c r="E3" s="7">
        <f>'FY26'!BB3</f>
        <v>0</v>
      </c>
      <c r="F3" s="7">
        <f>'FY27'!BB3</f>
        <v>0</v>
      </c>
      <c r="G3" s="7">
        <f>'FY27'!BC3</f>
        <v>0</v>
      </c>
    </row>
    <row r="4" spans="1:14" hidden="1" x14ac:dyDescent="0.25">
      <c r="A4" s="8"/>
      <c r="B4" s="7">
        <f>'FY23'!AV4</f>
        <v>0</v>
      </c>
      <c r="C4" s="7">
        <f>'FY24'!BB4</f>
        <v>0</v>
      </c>
      <c r="D4" s="7">
        <f>'FY25'!BB4</f>
        <v>0</v>
      </c>
      <c r="E4" s="7">
        <f>'FY26'!BB4</f>
        <v>0</v>
      </c>
      <c r="F4" s="7">
        <f>'FY27'!BB4</f>
        <v>0</v>
      </c>
      <c r="G4" s="7">
        <f>'FY27'!BC4</f>
        <v>0</v>
      </c>
    </row>
    <row r="5" spans="1:14" x14ac:dyDescent="0.25">
      <c r="A5" s="8" t="s">
        <v>8</v>
      </c>
      <c r="B5" s="9">
        <f>B6+B7+B8+B9+B10+B11+B12+B13+B14+B15+B16+B17+B18</f>
        <v>1199</v>
      </c>
      <c r="C5" s="9">
        <f t="shared" ref="C5:G5" si="1">C6+C7+C8+C9+C10+C11+C12+C13+C14+C15+C16+C17+C18</f>
        <v>1215</v>
      </c>
      <c r="D5" s="9">
        <f t="shared" si="1"/>
        <v>1215</v>
      </c>
      <c r="E5" s="9">
        <f t="shared" si="1"/>
        <v>1215</v>
      </c>
      <c r="F5" s="9">
        <f t="shared" si="1"/>
        <v>1215</v>
      </c>
      <c r="G5" s="9">
        <f t="shared" si="1"/>
        <v>1215</v>
      </c>
    </row>
    <row r="6" spans="1:14" x14ac:dyDescent="0.25">
      <c r="A6" s="10" t="s">
        <v>9</v>
      </c>
      <c r="B6" s="11">
        <f>'FY23'!X6</f>
        <v>125</v>
      </c>
      <c r="C6" s="11">
        <f>'FY24'!X6</f>
        <v>125</v>
      </c>
      <c r="D6" s="11">
        <f>'FY25'!X6</f>
        <v>125</v>
      </c>
      <c r="E6" s="11">
        <f>'FY26'!X6</f>
        <v>125</v>
      </c>
      <c r="F6" s="94">
        <f>'FY27'!X6</f>
        <v>125</v>
      </c>
      <c r="G6" s="94">
        <f>'FY28'!X6</f>
        <v>125</v>
      </c>
      <c r="I6" s="155">
        <f>'FY23'!Y6</f>
        <v>5</v>
      </c>
      <c r="J6" s="327">
        <f>'FY24'!Y6</f>
        <v>5</v>
      </c>
      <c r="K6" s="327">
        <f>'FY25'!Y6</f>
        <v>5</v>
      </c>
      <c r="L6" s="327">
        <f>'FY26'!Y6</f>
        <v>5</v>
      </c>
      <c r="M6" s="327">
        <f>'FY27'!Y6</f>
        <v>5</v>
      </c>
      <c r="N6" s="327">
        <f>'FY28'!Y6</f>
        <v>5</v>
      </c>
    </row>
    <row r="7" spans="1:14" x14ac:dyDescent="0.25">
      <c r="A7" s="12" t="s">
        <v>10</v>
      </c>
      <c r="B7" s="11">
        <f>'FY23'!X7</f>
        <v>125</v>
      </c>
      <c r="C7" s="11">
        <f>'FY24'!X7</f>
        <v>125</v>
      </c>
      <c r="D7" s="11">
        <f>'FY25'!X7</f>
        <v>125</v>
      </c>
      <c r="E7" s="11">
        <f>'FY26'!X7</f>
        <v>125</v>
      </c>
      <c r="F7" s="94">
        <f>'FY27'!X7</f>
        <v>125</v>
      </c>
      <c r="G7" s="94">
        <f>'FY28'!X7</f>
        <v>125</v>
      </c>
      <c r="I7" s="155">
        <f>'FY23'!Y7</f>
        <v>5</v>
      </c>
      <c r="J7" s="327">
        <f>'FY24'!Y7</f>
        <v>5</v>
      </c>
      <c r="K7" s="327">
        <f>'FY25'!Y7</f>
        <v>5</v>
      </c>
      <c r="L7" s="327">
        <f>'FY26'!Y7</f>
        <v>5</v>
      </c>
      <c r="M7" s="327">
        <f>'FY27'!Y7</f>
        <v>5</v>
      </c>
      <c r="N7" s="327">
        <f>'FY28'!Y7</f>
        <v>5</v>
      </c>
    </row>
    <row r="8" spans="1:14" x14ac:dyDescent="0.25">
      <c r="A8" s="12" t="s">
        <v>11</v>
      </c>
      <c r="B8" s="11">
        <f>'FY23'!X8</f>
        <v>125</v>
      </c>
      <c r="C8" s="11">
        <f>'FY24'!X8</f>
        <v>125</v>
      </c>
      <c r="D8" s="11">
        <f>'FY25'!X8</f>
        <v>125</v>
      </c>
      <c r="E8" s="11">
        <f>'FY26'!X8</f>
        <v>125</v>
      </c>
      <c r="F8" s="94">
        <f>'FY27'!X8</f>
        <v>125</v>
      </c>
      <c r="G8" s="94">
        <f>'FY28'!X8</f>
        <v>125</v>
      </c>
      <c r="I8" s="155">
        <f>'FY23'!Y8</f>
        <v>5</v>
      </c>
      <c r="J8" s="327">
        <f>'FY24'!Y8</f>
        <v>5</v>
      </c>
      <c r="K8" s="327">
        <f>'FY25'!Y8</f>
        <v>5</v>
      </c>
      <c r="L8" s="327">
        <f>'FY26'!Y8</f>
        <v>5</v>
      </c>
      <c r="M8" s="327">
        <f>'FY27'!Y8</f>
        <v>5</v>
      </c>
      <c r="N8" s="327">
        <f>'FY28'!Y8</f>
        <v>5</v>
      </c>
    </row>
    <row r="9" spans="1:14" x14ac:dyDescent="0.25">
      <c r="A9" s="13" t="s">
        <v>12</v>
      </c>
      <c r="B9" s="11">
        <f>'FY23'!X9</f>
        <v>156</v>
      </c>
      <c r="C9" s="11">
        <f>'FY24'!X9</f>
        <v>156</v>
      </c>
      <c r="D9" s="11">
        <f>'FY25'!X9</f>
        <v>156</v>
      </c>
      <c r="E9" s="11">
        <f>'FY26'!X9</f>
        <v>156</v>
      </c>
      <c r="F9" s="94">
        <f>'FY27'!X9</f>
        <v>156</v>
      </c>
      <c r="G9" s="94">
        <f>'FY28'!X9</f>
        <v>156</v>
      </c>
      <c r="I9" s="155">
        <f>'FY23'!Y9</f>
        <v>6</v>
      </c>
      <c r="J9" s="327">
        <f>'FY24'!Y9</f>
        <v>6</v>
      </c>
      <c r="K9" s="327">
        <f>'FY25'!Y9</f>
        <v>6</v>
      </c>
      <c r="L9" s="327">
        <f>'FY26'!Y9</f>
        <v>6</v>
      </c>
      <c r="M9" s="327">
        <f>'FY27'!Y9</f>
        <v>6</v>
      </c>
      <c r="N9" s="327">
        <f>'FY28'!Y9</f>
        <v>6</v>
      </c>
    </row>
    <row r="10" spans="1:14" x14ac:dyDescent="0.25">
      <c r="A10" s="13" t="s">
        <v>13</v>
      </c>
      <c r="B10" s="11">
        <f>'FY23'!X10</f>
        <v>156</v>
      </c>
      <c r="C10" s="11">
        <f>'FY24'!X10</f>
        <v>156</v>
      </c>
      <c r="D10" s="11">
        <f>'FY25'!X10</f>
        <v>156</v>
      </c>
      <c r="E10" s="11">
        <f>'FY26'!X10</f>
        <v>156</v>
      </c>
      <c r="F10" s="94">
        <f>'FY27'!X10</f>
        <v>156</v>
      </c>
      <c r="G10" s="94">
        <f>'FY28'!X10</f>
        <v>156</v>
      </c>
      <c r="I10" s="155">
        <f>'FY23'!Y10</f>
        <v>6</v>
      </c>
      <c r="J10" s="327">
        <f>'FY24'!Y10</f>
        <v>6</v>
      </c>
      <c r="K10" s="327">
        <f>'FY25'!Y10</f>
        <v>6</v>
      </c>
      <c r="L10" s="327">
        <f>'FY26'!Y10</f>
        <v>6</v>
      </c>
      <c r="M10" s="327">
        <f>'FY27'!Y10</f>
        <v>6</v>
      </c>
      <c r="N10" s="327">
        <f>'FY28'!Y10</f>
        <v>6</v>
      </c>
    </row>
    <row r="11" spans="1:14" x14ac:dyDescent="0.25">
      <c r="A11" s="13" t="s">
        <v>14</v>
      </c>
      <c r="B11" s="11">
        <f>'FY23'!X11</f>
        <v>156</v>
      </c>
      <c r="C11" s="11">
        <f>'FY24'!X11</f>
        <v>156</v>
      </c>
      <c r="D11" s="11">
        <f>'FY25'!X11</f>
        <v>156</v>
      </c>
      <c r="E11" s="11">
        <f>'FY26'!X11</f>
        <v>156</v>
      </c>
      <c r="F11" s="94">
        <f>'FY27'!X11</f>
        <v>156</v>
      </c>
      <c r="G11" s="94">
        <f>'FY28'!X11</f>
        <v>156</v>
      </c>
      <c r="I11" s="155">
        <f>'FY23'!Y11</f>
        <v>6</v>
      </c>
      <c r="J11" s="327">
        <f>'FY24'!Y11</f>
        <v>6</v>
      </c>
      <c r="K11" s="327">
        <f>'FY25'!Y11</f>
        <v>6</v>
      </c>
      <c r="L11" s="327">
        <f>'FY26'!Y11</f>
        <v>6</v>
      </c>
      <c r="M11" s="327">
        <f>'FY27'!Y11</f>
        <v>6</v>
      </c>
      <c r="N11" s="327">
        <f>'FY28'!Y11</f>
        <v>6</v>
      </c>
    </row>
    <row r="12" spans="1:14" x14ac:dyDescent="0.25">
      <c r="A12" s="13" t="s">
        <v>15</v>
      </c>
      <c r="B12" s="11">
        <f>'FY23'!X12</f>
        <v>124</v>
      </c>
      <c r="C12" s="11">
        <f>'FY24'!X12</f>
        <v>124</v>
      </c>
      <c r="D12" s="11">
        <f>'FY25'!X12</f>
        <v>124</v>
      </c>
      <c r="E12" s="11">
        <f>'FY26'!X12</f>
        <v>124</v>
      </c>
      <c r="F12" s="94">
        <f>'FY27'!X12</f>
        <v>124</v>
      </c>
      <c r="G12" s="94">
        <f>'FY28'!X12</f>
        <v>124</v>
      </c>
      <c r="I12" s="155">
        <f>'FY23'!Y12</f>
        <v>4</v>
      </c>
      <c r="J12" s="327">
        <f>'FY24'!Y12</f>
        <v>4</v>
      </c>
      <c r="K12" s="327">
        <f>'FY25'!Y12</f>
        <v>4</v>
      </c>
      <c r="L12" s="327">
        <f>'FY26'!Y12</f>
        <v>4</v>
      </c>
      <c r="M12" s="327">
        <f>'FY27'!Y12</f>
        <v>4</v>
      </c>
      <c r="N12" s="327">
        <f>'FY28'!Y12</f>
        <v>4</v>
      </c>
    </row>
    <row r="13" spans="1:14" x14ac:dyDescent="0.25">
      <c r="A13" s="13" t="s">
        <v>16</v>
      </c>
      <c r="B13" s="11">
        <f>'FY23'!X13</f>
        <v>118</v>
      </c>
      <c r="C13" s="11">
        <f>'FY24'!X13</f>
        <v>124</v>
      </c>
      <c r="D13" s="11">
        <f>'FY25'!X13</f>
        <v>124</v>
      </c>
      <c r="E13" s="11">
        <f>'FY26'!X13</f>
        <v>124</v>
      </c>
      <c r="F13" s="94">
        <f>'FY27'!X13</f>
        <v>124</v>
      </c>
      <c r="G13" s="94">
        <f>'FY28'!X13</f>
        <v>124</v>
      </c>
      <c r="I13" s="155">
        <f>'FY23'!Y13</f>
        <v>4</v>
      </c>
      <c r="J13" s="327">
        <f>'FY24'!Y13</f>
        <v>4</v>
      </c>
      <c r="K13" s="327">
        <f>'FY25'!Y13</f>
        <v>4</v>
      </c>
      <c r="L13" s="327">
        <f>'FY26'!Y13</f>
        <v>4</v>
      </c>
      <c r="M13" s="327">
        <f>'FY27'!Y13</f>
        <v>4</v>
      </c>
      <c r="N13" s="327">
        <f>'FY28'!Y13</f>
        <v>4</v>
      </c>
    </row>
    <row r="14" spans="1:14" x14ac:dyDescent="0.25">
      <c r="A14" s="13" t="s">
        <v>17</v>
      </c>
      <c r="B14" s="11">
        <f>'FY23'!X14</f>
        <v>114</v>
      </c>
      <c r="C14" s="11">
        <f>'FY24'!X14</f>
        <v>124</v>
      </c>
      <c r="D14" s="11">
        <f>'FY25'!X14</f>
        <v>124</v>
      </c>
      <c r="E14" s="11">
        <f>'FY26'!X14</f>
        <v>124</v>
      </c>
      <c r="F14" s="94">
        <f>'FY27'!X14</f>
        <v>124</v>
      </c>
      <c r="G14" s="94">
        <f>'FY28'!X14</f>
        <v>124</v>
      </c>
      <c r="I14" s="155">
        <f>'FY23'!Y14</f>
        <v>4</v>
      </c>
      <c r="J14" s="327">
        <f>'FY24'!Y14</f>
        <v>4</v>
      </c>
      <c r="K14" s="327">
        <f>'FY25'!Y14</f>
        <v>4</v>
      </c>
      <c r="L14" s="327">
        <f>'FY26'!Y14</f>
        <v>4</v>
      </c>
      <c r="M14" s="327">
        <f>'FY27'!Y14</f>
        <v>4</v>
      </c>
      <c r="N14" s="327">
        <f>'FY28'!Y14</f>
        <v>4</v>
      </c>
    </row>
    <row r="15" spans="1:14" x14ac:dyDescent="0.25">
      <c r="A15" s="13" t="s">
        <v>18</v>
      </c>
      <c r="B15" s="11">
        <f>'FY23'!X15</f>
        <v>0</v>
      </c>
      <c r="C15" s="11">
        <f>'FY24'!X15</f>
        <v>0</v>
      </c>
      <c r="D15" s="11">
        <f>'FY25'!X15</f>
        <v>0</v>
      </c>
      <c r="E15" s="11">
        <f>'FY26'!X15</f>
        <v>0</v>
      </c>
      <c r="F15" s="94">
        <f>'FY27'!X15</f>
        <v>0</v>
      </c>
      <c r="G15" s="94">
        <f>'FY28'!X15</f>
        <v>0</v>
      </c>
      <c r="I15" s="155">
        <f>'FY23'!Y15</f>
        <v>0</v>
      </c>
      <c r="J15" s="327">
        <f>'FY24'!Y15</f>
        <v>0</v>
      </c>
      <c r="K15" s="327">
        <f>'FY25'!Y15</f>
        <v>0</v>
      </c>
      <c r="L15" s="327">
        <f>'FY26'!Y15</f>
        <v>0</v>
      </c>
      <c r="M15" s="327">
        <f>'FY27'!Y15</f>
        <v>0</v>
      </c>
      <c r="N15" s="327">
        <f>'FY28'!Y15</f>
        <v>0</v>
      </c>
    </row>
    <row r="16" spans="1:14" x14ac:dyDescent="0.25">
      <c r="A16" s="13" t="s">
        <v>19</v>
      </c>
      <c r="B16" s="11">
        <f>'FY23'!X16</f>
        <v>0</v>
      </c>
      <c r="C16" s="11">
        <f>'FY24'!X16</f>
        <v>0</v>
      </c>
      <c r="D16" s="11">
        <f>'FY25'!X16</f>
        <v>0</v>
      </c>
      <c r="E16" s="11">
        <f>'FY26'!X16</f>
        <v>0</v>
      </c>
      <c r="F16" s="94">
        <f>'FY27'!X16</f>
        <v>0</v>
      </c>
      <c r="G16" s="94">
        <f>'FY28'!X16</f>
        <v>0</v>
      </c>
      <c r="I16" s="155">
        <f>'FY23'!Y16</f>
        <v>0</v>
      </c>
      <c r="J16" s="327">
        <f>'FY24'!Y16</f>
        <v>0</v>
      </c>
      <c r="K16" s="327">
        <f>'FY25'!Y16</f>
        <v>0</v>
      </c>
      <c r="L16" s="327">
        <f>'FY26'!Y16</f>
        <v>0</v>
      </c>
      <c r="M16" s="327">
        <f>'FY27'!Y16</f>
        <v>0</v>
      </c>
      <c r="N16" s="327">
        <f>'FY28'!Y16</f>
        <v>0</v>
      </c>
    </row>
    <row r="17" spans="1:14" x14ac:dyDescent="0.25">
      <c r="A17" s="13" t="s">
        <v>20</v>
      </c>
      <c r="B17" s="11">
        <f>'FY23'!X17</f>
        <v>0</v>
      </c>
      <c r="C17" s="11">
        <f>'FY24'!X17</f>
        <v>0</v>
      </c>
      <c r="D17" s="11">
        <f>'FY25'!X17</f>
        <v>0</v>
      </c>
      <c r="E17" s="11">
        <f>'FY26'!X17</f>
        <v>0</v>
      </c>
      <c r="F17" s="94">
        <f>'FY27'!X17</f>
        <v>0</v>
      </c>
      <c r="G17" s="94">
        <f>'FY28'!X17</f>
        <v>0</v>
      </c>
      <c r="I17" s="155">
        <f>'FY23'!Y17</f>
        <v>0</v>
      </c>
      <c r="J17" s="327">
        <f>'FY24'!Y17</f>
        <v>0</v>
      </c>
      <c r="K17" s="327">
        <f>'FY25'!Y17</f>
        <v>0</v>
      </c>
      <c r="L17" s="327">
        <f>'FY26'!Y17</f>
        <v>0</v>
      </c>
      <c r="M17" s="327">
        <f>'FY27'!Y17</f>
        <v>0</v>
      </c>
      <c r="N17" s="327">
        <f>'FY28'!Y17</f>
        <v>0</v>
      </c>
    </row>
    <row r="18" spans="1:14" x14ac:dyDescent="0.25">
      <c r="A18" s="13" t="s">
        <v>21</v>
      </c>
      <c r="B18" s="11">
        <f>'FY23'!X18</f>
        <v>0</v>
      </c>
      <c r="C18" s="11">
        <f>'FY24'!X18</f>
        <v>0</v>
      </c>
      <c r="D18" s="11">
        <f>'FY25'!X18</f>
        <v>0</v>
      </c>
      <c r="E18" s="11">
        <f>'FY26'!X18</f>
        <v>0</v>
      </c>
      <c r="F18" s="94">
        <f>'FY27'!X18</f>
        <v>0</v>
      </c>
      <c r="G18" s="94">
        <f>'FY28'!X18</f>
        <v>0</v>
      </c>
      <c r="I18" s="155">
        <f>'FY23'!Y18</f>
        <v>0</v>
      </c>
      <c r="J18" s="327">
        <f>'FY24'!Y18</f>
        <v>0</v>
      </c>
      <c r="K18" s="327">
        <f>'FY25'!Y18</f>
        <v>0</v>
      </c>
      <c r="L18" s="327">
        <f>'FY26'!Y18</f>
        <v>0</v>
      </c>
      <c r="M18" s="327">
        <f>'FY27'!Y18</f>
        <v>0</v>
      </c>
      <c r="N18" s="327">
        <f>'FY28'!Y18</f>
        <v>0</v>
      </c>
    </row>
    <row r="19" spans="1:14" x14ac:dyDescent="0.25">
      <c r="A19" s="13" t="s">
        <v>8</v>
      </c>
      <c r="B19" s="9">
        <f>SUM(B6:B18)</f>
        <v>1199</v>
      </c>
      <c r="C19" s="9">
        <f t="shared" ref="C19:G19" si="2">SUM(C6:C18)</f>
        <v>1215</v>
      </c>
      <c r="D19" s="9">
        <f t="shared" si="2"/>
        <v>1215</v>
      </c>
      <c r="E19" s="9">
        <f t="shared" si="2"/>
        <v>1215</v>
      </c>
      <c r="F19" s="9">
        <f t="shared" si="2"/>
        <v>1215</v>
      </c>
      <c r="G19" s="9">
        <f t="shared" si="2"/>
        <v>1215</v>
      </c>
      <c r="I19" s="155">
        <f>SUM(I6:I18)</f>
        <v>45</v>
      </c>
      <c r="J19" s="155">
        <f>SUM(J6:J18)</f>
        <v>45</v>
      </c>
      <c r="K19" s="155">
        <f>SUM(K6:K18)</f>
        <v>45</v>
      </c>
      <c r="L19" s="155">
        <f t="shared" ref="L19:N19" si="3">SUM(L6:L18)</f>
        <v>45</v>
      </c>
      <c r="M19" s="155">
        <f t="shared" si="3"/>
        <v>45</v>
      </c>
      <c r="N19" s="155">
        <f t="shared" si="3"/>
        <v>45</v>
      </c>
    </row>
    <row r="20" spans="1:14" x14ac:dyDescent="0.25">
      <c r="A20" s="16"/>
      <c r="B20" s="7"/>
      <c r="C20" s="7"/>
      <c r="D20" s="7"/>
      <c r="E20" s="7"/>
      <c r="F20" s="7"/>
      <c r="G20" s="7"/>
    </row>
    <row r="21" spans="1:14" x14ac:dyDescent="0.25">
      <c r="A21" s="17" t="s">
        <v>22</v>
      </c>
      <c r="B21" s="18"/>
      <c r="C21" s="18"/>
      <c r="D21" s="18"/>
      <c r="E21" s="18"/>
      <c r="F21" s="18"/>
      <c r="G21" s="18"/>
    </row>
    <row r="22" spans="1:14" x14ac:dyDescent="0.25">
      <c r="A22" s="140" t="s">
        <v>23</v>
      </c>
      <c r="B22" s="11">
        <f>'FY23'!X22</f>
        <v>108</v>
      </c>
      <c r="C22" s="11">
        <f>'FY24'!X22</f>
        <v>109.44120100083403</v>
      </c>
      <c r="D22" s="11">
        <f>'FY25'!X22</f>
        <v>109.44120100083403</v>
      </c>
      <c r="E22" s="11">
        <f>'FY26'!X22</f>
        <v>109.44120100083403</v>
      </c>
      <c r="F22" s="94">
        <f>'FY27'!X22</f>
        <v>109.44120100083403</v>
      </c>
      <c r="G22" s="94">
        <f>'FY28'!X22</f>
        <v>109.44120100083403</v>
      </c>
      <c r="J22" s="278">
        <f>C22/C19</f>
        <v>9.0075062552126772E-2</v>
      </c>
    </row>
    <row r="23" spans="1:14" x14ac:dyDescent="0.25">
      <c r="A23" s="140" t="s">
        <v>24</v>
      </c>
      <c r="B23" s="11">
        <f>'FY23'!X23</f>
        <v>8</v>
      </c>
      <c r="C23" s="11">
        <f>'FY24'!X23</f>
        <v>8.1067556296914098</v>
      </c>
      <c r="D23" s="11">
        <f>'FY25'!X23</f>
        <v>8.1067556296914098</v>
      </c>
      <c r="E23" s="11">
        <f>'FY26'!X23</f>
        <v>8.1067556296914098</v>
      </c>
      <c r="F23" s="94">
        <f>'FY27'!X23</f>
        <v>8.1067556296914098</v>
      </c>
      <c r="G23" s="94">
        <f>'FY28'!X23</f>
        <v>8.1067556296914098</v>
      </c>
      <c r="J23" s="278">
        <f>C23/C19</f>
        <v>6.6722268557130949E-3</v>
      </c>
    </row>
    <row r="24" spans="1:14" x14ac:dyDescent="0.25">
      <c r="A24" s="140" t="s">
        <v>25</v>
      </c>
      <c r="B24" s="11">
        <f>'FY23'!X24</f>
        <v>77</v>
      </c>
      <c r="C24" s="11">
        <f>'FY24'!X24</f>
        <v>78.027522935779814</v>
      </c>
      <c r="D24" s="11">
        <f>'FY25'!X24</f>
        <v>78.027522935779814</v>
      </c>
      <c r="E24" s="11">
        <f>'FY26'!X24</f>
        <v>78.027522935779814</v>
      </c>
      <c r="F24" s="94">
        <f>'FY27'!X24</f>
        <v>78.027522935779814</v>
      </c>
      <c r="G24" s="94">
        <f>'FY28'!X24</f>
        <v>78.027522935779814</v>
      </c>
    </row>
    <row r="25" spans="1:14" x14ac:dyDescent="0.25">
      <c r="A25" s="140" t="s">
        <v>26</v>
      </c>
      <c r="B25" s="354">
        <f>'FY23'!X25</f>
        <v>0.13320000000000001</v>
      </c>
      <c r="C25" s="354">
        <f>'FY24'!X25</f>
        <v>0.15</v>
      </c>
      <c r="D25" s="354">
        <f>'FY25'!X25</f>
        <v>0.15</v>
      </c>
      <c r="E25" s="354">
        <f>'FY26'!X25</f>
        <v>0.15</v>
      </c>
      <c r="F25" s="355">
        <f>'FY27'!X25</f>
        <v>0.15</v>
      </c>
      <c r="G25" s="355">
        <f>'FY28'!X25</f>
        <v>0.15</v>
      </c>
    </row>
    <row r="26" spans="1:14" x14ac:dyDescent="0.25">
      <c r="A26" s="140" t="s">
        <v>27</v>
      </c>
      <c r="B26" s="11">
        <f>'FY23'!X26</f>
        <v>131</v>
      </c>
      <c r="C26" s="11">
        <f>'FY24'!X26</f>
        <v>132.74812343619683</v>
      </c>
      <c r="D26" s="11">
        <f>'FY25'!X26</f>
        <v>132.74812343619683</v>
      </c>
      <c r="E26" s="11">
        <f>'FY26'!X26</f>
        <v>132.74812343619683</v>
      </c>
      <c r="F26" s="94">
        <f>'FY27'!X26</f>
        <v>132.74812343619683</v>
      </c>
      <c r="G26" s="94">
        <f>'FY28'!X26</f>
        <v>132.74812343619683</v>
      </c>
    </row>
    <row r="27" spans="1:14" x14ac:dyDescent="0.25">
      <c r="A27" s="20"/>
      <c r="B27" s="7"/>
      <c r="C27" s="7"/>
      <c r="D27" s="7"/>
      <c r="E27" s="7"/>
      <c r="F27" s="7">
        <f t="shared" ref="F27:G27" si="4">SUM(B27:E27)</f>
        <v>0</v>
      </c>
      <c r="G27" s="7">
        <f t="shared" si="4"/>
        <v>0</v>
      </c>
    </row>
    <row r="28" spans="1:14" x14ac:dyDescent="0.25">
      <c r="A28" s="17" t="s">
        <v>28</v>
      </c>
      <c r="B28" s="18"/>
      <c r="C28" s="18"/>
      <c r="D28" s="18"/>
      <c r="E28" s="18"/>
      <c r="F28" s="18"/>
      <c r="G28" s="18"/>
    </row>
    <row r="29" spans="1:14" x14ac:dyDescent="0.25">
      <c r="A29" s="21" t="s">
        <v>29</v>
      </c>
      <c r="B29" s="152">
        <f>'FY23'!X29</f>
        <v>45</v>
      </c>
      <c r="C29" s="152">
        <f>'FY24'!X29</f>
        <v>45</v>
      </c>
      <c r="D29" s="152">
        <f>'FY25'!X29</f>
        <v>45</v>
      </c>
      <c r="E29" s="152">
        <f>'FY26'!X29</f>
        <v>45</v>
      </c>
      <c r="F29" s="356">
        <f>'FY27'!X29</f>
        <v>45</v>
      </c>
      <c r="G29" s="356">
        <f>'FY28'!X29</f>
        <v>45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25">
      <c r="A30" s="21" t="s">
        <v>30</v>
      </c>
      <c r="B30" s="152">
        <f>'FY23'!X30</f>
        <v>5</v>
      </c>
      <c r="C30" s="152">
        <f>'FY24'!X30</f>
        <v>5</v>
      </c>
      <c r="D30" s="152">
        <f>'FY25'!X30</f>
        <v>5</v>
      </c>
      <c r="E30" s="152">
        <f>'FY26'!X30</f>
        <v>5</v>
      </c>
      <c r="F30" s="356">
        <f>'FY27'!X30</f>
        <v>5</v>
      </c>
      <c r="G30" s="356">
        <f>'FY28'!X30</f>
        <v>5</v>
      </c>
    </row>
    <row r="31" spans="1:14" x14ac:dyDescent="0.25">
      <c r="A31" s="21" t="s">
        <v>31</v>
      </c>
      <c r="B31" s="152">
        <f>'FY23'!X31</f>
        <v>1</v>
      </c>
      <c r="C31" s="152">
        <f>'FY24'!X31</f>
        <v>1</v>
      </c>
      <c r="D31" s="152">
        <f>'FY25'!X31</f>
        <v>1</v>
      </c>
      <c r="E31" s="152">
        <f>'FY26'!X31</f>
        <v>1</v>
      </c>
      <c r="F31" s="356">
        <f>'FY27'!X31</f>
        <v>1</v>
      </c>
      <c r="G31" s="356">
        <f>'FY28'!X31</f>
        <v>1</v>
      </c>
    </row>
    <row r="32" spans="1:14" x14ac:dyDescent="0.25">
      <c r="A32" s="21" t="s">
        <v>32</v>
      </c>
      <c r="B32" s="152">
        <f>'FY23'!X32</f>
        <v>1</v>
      </c>
      <c r="C32" s="152">
        <f>'FY24'!X32</f>
        <v>1</v>
      </c>
      <c r="D32" s="152">
        <f>'FY25'!X32</f>
        <v>1</v>
      </c>
      <c r="E32" s="152">
        <f>'FY26'!X32</f>
        <v>1</v>
      </c>
      <c r="F32" s="356">
        <f>'FY27'!X32</f>
        <v>1</v>
      </c>
      <c r="G32" s="356">
        <f>'FY28'!X32</f>
        <v>1</v>
      </c>
    </row>
    <row r="33" spans="1:7" x14ac:dyDescent="0.25">
      <c r="A33" s="21" t="s">
        <v>33</v>
      </c>
      <c r="B33" s="152">
        <f>'FY23'!X33</f>
        <v>1</v>
      </c>
      <c r="C33" s="152">
        <f>'FY24'!X33</f>
        <v>1</v>
      </c>
      <c r="D33" s="152">
        <f>'FY25'!X33</f>
        <v>1</v>
      </c>
      <c r="E33" s="152">
        <f>'FY26'!X33</f>
        <v>1</v>
      </c>
      <c r="F33" s="356">
        <f>'FY27'!X33</f>
        <v>1</v>
      </c>
      <c r="G33" s="356">
        <f>'FY28'!X33</f>
        <v>1</v>
      </c>
    </row>
    <row r="34" spans="1:7" x14ac:dyDescent="0.25">
      <c r="A34" s="24" t="s">
        <v>34</v>
      </c>
      <c r="B34" s="152">
        <f>'FY23'!X34</f>
        <v>0</v>
      </c>
      <c r="C34" s="152">
        <f>'FY24'!X34</f>
        <v>0</v>
      </c>
      <c r="D34" s="152">
        <f>'FY25'!X34</f>
        <v>0</v>
      </c>
      <c r="E34" s="152">
        <f>'FY26'!X34</f>
        <v>0</v>
      </c>
      <c r="F34" s="356">
        <f>'FY27'!X34</f>
        <v>0</v>
      </c>
      <c r="G34" s="356">
        <f>'FY28'!X34</f>
        <v>0</v>
      </c>
    </row>
    <row r="35" spans="1:7" x14ac:dyDescent="0.25">
      <c r="A35" s="27" t="s">
        <v>35</v>
      </c>
      <c r="B35" s="152">
        <f>'FY23'!X35</f>
        <v>1</v>
      </c>
      <c r="C35" s="152">
        <f>'FY24'!X35</f>
        <v>1</v>
      </c>
      <c r="D35" s="152">
        <f>'FY25'!X35</f>
        <v>1</v>
      </c>
      <c r="E35" s="152">
        <f>'FY26'!X35</f>
        <v>1</v>
      </c>
      <c r="F35" s="356">
        <f>'FY27'!X35</f>
        <v>1</v>
      </c>
      <c r="G35" s="356">
        <f>'FY28'!X35</f>
        <v>1</v>
      </c>
    </row>
    <row r="36" spans="1:7" x14ac:dyDescent="0.25">
      <c r="A36" s="28" t="s">
        <v>36</v>
      </c>
      <c r="B36" s="152">
        <f>'FY23'!X36</f>
        <v>0</v>
      </c>
      <c r="C36" s="152">
        <f>'FY24'!X36</f>
        <v>0</v>
      </c>
      <c r="D36" s="152">
        <f>'FY25'!X36</f>
        <v>0</v>
      </c>
      <c r="E36" s="152">
        <f>'FY26'!X36</f>
        <v>0</v>
      </c>
      <c r="F36" s="356">
        <f>'FY27'!X36</f>
        <v>0</v>
      </c>
      <c r="G36" s="356">
        <f>'FY28'!X36</f>
        <v>0</v>
      </c>
    </row>
    <row r="37" spans="1:7" x14ac:dyDescent="0.25">
      <c r="A37" s="27" t="s">
        <v>37</v>
      </c>
      <c r="B37" s="152">
        <f>'FY23'!X37</f>
        <v>1</v>
      </c>
      <c r="C37" s="152">
        <f>'FY24'!X37</f>
        <v>1</v>
      </c>
      <c r="D37" s="152">
        <f>'FY25'!X37</f>
        <v>1</v>
      </c>
      <c r="E37" s="152">
        <f>'FY26'!X37</f>
        <v>1</v>
      </c>
      <c r="F37" s="356">
        <f>'FY27'!X37</f>
        <v>1</v>
      </c>
      <c r="G37" s="356">
        <f>'FY28'!X37</f>
        <v>1</v>
      </c>
    </row>
    <row r="38" spans="1:7" x14ac:dyDescent="0.25">
      <c r="A38" s="27" t="s">
        <v>38</v>
      </c>
      <c r="B38" s="152">
        <f>'FY23'!X38</f>
        <v>3</v>
      </c>
      <c r="C38" s="152">
        <f>'FY24'!X38</f>
        <v>3</v>
      </c>
      <c r="D38" s="152">
        <f>'FY25'!X38</f>
        <v>3</v>
      </c>
      <c r="E38" s="152">
        <f>'FY26'!X38</f>
        <v>3</v>
      </c>
      <c r="F38" s="356">
        <f>'FY27'!X38</f>
        <v>3</v>
      </c>
      <c r="G38" s="356">
        <f>'FY28'!X38</f>
        <v>3</v>
      </c>
    </row>
    <row r="39" spans="1:7" x14ac:dyDescent="0.25">
      <c r="A39" s="29" t="s">
        <v>39</v>
      </c>
      <c r="B39" s="30">
        <f>SUM(B29:B38)</f>
        <v>58</v>
      </c>
      <c r="C39" s="30">
        <f t="shared" ref="C39:G39" si="6">SUM(C29:C38)</f>
        <v>58</v>
      </c>
      <c r="D39" s="30">
        <f t="shared" si="6"/>
        <v>58</v>
      </c>
      <c r="E39" s="30">
        <f t="shared" si="6"/>
        <v>58</v>
      </c>
      <c r="F39" s="30">
        <f t="shared" si="6"/>
        <v>58</v>
      </c>
      <c r="G39" s="30">
        <f t="shared" si="6"/>
        <v>58</v>
      </c>
    </row>
    <row r="40" spans="1:7" x14ac:dyDescent="0.25">
      <c r="A40" s="31"/>
      <c r="B40" s="23"/>
      <c r="C40" s="23"/>
      <c r="D40" s="23"/>
      <c r="E40" s="23"/>
      <c r="F40" s="23"/>
      <c r="G40" s="23"/>
    </row>
    <row r="41" spans="1:7" x14ac:dyDescent="0.25">
      <c r="A41" s="17" t="s">
        <v>40</v>
      </c>
      <c r="B41" s="32" t="str">
        <f>B1</f>
        <v xml:space="preserve"> FY 23</v>
      </c>
      <c r="C41" s="32" t="str">
        <f t="shared" ref="C41:G41" si="7">C1</f>
        <v xml:space="preserve"> FY 24</v>
      </c>
      <c r="D41" s="32" t="str">
        <f t="shared" si="7"/>
        <v xml:space="preserve"> FY 25</v>
      </c>
      <c r="E41" s="32" t="str">
        <f t="shared" si="7"/>
        <v xml:space="preserve"> FY 26</v>
      </c>
      <c r="F41" s="32" t="str">
        <f t="shared" si="7"/>
        <v xml:space="preserve"> FY 27</v>
      </c>
      <c r="G41" s="32" t="str">
        <f t="shared" si="7"/>
        <v xml:space="preserve"> FY 28</v>
      </c>
    </row>
    <row r="42" spans="1:7" x14ac:dyDescent="0.25">
      <c r="A42" s="21" t="s">
        <v>41</v>
      </c>
      <c r="B42" s="152">
        <f>'FY23'!X42</f>
        <v>1</v>
      </c>
      <c r="C42" s="152">
        <f>'FY24'!X42</f>
        <v>1</v>
      </c>
      <c r="D42" s="152">
        <f>'FY25'!X42</f>
        <v>1</v>
      </c>
      <c r="E42" s="152">
        <f>'FY26'!X42</f>
        <v>1</v>
      </c>
      <c r="F42" s="356">
        <f>'FY27'!X42</f>
        <v>1</v>
      </c>
      <c r="G42" s="356">
        <f>'FY28'!X42</f>
        <v>1</v>
      </c>
    </row>
    <row r="43" spans="1:7" x14ac:dyDescent="0.25">
      <c r="A43" s="21" t="s">
        <v>42</v>
      </c>
      <c r="B43" s="152">
        <f>'FY23'!X43</f>
        <v>2</v>
      </c>
      <c r="C43" s="152">
        <f>'FY24'!X43</f>
        <v>2</v>
      </c>
      <c r="D43" s="152">
        <f>'FY25'!X43</f>
        <v>2</v>
      </c>
      <c r="E43" s="152">
        <f>'FY26'!X43</f>
        <v>2</v>
      </c>
      <c r="F43" s="356">
        <f>'FY27'!X43</f>
        <v>2</v>
      </c>
      <c r="G43" s="356">
        <f>'FY28'!X43</f>
        <v>2</v>
      </c>
    </row>
    <row r="44" spans="1:7" x14ac:dyDescent="0.25">
      <c r="A44" s="34" t="s">
        <v>43</v>
      </c>
      <c r="B44" s="152">
        <f>'FY23'!X44</f>
        <v>0</v>
      </c>
      <c r="C44" s="152">
        <f>'FY24'!X44</f>
        <v>0</v>
      </c>
      <c r="D44" s="152">
        <f>'FY25'!X44</f>
        <v>0</v>
      </c>
      <c r="E44" s="152">
        <f>'FY26'!X44</f>
        <v>0</v>
      </c>
      <c r="F44" s="356">
        <f>'FY27'!X44</f>
        <v>0</v>
      </c>
      <c r="G44" s="356">
        <f>'FY28'!X44</f>
        <v>0</v>
      </c>
    </row>
    <row r="45" spans="1:7" x14ac:dyDescent="0.25">
      <c r="A45" s="33" t="s">
        <v>44</v>
      </c>
      <c r="B45" s="152">
        <f>'FY23'!X45</f>
        <v>1</v>
      </c>
      <c r="C45" s="152">
        <f>'FY24'!X45</f>
        <v>1</v>
      </c>
      <c r="D45" s="152">
        <f>'FY25'!X45</f>
        <v>1</v>
      </c>
      <c r="E45" s="152">
        <f>'FY26'!X45</f>
        <v>1</v>
      </c>
      <c r="F45" s="356">
        <f>'FY27'!X45</f>
        <v>1</v>
      </c>
      <c r="G45" s="356">
        <f>'FY28'!X45</f>
        <v>1</v>
      </c>
    </row>
    <row r="46" spans="1:7" x14ac:dyDescent="0.25">
      <c r="A46" s="33" t="s">
        <v>45</v>
      </c>
      <c r="B46" s="152">
        <f>'FY23'!X46</f>
        <v>2</v>
      </c>
      <c r="C46" s="152">
        <f>'FY24'!X46</f>
        <v>2</v>
      </c>
      <c r="D46" s="152">
        <f>'FY25'!X46</f>
        <v>2</v>
      </c>
      <c r="E46" s="152">
        <f>'FY26'!X46</f>
        <v>2</v>
      </c>
      <c r="F46" s="356">
        <f>'FY27'!X46</f>
        <v>2</v>
      </c>
      <c r="G46" s="356">
        <f>'FY28'!X46</f>
        <v>2</v>
      </c>
    </row>
    <row r="47" spans="1:7" x14ac:dyDescent="0.25">
      <c r="A47" s="21" t="s">
        <v>200</v>
      </c>
      <c r="B47" s="152">
        <f>'FY23'!X47</f>
        <v>1</v>
      </c>
      <c r="C47" s="152">
        <f>'FY24'!X47</f>
        <v>1</v>
      </c>
      <c r="D47" s="152">
        <f>'FY25'!X47</f>
        <v>1</v>
      </c>
      <c r="E47" s="152">
        <f>'FY26'!X47</f>
        <v>1</v>
      </c>
      <c r="F47" s="356">
        <f>'FY27'!X47</f>
        <v>1</v>
      </c>
      <c r="G47" s="356">
        <f>'FY28'!X47</f>
        <v>1</v>
      </c>
    </row>
    <row r="48" spans="1:7" x14ac:dyDescent="0.25">
      <c r="A48" s="21" t="s">
        <v>47</v>
      </c>
      <c r="B48" s="152">
        <f>'FY23'!X48</f>
        <v>1</v>
      </c>
      <c r="C48" s="152">
        <f>'FY24'!X48</f>
        <v>1</v>
      </c>
      <c r="D48" s="152">
        <f>'FY25'!X48</f>
        <v>1</v>
      </c>
      <c r="E48" s="152">
        <f>'FY26'!X48</f>
        <v>1</v>
      </c>
      <c r="F48" s="356">
        <f>'FY27'!X48</f>
        <v>1</v>
      </c>
      <c r="G48" s="356">
        <f>'FY28'!X48</f>
        <v>1</v>
      </c>
    </row>
    <row r="49" spans="1:7" x14ac:dyDescent="0.25">
      <c r="A49" s="21" t="s">
        <v>48</v>
      </c>
      <c r="B49" s="152">
        <f>'FY23'!X49</f>
        <v>1</v>
      </c>
      <c r="C49" s="152">
        <f>'FY24'!X49</f>
        <v>1</v>
      </c>
      <c r="D49" s="152">
        <f>'FY25'!X49</f>
        <v>1</v>
      </c>
      <c r="E49" s="152">
        <f>'FY26'!X49</f>
        <v>1</v>
      </c>
      <c r="F49" s="356">
        <f>'FY27'!X49</f>
        <v>1</v>
      </c>
      <c r="G49" s="356">
        <f>'FY28'!X49</f>
        <v>1</v>
      </c>
    </row>
    <row r="50" spans="1:7" x14ac:dyDescent="0.25">
      <c r="A50" s="21" t="s">
        <v>49</v>
      </c>
      <c r="B50" s="152">
        <f>'FY23'!X50</f>
        <v>1</v>
      </c>
      <c r="C50" s="152">
        <f>'FY24'!X50</f>
        <v>1</v>
      </c>
      <c r="D50" s="152">
        <f>'FY25'!X50</f>
        <v>1</v>
      </c>
      <c r="E50" s="152">
        <f>'FY26'!X50</f>
        <v>1</v>
      </c>
      <c r="F50" s="356">
        <f>'FY27'!X50</f>
        <v>1</v>
      </c>
      <c r="G50" s="356">
        <f>'FY28'!X50</f>
        <v>1</v>
      </c>
    </row>
    <row r="51" spans="1:7" x14ac:dyDescent="0.25">
      <c r="A51" s="21" t="s">
        <v>50</v>
      </c>
      <c r="B51" s="152">
        <f>'FY23'!X51</f>
        <v>8.5</v>
      </c>
      <c r="C51" s="152">
        <f>'FY24'!X51</f>
        <v>10.5</v>
      </c>
      <c r="D51" s="152">
        <f>'FY25'!X51</f>
        <v>8.5</v>
      </c>
      <c r="E51" s="152">
        <f>'FY26'!X51</f>
        <v>8.5</v>
      </c>
      <c r="F51" s="356">
        <f>'FY27'!X51</f>
        <v>8.5</v>
      </c>
      <c r="G51" s="356">
        <f>'FY28'!X51</f>
        <v>8.5</v>
      </c>
    </row>
    <row r="52" spans="1:7" x14ac:dyDescent="0.25">
      <c r="A52" s="21" t="s">
        <v>51</v>
      </c>
      <c r="B52" s="152">
        <f>'FY23'!X52</f>
        <v>2</v>
      </c>
      <c r="C52" s="152">
        <f>'FY24'!X52</f>
        <v>2</v>
      </c>
      <c r="D52" s="152">
        <f>'FY25'!X52</f>
        <v>2</v>
      </c>
      <c r="E52" s="152">
        <f>'FY26'!X52</f>
        <v>2</v>
      </c>
      <c r="F52" s="356">
        <f>'FY27'!X52</f>
        <v>2</v>
      </c>
      <c r="G52" s="356">
        <f>'FY28'!X52</f>
        <v>2</v>
      </c>
    </row>
    <row r="53" spans="1:7" x14ac:dyDescent="0.25">
      <c r="A53" s="21" t="s">
        <v>52</v>
      </c>
      <c r="B53" s="152">
        <f>'FY23'!X53</f>
        <v>1</v>
      </c>
      <c r="C53" s="152">
        <f>'FY24'!X53</f>
        <v>1</v>
      </c>
      <c r="D53" s="152">
        <f>'FY25'!X53</f>
        <v>1</v>
      </c>
      <c r="E53" s="152">
        <f>'FY26'!X53</f>
        <v>1</v>
      </c>
      <c r="F53" s="356">
        <f>'FY27'!X53</f>
        <v>1</v>
      </c>
      <c r="G53" s="356">
        <f>'FY28'!X53</f>
        <v>1</v>
      </c>
    </row>
    <row r="54" spans="1:7" x14ac:dyDescent="0.25">
      <c r="A54" s="21" t="s">
        <v>244</v>
      </c>
      <c r="B54" s="152">
        <f>'FY23'!X54</f>
        <v>0</v>
      </c>
      <c r="C54" s="152">
        <f>'FY24'!X54</f>
        <v>0</v>
      </c>
      <c r="D54" s="152">
        <f>'FY25'!X54</f>
        <v>0</v>
      </c>
      <c r="E54" s="152">
        <f>'FY26'!X54</f>
        <v>0</v>
      </c>
      <c r="F54" s="356">
        <f>'FY27'!X54</f>
        <v>0</v>
      </c>
      <c r="G54" s="356">
        <f>'FY28'!X54</f>
        <v>0</v>
      </c>
    </row>
    <row r="55" spans="1:7" x14ac:dyDescent="0.25">
      <c r="A55" s="34" t="s">
        <v>54</v>
      </c>
      <c r="B55" s="152">
        <f>'FY23'!X55</f>
        <v>1</v>
      </c>
      <c r="C55" s="152">
        <f>'FY24'!X55</f>
        <v>1</v>
      </c>
      <c r="D55" s="152">
        <f>'FY25'!X55</f>
        <v>1</v>
      </c>
      <c r="E55" s="152">
        <f>'FY26'!X55</f>
        <v>1</v>
      </c>
      <c r="F55" s="356">
        <f>'FY27'!X55</f>
        <v>1</v>
      </c>
      <c r="G55" s="356">
        <f>'FY28'!X55</f>
        <v>1</v>
      </c>
    </row>
    <row r="56" spans="1:7" x14ac:dyDescent="0.25">
      <c r="A56" s="34" t="s">
        <v>55</v>
      </c>
      <c r="B56" s="152">
        <f>'FY23'!X56</f>
        <v>1</v>
      </c>
      <c r="C56" s="152">
        <f>'FY24'!X56</f>
        <v>1</v>
      </c>
      <c r="D56" s="152">
        <f>'FY25'!X56</f>
        <v>1</v>
      </c>
      <c r="E56" s="152">
        <f>'FY26'!X56</f>
        <v>1</v>
      </c>
      <c r="F56" s="356">
        <f>'FY27'!X56</f>
        <v>1</v>
      </c>
      <c r="G56" s="356">
        <f>'FY28'!X56</f>
        <v>1</v>
      </c>
    </row>
    <row r="57" spans="1:7" x14ac:dyDescent="0.25">
      <c r="A57" s="34" t="s">
        <v>56</v>
      </c>
      <c r="B57" s="152">
        <f>'FY23'!X57</f>
        <v>1</v>
      </c>
      <c r="C57" s="152">
        <f>'FY24'!X57</f>
        <v>1</v>
      </c>
      <c r="D57" s="152">
        <f>'FY25'!X57</f>
        <v>1</v>
      </c>
      <c r="E57" s="152">
        <f>'FY26'!X57</f>
        <v>1</v>
      </c>
      <c r="F57" s="356">
        <f>'FY27'!X57</f>
        <v>1</v>
      </c>
      <c r="G57" s="356">
        <f>'FY28'!X57</f>
        <v>1</v>
      </c>
    </row>
    <row r="58" spans="1:7" x14ac:dyDescent="0.25">
      <c r="A58" s="34" t="s">
        <v>57</v>
      </c>
      <c r="B58" s="152">
        <f>'FY23'!X58</f>
        <v>0.34</v>
      </c>
      <c r="C58" s="152">
        <f>'FY24'!X58</f>
        <v>0.34</v>
      </c>
      <c r="D58" s="152">
        <f>'FY25'!X58</f>
        <v>0.34</v>
      </c>
      <c r="E58" s="152">
        <f>'FY26'!X58</f>
        <v>0.34</v>
      </c>
      <c r="F58" s="356">
        <f>'FY27'!X58</f>
        <v>0.34</v>
      </c>
      <c r="G58" s="356">
        <f>'FY28'!X58</f>
        <v>0.34</v>
      </c>
    </row>
    <row r="59" spans="1:7" x14ac:dyDescent="0.25">
      <c r="A59" s="34" t="s">
        <v>58</v>
      </c>
      <c r="B59" s="152">
        <f>'FY23'!X59</f>
        <v>0</v>
      </c>
      <c r="C59" s="152">
        <f>'FY24'!X59</f>
        <v>0</v>
      </c>
      <c r="D59" s="152">
        <f>'FY25'!X59</f>
        <v>0</v>
      </c>
      <c r="E59" s="152">
        <f>'FY26'!X59</f>
        <v>0</v>
      </c>
      <c r="F59" s="356">
        <f>'FY27'!X59</f>
        <v>0</v>
      </c>
      <c r="G59" s="356">
        <f>'FY28'!X59</f>
        <v>0</v>
      </c>
    </row>
    <row r="60" spans="1:7" x14ac:dyDescent="0.25">
      <c r="A60" s="34" t="s">
        <v>59</v>
      </c>
      <c r="B60" s="152">
        <f>'FY23'!X60</f>
        <v>1.5</v>
      </c>
      <c r="C60" s="152">
        <f>'FY24'!X60</f>
        <v>1.5</v>
      </c>
      <c r="D60" s="152">
        <f>'FY25'!X60</f>
        <v>1.5</v>
      </c>
      <c r="E60" s="152">
        <f>'FY26'!X60</f>
        <v>1.5</v>
      </c>
      <c r="F60" s="356">
        <f>'FY27'!X60</f>
        <v>1.5</v>
      </c>
      <c r="G60" s="356">
        <f>'FY28'!X60</f>
        <v>1.5</v>
      </c>
    </row>
    <row r="61" spans="1:7" x14ac:dyDescent="0.25">
      <c r="A61" s="35" t="s">
        <v>245</v>
      </c>
      <c r="B61" s="152">
        <f>'FY23'!X61</f>
        <v>0</v>
      </c>
      <c r="C61" s="152">
        <f>'FY24'!X61</f>
        <v>0</v>
      </c>
      <c r="D61" s="152">
        <f>'FY25'!X61</f>
        <v>0</v>
      </c>
      <c r="E61" s="152">
        <f>'FY26'!X61</f>
        <v>0</v>
      </c>
      <c r="F61" s="356">
        <f>'FY27'!X61</f>
        <v>0</v>
      </c>
      <c r="G61" s="356">
        <f>'FY28'!X61</f>
        <v>0</v>
      </c>
    </row>
    <row r="62" spans="1:7" x14ac:dyDescent="0.25">
      <c r="A62" s="29" t="s">
        <v>60</v>
      </c>
      <c r="B62" s="30">
        <f>SUM(B42:B61)</f>
        <v>26.34</v>
      </c>
      <c r="C62" s="30">
        <f t="shared" ref="C62:G62" si="8">SUM(C42:C61)</f>
        <v>28.34</v>
      </c>
      <c r="D62" s="30">
        <f t="shared" si="8"/>
        <v>26.34</v>
      </c>
      <c r="E62" s="30">
        <f t="shared" si="8"/>
        <v>26.34</v>
      </c>
      <c r="F62" s="30">
        <f t="shared" si="8"/>
        <v>26.34</v>
      </c>
      <c r="G62" s="30">
        <f t="shared" si="8"/>
        <v>26.34</v>
      </c>
    </row>
    <row r="63" spans="1:7" ht="15.75" thickBot="1" x14ac:dyDescent="0.3">
      <c r="A63" s="36"/>
      <c r="B63" s="38"/>
      <c r="C63" s="38"/>
      <c r="D63" s="38"/>
      <c r="E63" s="38"/>
      <c r="F63" s="38"/>
      <c r="G63" s="38"/>
    </row>
    <row r="64" spans="1:7" x14ac:dyDescent="0.25">
      <c r="A64" s="40" t="s">
        <v>61</v>
      </c>
      <c r="B64" s="39">
        <f>B39</f>
        <v>58</v>
      </c>
      <c r="C64" s="39">
        <f>C39</f>
        <v>58</v>
      </c>
      <c r="D64" s="39">
        <f>D39</f>
        <v>58</v>
      </c>
      <c r="E64" s="39">
        <f t="shared" ref="E64" si="9">E39</f>
        <v>58</v>
      </c>
      <c r="F64" s="39">
        <f>F39</f>
        <v>58</v>
      </c>
      <c r="G64" s="39">
        <f>G39</f>
        <v>58</v>
      </c>
    </row>
    <row r="65" spans="1:7" ht="15.75" thickBot="1" x14ac:dyDescent="0.3">
      <c r="A65" s="42" t="s">
        <v>62</v>
      </c>
      <c r="B65" s="41">
        <f>B62</f>
        <v>26.34</v>
      </c>
      <c r="C65" s="41">
        <f>C62</f>
        <v>28.34</v>
      </c>
      <c r="D65" s="41">
        <f>D62</f>
        <v>26.34</v>
      </c>
      <c r="E65" s="41">
        <f t="shared" ref="E65:G65" si="10">E62</f>
        <v>26.34</v>
      </c>
      <c r="F65" s="41">
        <f t="shared" si="10"/>
        <v>26.34</v>
      </c>
      <c r="G65" s="41">
        <f t="shared" si="10"/>
        <v>26.34</v>
      </c>
    </row>
    <row r="66" spans="1:7" ht="15.75" thickBot="1" x14ac:dyDescent="0.3">
      <c r="A66" s="44" t="s">
        <v>63</v>
      </c>
      <c r="B66" s="43">
        <f>SUM(B64:B65)</f>
        <v>84.34</v>
      </c>
      <c r="C66" s="43">
        <f>SUM(C64:C65)</f>
        <v>86.34</v>
      </c>
      <c r="D66" s="43">
        <f>SUM(D64:D65)</f>
        <v>84.34</v>
      </c>
      <c r="E66" s="43">
        <f t="shared" ref="E66:G66" si="11">SUM(E64:E65)</f>
        <v>84.34</v>
      </c>
      <c r="F66" s="43">
        <f t="shared" si="11"/>
        <v>84.34</v>
      </c>
      <c r="G66" s="43">
        <f t="shared" si="11"/>
        <v>84.34</v>
      </c>
    </row>
    <row r="67" spans="1:7" ht="15.75" thickBot="1" x14ac:dyDescent="0.3">
      <c r="A67" s="34"/>
      <c r="B67" s="45"/>
      <c r="C67" s="45"/>
      <c r="D67" s="45"/>
      <c r="E67" s="45"/>
      <c r="F67" s="45"/>
      <c r="G67" s="45"/>
    </row>
    <row r="68" spans="1:7" x14ac:dyDescent="0.25">
      <c r="A68" s="47" t="s">
        <v>64</v>
      </c>
      <c r="B68" s="46">
        <f t="shared" ref="B68:E68" si="12">B139/(SUM(B207:B217))</f>
        <v>0.66679449640808497</v>
      </c>
      <c r="C68" s="46">
        <f t="shared" si="12"/>
        <v>0.66514884567411947</v>
      </c>
      <c r="D68" s="46">
        <f t="shared" si="12"/>
        <v>0.66542499979147696</v>
      </c>
      <c r="E68" s="46">
        <f t="shared" si="12"/>
        <v>0.66839523684028734</v>
      </c>
      <c r="F68" s="46">
        <f>F139/(SUM(F207:F217))</f>
        <v>0.67115743641808256</v>
      </c>
      <c r="G68" s="46">
        <f>G139/(SUM(G207:G217))</f>
        <v>0.67448568582881774</v>
      </c>
    </row>
    <row r="69" spans="1:7" x14ac:dyDescent="0.25">
      <c r="A69" s="49" t="s">
        <v>65</v>
      </c>
      <c r="B69" s="48">
        <f t="shared" ref="B69:G69" si="13">(B108+B109+B110+B113)/B129</f>
        <v>0.76853114721069282</v>
      </c>
      <c r="C69" s="48">
        <f t="shared" si="13"/>
        <v>0.77078032689168652</v>
      </c>
      <c r="D69" s="48">
        <f t="shared" si="13"/>
        <v>0.76872859713299313</v>
      </c>
      <c r="E69" s="48">
        <f t="shared" si="13"/>
        <v>0.76901562374336641</v>
      </c>
      <c r="F69" s="48">
        <f t="shared" si="13"/>
        <v>0.76939571927242123</v>
      </c>
      <c r="G69" s="48">
        <f t="shared" si="13"/>
        <v>0.76956485882635028</v>
      </c>
    </row>
    <row r="70" spans="1:7" x14ac:dyDescent="0.25">
      <c r="A70" s="51" t="s">
        <v>66</v>
      </c>
      <c r="B70" s="48">
        <f t="shared" ref="B70:G70" si="14">(B103+B104+B106+B107+B111+B112+B114+B115+B118+B119+B120+B121+B122+B105+B123+B124+B125+B126+B127)/B129</f>
        <v>0.23146885278930715</v>
      </c>
      <c r="C70" s="48">
        <f t="shared" si="14"/>
        <v>0.22921967310831351</v>
      </c>
      <c r="D70" s="48">
        <f t="shared" si="14"/>
        <v>0.23127140286700693</v>
      </c>
      <c r="E70" s="48">
        <f t="shared" si="14"/>
        <v>0.23098437625663362</v>
      </c>
      <c r="F70" s="48">
        <f t="shared" si="14"/>
        <v>0.2306042807275788</v>
      </c>
      <c r="G70" s="48">
        <f t="shared" si="14"/>
        <v>0.23043514117364966</v>
      </c>
    </row>
    <row r="71" spans="1:7" ht="15.75" thickBot="1" x14ac:dyDescent="0.3">
      <c r="A71" s="53" t="s">
        <v>67</v>
      </c>
      <c r="B71" s="52">
        <f t="shared" ref="B71:E71" si="15">SUM(B209:B217)/B86</f>
        <v>0.12248792468161504</v>
      </c>
      <c r="C71" s="52">
        <f t="shared" si="15"/>
        <v>0.12080220963679957</v>
      </c>
      <c r="D71" s="52">
        <f t="shared" si="15"/>
        <v>0.11967134886003697</v>
      </c>
      <c r="E71" s="52">
        <f t="shared" si="15"/>
        <v>0.11834169969981165</v>
      </c>
      <c r="F71" s="52">
        <f>SUM(F209:F217)/F86</f>
        <v>0.11683993274165189</v>
      </c>
      <c r="G71" s="52">
        <f>SUM(G209:G217)/G86</f>
        <v>0.11536572968822355</v>
      </c>
    </row>
    <row r="72" spans="1:7" x14ac:dyDescent="0.25">
      <c r="A72" s="54"/>
      <c r="B72" s="55"/>
      <c r="C72" s="55"/>
      <c r="D72" s="55"/>
      <c r="E72" s="55"/>
      <c r="F72" s="55"/>
      <c r="G72" s="55"/>
    </row>
    <row r="73" spans="1:7" x14ac:dyDescent="0.25">
      <c r="A73" s="57" t="s">
        <v>246</v>
      </c>
      <c r="B73" s="58" t="str">
        <f>B1</f>
        <v xml:space="preserve"> FY 23</v>
      </c>
      <c r="C73" s="58" t="str">
        <f>C1</f>
        <v xml:space="preserve"> FY 24</v>
      </c>
      <c r="D73" s="58" t="str">
        <f>D1</f>
        <v xml:space="preserve"> FY 25</v>
      </c>
      <c r="E73" s="58" t="str">
        <f t="shared" ref="E73" si="16">E1</f>
        <v xml:space="preserve"> FY 26</v>
      </c>
      <c r="F73" s="58" t="str">
        <f>F1</f>
        <v xml:space="preserve"> FY 27</v>
      </c>
      <c r="G73" s="58" t="str">
        <f>G1</f>
        <v xml:space="preserve"> FY 28</v>
      </c>
    </row>
    <row r="74" spans="1:7" x14ac:dyDescent="0.25">
      <c r="A74" s="60" t="s">
        <v>69</v>
      </c>
      <c r="B74" s="7">
        <f>'FY23'!X74</f>
        <v>8744307</v>
      </c>
      <c r="C74" s="7">
        <f>'FY24'!X74</f>
        <v>8976187.9349999987</v>
      </c>
      <c r="D74" s="7">
        <f>'FY25'!X74</f>
        <v>9092878.3781549986</v>
      </c>
      <c r="E74" s="7">
        <f>'FY26'!X74</f>
        <v>9211085.7970710117</v>
      </c>
      <c r="F74" s="7">
        <f>'FY27'!X74</f>
        <v>9330829.9124329351</v>
      </c>
      <c r="G74" s="7">
        <f>'FY28'!X74</f>
        <v>9452130.7012945618</v>
      </c>
    </row>
    <row r="75" spans="1:7" x14ac:dyDescent="0.25">
      <c r="A75" s="62" t="s">
        <v>70</v>
      </c>
      <c r="B75" s="7">
        <f>'FY23'!X75</f>
        <v>0</v>
      </c>
      <c r="C75" s="7">
        <f>'FY24'!X75</f>
        <v>0</v>
      </c>
      <c r="D75" s="7">
        <f>'FY25'!X75</f>
        <v>0</v>
      </c>
      <c r="E75" s="7">
        <f>'FY26'!X75</f>
        <v>0</v>
      </c>
      <c r="F75" s="7">
        <f>'FY27'!X75</f>
        <v>0</v>
      </c>
      <c r="G75" s="7">
        <f>'FY28'!X75</f>
        <v>0</v>
      </c>
    </row>
    <row r="76" spans="1:7" x14ac:dyDescent="0.25">
      <c r="A76" s="62" t="s">
        <v>71</v>
      </c>
      <c r="B76" s="7">
        <f>'FY23'!X76</f>
        <v>100615.28400000001</v>
      </c>
      <c r="C76" s="7">
        <f>'FY24'!X76</f>
        <v>114817.5</v>
      </c>
      <c r="D76" s="7">
        <f>'FY25'!X76</f>
        <v>114817.5</v>
      </c>
      <c r="E76" s="7">
        <f>'FY26'!X76</f>
        <v>114817.5</v>
      </c>
      <c r="F76" s="7">
        <f>'FY27'!X76</f>
        <v>114817.5</v>
      </c>
      <c r="G76" s="7">
        <f>'FY28'!X76</f>
        <v>114817.5</v>
      </c>
    </row>
    <row r="77" spans="1:7" x14ac:dyDescent="0.25">
      <c r="A77" s="62" t="s">
        <v>72</v>
      </c>
      <c r="B77" s="7">
        <f>'FY23'!X77</f>
        <v>102600</v>
      </c>
      <c r="C77" s="7">
        <f>'FY24'!X77</f>
        <v>103969.14095079232</v>
      </c>
      <c r="D77" s="7">
        <f>'FY25'!X77</f>
        <v>103969.14095079232</v>
      </c>
      <c r="E77" s="7">
        <f>'FY26'!X77</f>
        <v>103969.14095079232</v>
      </c>
      <c r="F77" s="7">
        <f>'FY27'!X77</f>
        <v>103969.14095079232</v>
      </c>
      <c r="G77" s="7">
        <f>'FY28'!X77</f>
        <v>103969.14095079232</v>
      </c>
    </row>
    <row r="78" spans="1:7" x14ac:dyDescent="0.25">
      <c r="A78" s="141" t="s">
        <v>73</v>
      </c>
      <c r="B78" s="7">
        <f>'FY23'!X78</f>
        <v>297540</v>
      </c>
      <c r="C78" s="7">
        <f>'FY24'!X78</f>
        <v>273603.00250208506</v>
      </c>
      <c r="D78" s="7">
        <f>'FY25'!X78</f>
        <v>273603.00250208506</v>
      </c>
      <c r="E78" s="7">
        <f>'FY26'!X78</f>
        <v>279075.06255212676</v>
      </c>
      <c r="F78" s="7">
        <f>'FY27'!X78</f>
        <v>279075.06255212676</v>
      </c>
      <c r="G78" s="7">
        <f>'FY28'!X78</f>
        <v>279075.06255212676</v>
      </c>
    </row>
    <row r="79" spans="1:7" x14ac:dyDescent="0.25">
      <c r="A79" s="62" t="s">
        <v>74</v>
      </c>
      <c r="B79" s="7">
        <f>'FY23'!X79</f>
        <v>13080</v>
      </c>
      <c r="C79" s="7">
        <f>'FY24'!X79</f>
        <v>13254.545454545456</v>
      </c>
      <c r="D79" s="7">
        <f>'FY25'!X79</f>
        <v>13254.545454545456</v>
      </c>
      <c r="E79" s="7">
        <f>'FY26'!X79</f>
        <v>13254.545454545456</v>
      </c>
      <c r="F79" s="7">
        <f>'FY27'!X79</f>
        <v>13254.545454545456</v>
      </c>
      <c r="G79" s="7">
        <f>'FY28'!X79</f>
        <v>14543.51959966639</v>
      </c>
    </row>
    <row r="80" spans="1:7" x14ac:dyDescent="0.25">
      <c r="A80" s="62" t="s">
        <v>75</v>
      </c>
      <c r="B80" s="7">
        <f>'FY23'!X80</f>
        <v>65296</v>
      </c>
      <c r="C80" s="7">
        <f>'FY24'!X80</f>
        <v>66167.339449541279</v>
      </c>
      <c r="D80" s="7">
        <f>'FY25'!X80</f>
        <v>66167.339449541279</v>
      </c>
      <c r="E80" s="7">
        <f>'FY26'!X80</f>
        <v>66167.339449541279</v>
      </c>
      <c r="F80" s="7">
        <f>'FY27'!X80</f>
        <v>66167.339449541279</v>
      </c>
      <c r="G80" s="7">
        <f>'FY28'!X80</f>
        <v>71473.211009174309</v>
      </c>
    </row>
    <row r="81" spans="1:7" x14ac:dyDescent="0.25">
      <c r="A81" s="62" t="s">
        <v>76</v>
      </c>
      <c r="B81" s="7">
        <f>'FY23'!X81</f>
        <v>31571</v>
      </c>
      <c r="C81" s="7">
        <f>'FY24'!X81</f>
        <v>31992.297748123437</v>
      </c>
      <c r="D81" s="7">
        <f>'FY25'!X81</f>
        <v>31992.297748123437</v>
      </c>
      <c r="E81" s="7">
        <f>'FY26'!X81</f>
        <v>31992.297748123437</v>
      </c>
      <c r="F81" s="7">
        <f>'FY27'!X81</f>
        <v>31992.297748123437</v>
      </c>
      <c r="G81" s="7">
        <f>'FY28'!X81</f>
        <v>35974.741451209346</v>
      </c>
    </row>
    <row r="82" spans="1:7" x14ac:dyDescent="0.25">
      <c r="A82" s="62" t="s">
        <v>247</v>
      </c>
      <c r="B82" s="7">
        <f>'FY23'!X82</f>
        <v>0</v>
      </c>
      <c r="C82" s="7">
        <f>'FY24'!X82</f>
        <v>0</v>
      </c>
      <c r="D82" s="7">
        <f>'FY25'!X82</f>
        <v>0</v>
      </c>
      <c r="E82" s="7">
        <f>'FY26'!X82</f>
        <v>0</v>
      </c>
      <c r="F82" s="7">
        <f>'FY27'!X82</f>
        <v>0</v>
      </c>
      <c r="G82" s="7">
        <f>'FY28'!X82</f>
        <v>0</v>
      </c>
    </row>
    <row r="83" spans="1:7" x14ac:dyDescent="0.25">
      <c r="A83" s="154" t="s">
        <v>78</v>
      </c>
      <c r="B83" s="7">
        <f>'FY23'!X83</f>
        <v>0</v>
      </c>
      <c r="C83" s="7">
        <f>'FY24'!X83</f>
        <v>0</v>
      </c>
      <c r="D83" s="7">
        <f>'FY25'!X83</f>
        <v>0</v>
      </c>
      <c r="E83" s="7">
        <f>'FY26'!X83</f>
        <v>0</v>
      </c>
      <c r="F83" s="7">
        <f>'FY27'!X83</f>
        <v>0</v>
      </c>
      <c r="G83" s="7">
        <f>'FY28'!X83</f>
        <v>0</v>
      </c>
    </row>
    <row r="84" spans="1:7" x14ac:dyDescent="0.25">
      <c r="A84" s="62" t="s">
        <v>77</v>
      </c>
      <c r="B84" s="7">
        <f>'FY23'!X84</f>
        <v>0</v>
      </c>
      <c r="C84" s="7">
        <f>'FY24'!X84</f>
        <v>0</v>
      </c>
      <c r="D84" s="7">
        <f>'FY25'!X84</f>
        <v>0</v>
      </c>
      <c r="E84" s="7">
        <f>'FY26'!X84</f>
        <v>0</v>
      </c>
      <c r="F84" s="7">
        <f>'FY27'!X84</f>
        <v>0</v>
      </c>
      <c r="G84" s="7">
        <f>'FY28'!X84</f>
        <v>0</v>
      </c>
    </row>
    <row r="85" spans="1:7" ht="15.75" thickBot="1" x14ac:dyDescent="0.3">
      <c r="A85" s="65" t="s">
        <v>79</v>
      </c>
      <c r="B85" s="7">
        <f>'FY23'!X85</f>
        <v>22241.599999999999</v>
      </c>
      <c r="C85" s="7">
        <f>'FY24'!X85</f>
        <v>22481.599999999999</v>
      </c>
      <c r="D85" s="7">
        <f>'FY25'!X85</f>
        <v>22001.599999999999</v>
      </c>
      <c r="E85" s="7">
        <f>'FY26'!X85</f>
        <v>22001.599999999999</v>
      </c>
      <c r="F85" s="7">
        <f>'FY27'!X85</f>
        <v>22241.599999999999</v>
      </c>
      <c r="G85" s="7">
        <f>'FY28'!X85</f>
        <v>22001.599999999999</v>
      </c>
    </row>
    <row r="86" spans="1:7" ht="15.75" thickBot="1" x14ac:dyDescent="0.3">
      <c r="A86" s="67" t="s">
        <v>80</v>
      </c>
      <c r="B86" s="68">
        <f>SUM(B74:B85)</f>
        <v>9377250.8839999996</v>
      </c>
      <c r="C86" s="68">
        <f>SUM(C74:C85)</f>
        <v>9602473.3611050863</v>
      </c>
      <c r="D86" s="68">
        <f>SUM(D74:D85)</f>
        <v>9718683.8042600863</v>
      </c>
      <c r="E86" s="68">
        <f t="shared" ref="E86:G86" si="17">SUM(E74:E85)</f>
        <v>9842363.2832261398</v>
      </c>
      <c r="F86" s="68">
        <f t="shared" si="17"/>
        <v>9962347.3985880632</v>
      </c>
      <c r="G86" s="68">
        <f t="shared" si="17"/>
        <v>10093985.47685753</v>
      </c>
    </row>
    <row r="87" spans="1:7" x14ac:dyDescent="0.25">
      <c r="A87" s="60" t="s">
        <v>69</v>
      </c>
      <c r="B87" s="7">
        <f>'FY23'!X87</f>
        <v>8744307</v>
      </c>
      <c r="C87" s="7">
        <f>'FY24'!X87</f>
        <v>8976187.9349999987</v>
      </c>
      <c r="D87" s="7">
        <f>'FY25'!X87</f>
        <v>9092878.3781549986</v>
      </c>
      <c r="E87" s="7">
        <f>'FY26'!X87</f>
        <v>9211085.7970710117</v>
      </c>
      <c r="F87" s="7">
        <f>'FY27'!X87</f>
        <v>9330829.9124329351</v>
      </c>
      <c r="G87" s="7">
        <f>'FY28'!X87</f>
        <v>9452130.7012945618</v>
      </c>
    </row>
    <row r="88" spans="1:7" x14ac:dyDescent="0.25">
      <c r="A88" s="62" t="s">
        <v>201</v>
      </c>
      <c r="B88" s="7">
        <f>'FY23'!X88</f>
        <v>0</v>
      </c>
      <c r="C88" s="7">
        <f>'FY24'!X88</f>
        <v>0</v>
      </c>
      <c r="D88" s="7">
        <f>'FY25'!X88</f>
        <v>0</v>
      </c>
      <c r="E88" s="7">
        <f>'FY26'!X88</f>
        <v>0</v>
      </c>
      <c r="F88" s="7">
        <f>'FY27'!X88</f>
        <v>0</v>
      </c>
      <c r="G88" s="7">
        <f>'FY28'!X88</f>
        <v>0</v>
      </c>
    </row>
    <row r="89" spans="1:7" x14ac:dyDescent="0.25">
      <c r="A89" s="62" t="s">
        <v>71</v>
      </c>
      <c r="B89" s="7">
        <f>'FY23'!X89</f>
        <v>100615.28400000001</v>
      </c>
      <c r="C89" s="7">
        <f>'FY24'!X89</f>
        <v>114817.5</v>
      </c>
      <c r="D89" s="7">
        <f>'FY25'!X89</f>
        <v>114817.5</v>
      </c>
      <c r="E89" s="7">
        <f>'FY26'!X89</f>
        <v>114817.5</v>
      </c>
      <c r="F89" s="7">
        <f>'FY27'!X89</f>
        <v>114817.5</v>
      </c>
      <c r="G89" s="7">
        <f>'FY28'!X89</f>
        <v>114817.5</v>
      </c>
    </row>
    <row r="90" spans="1:7" x14ac:dyDescent="0.25">
      <c r="A90" s="62" t="s">
        <v>72</v>
      </c>
      <c r="B90" s="7">
        <f>'FY23'!X90</f>
        <v>102600</v>
      </c>
      <c r="C90" s="7">
        <f>'FY24'!X90</f>
        <v>103969.14095079232</v>
      </c>
      <c r="D90" s="7">
        <f>'FY25'!X90</f>
        <v>103969.14095079232</v>
      </c>
      <c r="E90" s="7">
        <f>'FY26'!X90</f>
        <v>103969.14095079232</v>
      </c>
      <c r="F90" s="7">
        <f>'FY27'!X90</f>
        <v>103969.14095079232</v>
      </c>
      <c r="G90" s="7">
        <f>'FY28'!X90</f>
        <v>103969.14095079232</v>
      </c>
    </row>
    <row r="91" spans="1:7" x14ac:dyDescent="0.25">
      <c r="A91" s="141" t="s">
        <v>73</v>
      </c>
      <c r="B91" s="7">
        <f>'FY23'!X91</f>
        <v>297540</v>
      </c>
      <c r="C91" s="7">
        <f>'FY24'!X91</f>
        <v>273603.00250208506</v>
      </c>
      <c r="D91" s="7">
        <f>'FY25'!X91</f>
        <v>273603.00250208506</v>
      </c>
      <c r="E91" s="7">
        <f>'FY26'!X91</f>
        <v>279075.06255212676</v>
      </c>
      <c r="F91" s="7">
        <f>'FY27'!X91</f>
        <v>279075.06255212676</v>
      </c>
      <c r="G91" s="7">
        <f>'FY28'!X91</f>
        <v>279075.06255212676</v>
      </c>
    </row>
    <row r="92" spans="1:7" x14ac:dyDescent="0.25">
      <c r="A92" s="62" t="s">
        <v>74</v>
      </c>
      <c r="B92" s="7">
        <f>'FY23'!X92</f>
        <v>13080</v>
      </c>
      <c r="C92" s="7">
        <f>'FY24'!X92</f>
        <v>13254.545454545456</v>
      </c>
      <c r="D92" s="7">
        <f>'FY25'!X92</f>
        <v>13254.545454545456</v>
      </c>
      <c r="E92" s="7">
        <f>'FY26'!X92</f>
        <v>13254.545454545456</v>
      </c>
      <c r="F92" s="7">
        <f>'FY27'!X92</f>
        <v>13254.545454545456</v>
      </c>
      <c r="G92" s="7">
        <f>'FY28'!X92</f>
        <v>14543.51959966639</v>
      </c>
    </row>
    <row r="93" spans="1:7" x14ac:dyDescent="0.25">
      <c r="A93" s="62" t="s">
        <v>75</v>
      </c>
      <c r="B93" s="7">
        <f>'FY23'!X93</f>
        <v>65296</v>
      </c>
      <c r="C93" s="7">
        <f>'FY24'!X93</f>
        <v>66167.339449541279</v>
      </c>
      <c r="D93" s="7">
        <f>'FY25'!X93</f>
        <v>66167.339449541279</v>
      </c>
      <c r="E93" s="7">
        <f>'FY26'!X93</f>
        <v>66167.339449541279</v>
      </c>
      <c r="F93" s="7">
        <f>'FY27'!X93</f>
        <v>66167.339449541279</v>
      </c>
      <c r="G93" s="7">
        <f>'FY28'!X93</f>
        <v>71473.211009174309</v>
      </c>
    </row>
    <row r="94" spans="1:7" x14ac:dyDescent="0.25">
      <c r="A94" s="62" t="s">
        <v>76</v>
      </c>
      <c r="B94" s="7">
        <f>'FY23'!X94</f>
        <v>31571</v>
      </c>
      <c r="C94" s="7">
        <f>'FY24'!X94</f>
        <v>31992.297748123437</v>
      </c>
      <c r="D94" s="7">
        <f>'FY25'!X94</f>
        <v>31992.297748123437</v>
      </c>
      <c r="E94" s="7">
        <f>'FY26'!X94</f>
        <v>31992.297748123437</v>
      </c>
      <c r="F94" s="7">
        <f>'FY27'!X94</f>
        <v>31992.297748123437</v>
      </c>
      <c r="G94" s="7">
        <f>'FY28'!X94</f>
        <v>35974.741451209346</v>
      </c>
    </row>
    <row r="95" spans="1:7" x14ac:dyDescent="0.25">
      <c r="A95" s="62" t="s">
        <v>202</v>
      </c>
      <c r="B95" s="7">
        <f>'FY23'!X95</f>
        <v>0</v>
      </c>
      <c r="C95" s="7">
        <f>'FY24'!X95</f>
        <v>0</v>
      </c>
      <c r="D95" s="7">
        <f>'FY25'!X95</f>
        <v>0</v>
      </c>
      <c r="E95" s="7">
        <f>'FY26'!X95</f>
        <v>0</v>
      </c>
      <c r="F95" s="7">
        <f>'FY27'!X95</f>
        <v>0</v>
      </c>
      <c r="G95" s="7">
        <f>'FY28'!X95</f>
        <v>0</v>
      </c>
    </row>
    <row r="96" spans="1:7" x14ac:dyDescent="0.25">
      <c r="A96" s="62" t="s">
        <v>203</v>
      </c>
      <c r="B96" s="7">
        <f>'FY23'!X96</f>
        <v>0</v>
      </c>
      <c r="C96" s="7">
        <f>'FY24'!X96</f>
        <v>0</v>
      </c>
      <c r="D96" s="7">
        <f>'FY25'!X96</f>
        <v>0</v>
      </c>
      <c r="E96" s="7">
        <f>'FY26'!X96</f>
        <v>0</v>
      </c>
      <c r="F96" s="7">
        <f>'FY27'!X96</f>
        <v>0</v>
      </c>
      <c r="G96" s="7">
        <f>'FY28'!X96</f>
        <v>0</v>
      </c>
    </row>
    <row r="97" spans="1:7" x14ac:dyDescent="0.25">
      <c r="A97" s="62" t="s">
        <v>77</v>
      </c>
      <c r="B97" s="7">
        <f>'FY23'!X97</f>
        <v>0</v>
      </c>
      <c r="C97" s="7">
        <f>'FY24'!X97</f>
        <v>0</v>
      </c>
      <c r="D97" s="7">
        <f>'FY25'!X97</f>
        <v>0</v>
      </c>
      <c r="E97" s="7">
        <f>'FY26'!X97</f>
        <v>0</v>
      </c>
      <c r="F97" s="7">
        <f>'FY27'!X97</f>
        <v>0</v>
      </c>
      <c r="G97" s="7">
        <f>'FY28'!X97</f>
        <v>0</v>
      </c>
    </row>
    <row r="98" spans="1:7" ht="15.75" thickBot="1" x14ac:dyDescent="0.3">
      <c r="A98" s="65" t="s">
        <v>204</v>
      </c>
      <c r="B98" s="7">
        <f>'FY23'!X98</f>
        <v>22241.599999999999</v>
      </c>
      <c r="C98" s="7">
        <f>'FY24'!X98</f>
        <v>22481.599999999999</v>
      </c>
      <c r="D98" s="7">
        <f>'FY25'!X98</f>
        <v>22001.599999999999</v>
      </c>
      <c r="E98" s="7">
        <f>'FY26'!X98</f>
        <v>22001.599999999999</v>
      </c>
      <c r="F98" s="7">
        <f>'FY27'!X98</f>
        <v>22241.599999999999</v>
      </c>
      <c r="G98" s="7">
        <f>'FY28'!X98</f>
        <v>22001.599999999999</v>
      </c>
    </row>
    <row r="99" spans="1:7" ht="15.75" thickBot="1" x14ac:dyDescent="0.3">
      <c r="A99" s="67" t="s">
        <v>81</v>
      </c>
      <c r="B99" s="68">
        <f>SUM(B87:B98)</f>
        <v>9377250.8839999996</v>
      </c>
      <c r="C99" s="68">
        <f>SUM(C87:C98)</f>
        <v>9602473.3611050863</v>
      </c>
      <c r="D99" s="68">
        <f>SUM(D87:D98)</f>
        <v>9718683.8042600863</v>
      </c>
      <c r="E99" s="68">
        <f t="shared" ref="E99:G99" si="18">SUM(E87:E98)</f>
        <v>9842363.2832261398</v>
      </c>
      <c r="F99" s="68">
        <f t="shared" si="18"/>
        <v>9962347.3985880632</v>
      </c>
      <c r="G99" s="68">
        <f t="shared" si="18"/>
        <v>10093985.47685753</v>
      </c>
    </row>
    <row r="100" spans="1:7" x14ac:dyDescent="0.25">
      <c r="A100" s="70"/>
      <c r="B100" s="55"/>
      <c r="C100" s="55"/>
      <c r="D100" s="55"/>
      <c r="E100" s="55"/>
      <c r="F100" s="55"/>
      <c r="G100" s="55"/>
    </row>
    <row r="101" spans="1:7" ht="15.75" thickBot="1" x14ac:dyDescent="0.3">
      <c r="A101" s="73" t="s">
        <v>82</v>
      </c>
      <c r="B101" s="74" t="str">
        <f>B1</f>
        <v xml:space="preserve"> FY 23</v>
      </c>
      <c r="C101" s="74" t="str">
        <f>C1</f>
        <v xml:space="preserve"> FY 24</v>
      </c>
      <c r="D101" s="74" t="str">
        <f>D1</f>
        <v xml:space="preserve"> FY 25</v>
      </c>
      <c r="E101" s="74" t="str">
        <f t="shared" ref="E101:G101" si="19">E1</f>
        <v xml:space="preserve"> FY 26</v>
      </c>
      <c r="F101" s="74" t="str">
        <f t="shared" si="19"/>
        <v xml:space="preserve"> FY 27</v>
      </c>
      <c r="G101" s="74" t="str">
        <f t="shared" si="19"/>
        <v xml:space="preserve"> FY 28</v>
      </c>
    </row>
    <row r="102" spans="1:7" x14ac:dyDescent="0.25">
      <c r="A102" s="76" t="s">
        <v>83</v>
      </c>
      <c r="B102" s="77"/>
      <c r="C102" s="77"/>
      <c r="D102" s="77"/>
      <c r="E102" s="77"/>
      <c r="F102" s="77"/>
      <c r="G102" s="77"/>
    </row>
    <row r="103" spans="1:7" x14ac:dyDescent="0.25">
      <c r="A103" s="62" t="s">
        <v>41</v>
      </c>
      <c r="B103" s="7">
        <f>'FY23'!X103</f>
        <v>146380</v>
      </c>
      <c r="C103" s="7">
        <f>'FY24'!X103</f>
        <v>149307.6</v>
      </c>
      <c r="D103" s="7">
        <f>'FY25'!X103</f>
        <v>152293.75200000001</v>
      </c>
      <c r="E103" s="7">
        <f>'FY26'!X103</f>
        <v>155339.62704000002</v>
      </c>
      <c r="F103" s="7">
        <f>'FY27'!X103</f>
        <v>158446.41958080002</v>
      </c>
      <c r="G103" s="7">
        <f>'FY28'!X103</f>
        <v>161615.34797241603</v>
      </c>
    </row>
    <row r="104" spans="1:7" x14ac:dyDescent="0.25">
      <c r="A104" s="62" t="s">
        <v>84</v>
      </c>
      <c r="B104" s="7">
        <f>'FY23'!X104</f>
        <v>177081.28200000001</v>
      </c>
      <c r="C104" s="7">
        <f>'FY24'!X104</f>
        <v>180622.90764000002</v>
      </c>
      <c r="D104" s="7">
        <f>'FY25'!X104</f>
        <v>184235.36579280003</v>
      </c>
      <c r="E104" s="7">
        <f>'FY26'!X104</f>
        <v>187920.07310865604</v>
      </c>
      <c r="F104" s="7">
        <f>'FY27'!X104</f>
        <v>191678.47457082916</v>
      </c>
      <c r="G104" s="7">
        <f>'FY28'!X104</f>
        <v>195512.04406224575</v>
      </c>
    </row>
    <row r="105" spans="1:7" x14ac:dyDescent="0.25">
      <c r="A105" s="62" t="s">
        <v>45</v>
      </c>
      <c r="B105" s="7">
        <f>'FY23'!X105</f>
        <v>74908.800000000003</v>
      </c>
      <c r="C105" s="7">
        <f>'FY24'!X105</f>
        <v>76406.97600000001</v>
      </c>
      <c r="D105" s="7">
        <f>'FY25'!X105</f>
        <v>77935.115520000007</v>
      </c>
      <c r="E105" s="7">
        <f>'FY26'!X105</f>
        <v>79493.817830400003</v>
      </c>
      <c r="F105" s="7">
        <f>'FY27'!X105</f>
        <v>81083.694187008005</v>
      </c>
      <c r="G105" s="7">
        <f>'FY28'!X105</f>
        <v>82705.368070748169</v>
      </c>
    </row>
    <row r="106" spans="1:7" x14ac:dyDescent="0.25">
      <c r="A106" s="62" t="s">
        <v>210</v>
      </c>
      <c r="B106" s="7">
        <f>'FY23'!X106</f>
        <v>0</v>
      </c>
      <c r="C106" s="7">
        <f>'FY24'!X106</f>
        <v>0</v>
      </c>
      <c r="D106" s="7">
        <f>'FY25'!X106</f>
        <v>0</v>
      </c>
      <c r="E106" s="7">
        <f>'FY26'!X106</f>
        <v>0</v>
      </c>
      <c r="F106" s="7">
        <f>'FY27'!X106</f>
        <v>0</v>
      </c>
      <c r="G106" s="7">
        <f>'FY28'!X106</f>
        <v>0</v>
      </c>
    </row>
    <row r="107" spans="1:7" x14ac:dyDescent="0.25">
      <c r="A107" s="62" t="s">
        <v>87</v>
      </c>
      <c r="B107" s="7">
        <f>'FY23'!X107</f>
        <v>64504.800000000003</v>
      </c>
      <c r="C107" s="7">
        <f>'FY24'!X107</f>
        <v>65794.896000000008</v>
      </c>
      <c r="D107" s="7">
        <f>'FY25'!X107</f>
        <v>67110.793920000011</v>
      </c>
      <c r="E107" s="7">
        <f>'FY26'!X107</f>
        <v>68453.009798400017</v>
      </c>
      <c r="F107" s="7">
        <f>'FY27'!X107</f>
        <v>69822.069994368023</v>
      </c>
      <c r="G107" s="7">
        <f>'FY28'!X107</f>
        <v>71218.511394255387</v>
      </c>
    </row>
    <row r="108" spans="1:7" x14ac:dyDescent="0.25">
      <c r="A108" s="62" t="s">
        <v>89</v>
      </c>
      <c r="B108" s="7">
        <f>'FY23'!X108</f>
        <v>2529425</v>
      </c>
      <c r="C108" s="7">
        <f>'FY24'!X108</f>
        <v>2581100</v>
      </c>
      <c r="D108" s="7">
        <f>'FY25'!X108</f>
        <v>2634100</v>
      </c>
      <c r="E108" s="7">
        <f>'FY26'!X108</f>
        <v>2687100</v>
      </c>
      <c r="F108" s="7">
        <f>'FY27'!X108</f>
        <v>2742750</v>
      </c>
      <c r="G108" s="7">
        <f>'FY28'!X108</f>
        <v>2798400</v>
      </c>
    </row>
    <row r="109" spans="1:7" x14ac:dyDescent="0.25">
      <c r="A109" s="62" t="s">
        <v>90</v>
      </c>
      <c r="B109" s="7">
        <f>'FY23'!X109</f>
        <v>0</v>
      </c>
      <c r="C109" s="7">
        <f>'FY24'!X109</f>
        <v>0</v>
      </c>
      <c r="D109" s="7">
        <f>'FY25'!X109</f>
        <v>0</v>
      </c>
      <c r="E109" s="7">
        <f>'FY26'!X109</f>
        <v>0</v>
      </c>
      <c r="F109" s="7">
        <f>'FY27'!X109</f>
        <v>0</v>
      </c>
      <c r="G109" s="7">
        <f>'FY28'!X109</f>
        <v>0</v>
      </c>
    </row>
    <row r="110" spans="1:7" x14ac:dyDescent="0.25">
      <c r="A110" s="62" t="s">
        <v>30</v>
      </c>
      <c r="B110" s="7">
        <f>'FY23'!X110</f>
        <v>238625</v>
      </c>
      <c r="C110" s="7">
        <f>'FY24'!X110</f>
        <v>243500</v>
      </c>
      <c r="D110" s="7">
        <f>'FY25'!X110</f>
        <v>248500</v>
      </c>
      <c r="E110" s="7">
        <f>'FY26'!X110</f>
        <v>253500</v>
      </c>
      <c r="F110" s="7">
        <f>'FY27'!X110</f>
        <v>258750</v>
      </c>
      <c r="G110" s="7">
        <f>'FY28'!X110</f>
        <v>264000</v>
      </c>
    </row>
    <row r="111" spans="1:7" x14ac:dyDescent="0.25">
      <c r="A111" s="62" t="s">
        <v>91</v>
      </c>
      <c r="B111" s="7">
        <f>'FY23'!X111</f>
        <v>92611.72619999999</v>
      </c>
      <c r="C111" s="7">
        <f>'FY24'!X111</f>
        <v>94463.96072399999</v>
      </c>
      <c r="D111" s="7">
        <f>'FY25'!X111</f>
        <v>96353.239938479994</v>
      </c>
      <c r="E111" s="7">
        <f>'FY26'!X111</f>
        <v>98280.304737249593</v>
      </c>
      <c r="F111" s="7">
        <f>'FY27'!X111</f>
        <v>100245.91083199458</v>
      </c>
      <c r="G111" s="7">
        <f>'FY28'!X111</f>
        <v>102250.82904863448</v>
      </c>
    </row>
    <row r="112" spans="1:7" x14ac:dyDescent="0.25">
      <c r="A112" s="62" t="s">
        <v>92</v>
      </c>
      <c r="B112" s="7">
        <f>'FY23'!X112</f>
        <v>44840</v>
      </c>
      <c r="C112" s="7">
        <f>'FY24'!X112</f>
        <v>44840</v>
      </c>
      <c r="D112" s="7">
        <f>'FY25'!X112</f>
        <v>44840</v>
      </c>
      <c r="E112" s="7">
        <f>'FY26'!X112</f>
        <v>44840</v>
      </c>
      <c r="F112" s="7">
        <f>'FY27'!X112</f>
        <v>44840</v>
      </c>
      <c r="G112" s="7">
        <f>'FY28'!X112</f>
        <v>45600</v>
      </c>
    </row>
    <row r="113" spans="1:7" x14ac:dyDescent="0.25">
      <c r="A113" s="62" t="s">
        <v>93</v>
      </c>
      <c r="B113" s="7">
        <f>'FY23'!X113</f>
        <v>171360</v>
      </c>
      <c r="C113" s="7">
        <f>'FY24'!X113</f>
        <v>215460</v>
      </c>
      <c r="D113" s="7">
        <f>'FY25'!X113</f>
        <v>177480</v>
      </c>
      <c r="E113" s="7">
        <f>'FY26'!X113</f>
        <v>180540</v>
      </c>
      <c r="F113" s="7">
        <f>'FY27'!X113</f>
        <v>183600</v>
      </c>
      <c r="G113" s="7">
        <f>'FY28'!X113</f>
        <v>186660</v>
      </c>
    </row>
    <row r="114" spans="1:7" x14ac:dyDescent="0.25">
      <c r="A114" s="62" t="s">
        <v>94</v>
      </c>
      <c r="B114" s="7">
        <f>'FY23'!X114</f>
        <v>53760</v>
      </c>
      <c r="C114" s="7">
        <f>'FY24'!X114</f>
        <v>54720</v>
      </c>
      <c r="D114" s="7">
        <f>'FY25'!X114</f>
        <v>55680</v>
      </c>
      <c r="E114" s="7">
        <f>'FY26'!X114</f>
        <v>56640</v>
      </c>
      <c r="F114" s="7">
        <f>'FY27'!X114</f>
        <v>57600</v>
      </c>
      <c r="G114" s="7">
        <f>'FY28'!X114</f>
        <v>58560</v>
      </c>
    </row>
    <row r="115" spans="1:7" x14ac:dyDescent="0.25">
      <c r="A115" s="62" t="s">
        <v>248</v>
      </c>
      <c r="B115" s="7">
        <f>'FY23'!X115</f>
        <v>0</v>
      </c>
      <c r="C115" s="7">
        <f>'FY24'!X115</f>
        <v>0</v>
      </c>
      <c r="D115" s="7">
        <f>'FY25'!X115</f>
        <v>0</v>
      </c>
      <c r="E115" s="7">
        <f>'FY26'!X115</f>
        <v>0</v>
      </c>
      <c r="F115" s="7">
        <f>'FY27'!X115</f>
        <v>0</v>
      </c>
      <c r="G115" s="7">
        <f>'FY28'!X115</f>
        <v>0</v>
      </c>
    </row>
    <row r="116" spans="1:7" ht="15.75" thickBot="1" x14ac:dyDescent="0.3">
      <c r="A116" s="82" t="s">
        <v>95</v>
      </c>
      <c r="B116" s="83">
        <f>SUM(B103:B115)</f>
        <v>3593496.6082000001</v>
      </c>
      <c r="C116" s="83">
        <f>SUM(C103:C115)</f>
        <v>3706216.3403639998</v>
      </c>
      <c r="D116" s="83">
        <f t="shared" ref="D116:G116" si="20">SUM(D103:D115)</f>
        <v>3738528.26717128</v>
      </c>
      <c r="E116" s="83">
        <f t="shared" si="20"/>
        <v>3812106.8325147056</v>
      </c>
      <c r="F116" s="83">
        <f t="shared" si="20"/>
        <v>3888816.5691649998</v>
      </c>
      <c r="G116" s="83">
        <f t="shared" si="20"/>
        <v>3966522.1005483</v>
      </c>
    </row>
    <row r="117" spans="1:7" x14ac:dyDescent="0.25">
      <c r="A117" s="84" t="s">
        <v>96</v>
      </c>
      <c r="B117" s="150" t="str">
        <f>B1</f>
        <v xml:space="preserve"> FY 23</v>
      </c>
      <c r="C117" s="150" t="str">
        <f>C1</f>
        <v xml:space="preserve"> FY 24</v>
      </c>
      <c r="D117" s="150" t="str">
        <f>D1</f>
        <v xml:space="preserve"> FY 25</v>
      </c>
      <c r="E117" s="150" t="str">
        <f t="shared" ref="E117:G117" si="21">E1</f>
        <v xml:space="preserve"> FY 26</v>
      </c>
      <c r="F117" s="150" t="str">
        <f t="shared" si="21"/>
        <v xml:space="preserve"> FY 27</v>
      </c>
      <c r="G117" s="150" t="str">
        <f t="shared" si="21"/>
        <v xml:space="preserve"> FY 28</v>
      </c>
    </row>
    <row r="118" spans="1:7" x14ac:dyDescent="0.25">
      <c r="A118" s="62"/>
      <c r="B118" s="7">
        <f>'FY23'!X118</f>
        <v>0</v>
      </c>
      <c r="C118" s="7">
        <f>'FY24'!X118</f>
        <v>0</v>
      </c>
      <c r="D118" s="7">
        <f>'FY25'!X118</f>
        <v>0</v>
      </c>
      <c r="E118" s="7">
        <f>'FY26'!X118</f>
        <v>0</v>
      </c>
      <c r="F118" s="7">
        <f>'FY27'!X118</f>
        <v>0</v>
      </c>
      <c r="G118" s="7">
        <f>'FY28'!X118</f>
        <v>0</v>
      </c>
    </row>
    <row r="119" spans="1:7" x14ac:dyDescent="0.25">
      <c r="A119" s="62" t="s">
        <v>54</v>
      </c>
      <c r="B119" s="7">
        <f>'FY23'!X119</f>
        <v>46000</v>
      </c>
      <c r="C119" s="7">
        <f>'FY24'!X119</f>
        <v>46920</v>
      </c>
      <c r="D119" s="7">
        <f>'FY25'!X119</f>
        <v>47858.400000000001</v>
      </c>
      <c r="E119" s="7">
        <f>'FY26'!X119</f>
        <v>48815.567999999999</v>
      </c>
      <c r="F119" s="7">
        <f>'FY27'!X119</f>
        <v>49791.879359999999</v>
      </c>
      <c r="G119" s="7">
        <f>'FY28'!X119</f>
        <v>50787.716947200002</v>
      </c>
    </row>
    <row r="120" spans="1:7" x14ac:dyDescent="0.25">
      <c r="A120" s="62" t="s">
        <v>55</v>
      </c>
      <c r="B120" s="7">
        <f>'FY23'!X120</f>
        <v>42575</v>
      </c>
      <c r="C120" s="7">
        <f>'FY24'!X120</f>
        <v>43426.5</v>
      </c>
      <c r="D120" s="7">
        <f>'FY25'!X120</f>
        <v>44295.03</v>
      </c>
      <c r="E120" s="7">
        <f>'FY26'!X120</f>
        <v>45180.9306</v>
      </c>
      <c r="F120" s="7">
        <f>'FY27'!X120</f>
        <v>46084.549211999998</v>
      </c>
      <c r="G120" s="7">
        <f>'FY28'!X120</f>
        <v>47006.240196239996</v>
      </c>
    </row>
    <row r="121" spans="1:7" x14ac:dyDescent="0.25">
      <c r="A121" s="62" t="s">
        <v>56</v>
      </c>
      <c r="B121" s="7">
        <f>'FY23'!X121</f>
        <v>35000</v>
      </c>
      <c r="C121" s="7">
        <f>'FY24'!X121</f>
        <v>35700</v>
      </c>
      <c r="D121" s="7">
        <f>'FY25'!X121</f>
        <v>36414</v>
      </c>
      <c r="E121" s="7">
        <f>'FY26'!X121</f>
        <v>37142.28</v>
      </c>
      <c r="F121" s="7">
        <f>'FY27'!X121</f>
        <v>37885.125599999999</v>
      </c>
      <c r="G121" s="7">
        <f>'FY28'!X121</f>
        <v>38642.828112000003</v>
      </c>
    </row>
    <row r="122" spans="1:7" x14ac:dyDescent="0.25">
      <c r="A122" s="62" t="s">
        <v>97</v>
      </c>
      <c r="B122" s="7">
        <f>'FY23'!X122</f>
        <v>0</v>
      </c>
      <c r="C122" s="7">
        <f>'FY24'!X122</f>
        <v>0</v>
      </c>
      <c r="D122" s="7">
        <f>'FY25'!X122</f>
        <v>0</v>
      </c>
      <c r="E122" s="7">
        <f>'FY26'!X122</f>
        <v>0</v>
      </c>
      <c r="F122" s="7">
        <f>'FY27'!X122</f>
        <v>0</v>
      </c>
      <c r="G122" s="7">
        <f>'FY28'!X122</f>
        <v>0</v>
      </c>
    </row>
    <row r="123" spans="1:7" x14ac:dyDescent="0.25">
      <c r="A123" s="62" t="s">
        <v>58</v>
      </c>
      <c r="B123" s="7">
        <f>'FY23'!X123</f>
        <v>0</v>
      </c>
      <c r="C123" s="7">
        <f>'FY24'!X123</f>
        <v>0</v>
      </c>
      <c r="D123" s="7">
        <f>'FY25'!X123</f>
        <v>0</v>
      </c>
      <c r="E123" s="7">
        <f>'FY26'!X123</f>
        <v>0</v>
      </c>
      <c r="F123" s="7">
        <f>'FY27'!X123</f>
        <v>0</v>
      </c>
      <c r="G123" s="7">
        <f>'FY28'!X123</f>
        <v>0</v>
      </c>
    </row>
    <row r="124" spans="1:7" x14ac:dyDescent="0.25">
      <c r="A124" s="62" t="s">
        <v>98</v>
      </c>
      <c r="B124" s="7">
        <f>'FY23'!X124</f>
        <v>67500</v>
      </c>
      <c r="C124" s="7">
        <f>'FY24'!X124</f>
        <v>68850</v>
      </c>
      <c r="D124" s="7">
        <f>'FY25'!X124</f>
        <v>70227</v>
      </c>
      <c r="E124" s="7">
        <f>'FY26'!X124</f>
        <v>71631.540000000008</v>
      </c>
      <c r="F124" s="7">
        <f>'FY27'!X124</f>
        <v>73064.170800000007</v>
      </c>
      <c r="G124" s="7">
        <f>'FY28'!X124</f>
        <v>74525.454216000013</v>
      </c>
    </row>
    <row r="125" spans="1:7" x14ac:dyDescent="0.25">
      <c r="A125" s="62" t="s">
        <v>99</v>
      </c>
      <c r="B125" s="7">
        <f>'FY23'!X125</f>
        <v>0</v>
      </c>
      <c r="C125" s="7">
        <f>'FY24'!X125</f>
        <v>0</v>
      </c>
      <c r="D125" s="7">
        <f>'FY25'!X125</f>
        <v>0</v>
      </c>
      <c r="E125" s="7">
        <f>'FY26'!X125</f>
        <v>0</v>
      </c>
      <c r="F125" s="7">
        <f>'FY27'!X125</f>
        <v>0</v>
      </c>
      <c r="G125" s="7">
        <f>'FY28'!X125</f>
        <v>0</v>
      </c>
    </row>
    <row r="126" spans="1:7" x14ac:dyDescent="0.25">
      <c r="A126" s="62" t="s">
        <v>100</v>
      </c>
      <c r="B126" s="7">
        <f>'FY23'!X126</f>
        <v>17640</v>
      </c>
      <c r="C126" s="7">
        <f>'FY24'!X126</f>
        <v>20520</v>
      </c>
      <c r="D126" s="7">
        <f>'FY25'!X126</f>
        <v>20880</v>
      </c>
      <c r="E126" s="7">
        <f>'FY26'!X126</f>
        <v>21240</v>
      </c>
      <c r="F126" s="7">
        <f>'FY27'!X126</f>
        <v>21600</v>
      </c>
      <c r="G126" s="7">
        <f>'FY28'!X126</f>
        <v>21960</v>
      </c>
    </row>
    <row r="127" spans="1:7" x14ac:dyDescent="0.25">
      <c r="A127" s="62" t="s">
        <v>101</v>
      </c>
      <c r="B127" s="7">
        <f>'FY23'!X127</f>
        <v>22500</v>
      </c>
      <c r="C127" s="7">
        <f>'FY24'!X127</f>
        <v>22500</v>
      </c>
      <c r="D127" s="7">
        <f>'FY25'!X127</f>
        <v>22500</v>
      </c>
      <c r="E127" s="7">
        <f>'FY26'!X127</f>
        <v>22500</v>
      </c>
      <c r="F127" s="7">
        <f>'FY27'!X127</f>
        <v>22500</v>
      </c>
      <c r="G127" s="7">
        <f>'FY28'!X127</f>
        <v>22500</v>
      </c>
    </row>
    <row r="128" spans="1:7" ht="15.75" thickBot="1" x14ac:dyDescent="0.3">
      <c r="A128" s="82" t="s">
        <v>102</v>
      </c>
      <c r="B128" s="87">
        <f>SUM(B118:B127)</f>
        <v>231215</v>
      </c>
      <c r="C128" s="87">
        <f>SUM(C118:C127)</f>
        <v>237916.5</v>
      </c>
      <c r="D128" s="87">
        <f>SUM(D118:D127)</f>
        <v>242174.43</v>
      </c>
      <c r="E128" s="87">
        <f t="shared" ref="E128:G128" si="22">SUM(E118:E127)</f>
        <v>246510.3186</v>
      </c>
      <c r="F128" s="87">
        <f t="shared" si="22"/>
        <v>250925.724972</v>
      </c>
      <c r="G128" s="87">
        <f t="shared" si="22"/>
        <v>255422.23947144</v>
      </c>
    </row>
    <row r="129" spans="1:7" ht="15.75" thickBot="1" x14ac:dyDescent="0.3">
      <c r="A129" s="89" t="s">
        <v>103</v>
      </c>
      <c r="B129" s="90">
        <f>B116+B128</f>
        <v>3824711.6082000001</v>
      </c>
      <c r="C129" s="90">
        <f>C116+C128</f>
        <v>3944132.8403639998</v>
      </c>
      <c r="D129" s="90">
        <f>D116+D128</f>
        <v>3980702.6971712802</v>
      </c>
      <c r="E129" s="90">
        <f t="shared" ref="E129" si="23">E116+E128</f>
        <v>4058617.1511147055</v>
      </c>
      <c r="F129" s="90">
        <f>F116+F128</f>
        <v>4139742.2941369996</v>
      </c>
      <c r="G129" s="90">
        <f>G116+G128</f>
        <v>4221944.3400197402</v>
      </c>
    </row>
    <row r="130" spans="1:7" x14ac:dyDescent="0.25">
      <c r="A130" s="62" t="s">
        <v>104</v>
      </c>
      <c r="B130" s="7">
        <f>'FY23'!X130</f>
        <v>1137851.7034394997</v>
      </c>
      <c r="C130" s="7">
        <f>'FY24'!X130</f>
        <v>1173379.52000829</v>
      </c>
      <c r="D130" s="7">
        <f>'FY25'!X130</f>
        <v>1184259.0524084556</v>
      </c>
      <c r="E130" s="7">
        <f>'FY26'!X130</f>
        <v>1207438.6024566246</v>
      </c>
      <c r="F130" s="7">
        <f>'FY27'!X130</f>
        <v>1231573.3325057575</v>
      </c>
      <c r="G130" s="7">
        <f>'FY28'!X130</f>
        <v>1256028.4411558728</v>
      </c>
    </row>
    <row r="131" spans="1:7" x14ac:dyDescent="0.25">
      <c r="A131" s="62" t="s">
        <v>105</v>
      </c>
      <c r="B131" s="7">
        <f>'FY23'!X131</f>
        <v>669292.03281</v>
      </c>
      <c r="C131" s="7">
        <f>'FY24'!X131</f>
        <v>709943.91126551991</v>
      </c>
      <c r="D131" s="7">
        <f>'FY25'!X131</f>
        <v>726478.24223375856</v>
      </c>
      <c r="E131" s="7">
        <f>'FY26'!X131</f>
        <v>750844.17295622046</v>
      </c>
      <c r="F131" s="7">
        <f>'FY27'!X131</f>
        <v>776201.68015068746</v>
      </c>
      <c r="G131" s="7">
        <f>'FY28'!X131</f>
        <v>802169.42460375058</v>
      </c>
    </row>
    <row r="132" spans="1:7" x14ac:dyDescent="0.25">
      <c r="A132" s="62" t="s">
        <v>249</v>
      </c>
      <c r="B132" s="7">
        <f>'FY23'!X132</f>
        <v>69741</v>
      </c>
      <c r="C132" s="7">
        <f>'FY24'!X132</f>
        <v>70281</v>
      </c>
      <c r="D132" s="7">
        <f>'FY25'!X132</f>
        <v>69741</v>
      </c>
      <c r="E132" s="7">
        <f>'FY26'!X132</f>
        <v>69741</v>
      </c>
      <c r="F132" s="7">
        <f>'FY27'!X132</f>
        <v>69741</v>
      </c>
      <c r="G132" s="7">
        <f>'FY28'!X132</f>
        <v>69741</v>
      </c>
    </row>
    <row r="133" spans="1:7" x14ac:dyDescent="0.25">
      <c r="A133" s="62" t="s">
        <v>250</v>
      </c>
      <c r="B133" s="7">
        <f>'FY23'!X133</f>
        <v>13042.5</v>
      </c>
      <c r="C133" s="7">
        <f>'FY24'!X133</f>
        <v>13292.5</v>
      </c>
      <c r="D133" s="7">
        <f>'FY25'!X133</f>
        <v>13042.5</v>
      </c>
      <c r="E133" s="7">
        <f>'FY26'!X133</f>
        <v>13042.5</v>
      </c>
      <c r="F133" s="7">
        <f>'FY27'!X133</f>
        <v>13042.5</v>
      </c>
      <c r="G133" s="7">
        <f>'FY28'!X133</f>
        <v>13042.5</v>
      </c>
    </row>
    <row r="134" spans="1:7" x14ac:dyDescent="0.25">
      <c r="A134" s="62" t="s">
        <v>107</v>
      </c>
      <c r="B134" s="7">
        <f>'FY23'!X134</f>
        <v>17500</v>
      </c>
      <c r="C134" s="7">
        <f>'FY24'!X134</f>
        <v>17500</v>
      </c>
      <c r="D134" s="7">
        <f>'FY25'!X134</f>
        <v>17500</v>
      </c>
      <c r="E134" s="7">
        <f>'FY26'!X134</f>
        <v>17500</v>
      </c>
      <c r="F134" s="7">
        <f>'FY27'!X134</f>
        <v>17500</v>
      </c>
      <c r="G134" s="7">
        <f>'FY28'!X134</f>
        <v>17500</v>
      </c>
    </row>
    <row r="135" spans="1:7" x14ac:dyDescent="0.25">
      <c r="A135" s="62" t="s">
        <v>251</v>
      </c>
      <c r="B135" s="7">
        <f>'FY23'!X135</f>
        <v>38795</v>
      </c>
      <c r="C135" s="7">
        <f>'FY24'!X135</f>
        <v>39295</v>
      </c>
      <c r="D135" s="7">
        <f>'FY25'!X135</f>
        <v>38795</v>
      </c>
      <c r="E135" s="7">
        <f>'FY26'!X135</f>
        <v>38795</v>
      </c>
      <c r="F135" s="7">
        <f>'FY27'!X135</f>
        <v>38795</v>
      </c>
      <c r="G135" s="7">
        <f>'FY28'!X135</f>
        <v>38795</v>
      </c>
    </row>
    <row r="136" spans="1:7" x14ac:dyDescent="0.25">
      <c r="A136" s="62" t="s">
        <v>108</v>
      </c>
      <c r="B136" s="7">
        <f>'FY23'!X136</f>
        <v>7500</v>
      </c>
      <c r="C136" s="7">
        <f>'FY24'!X136</f>
        <v>12000</v>
      </c>
      <c r="D136" s="7">
        <f>'FY25'!X136</f>
        <v>12000</v>
      </c>
      <c r="E136" s="7">
        <f>'FY26'!X136</f>
        <v>12000</v>
      </c>
      <c r="F136" s="7">
        <f>'FY27'!X136</f>
        <v>12000</v>
      </c>
      <c r="G136" s="7">
        <f>'FY28'!X136</f>
        <v>12000</v>
      </c>
    </row>
    <row r="137" spans="1:7" x14ac:dyDescent="0.25">
      <c r="A137" s="62" t="s">
        <v>109</v>
      </c>
      <c r="B137" s="7">
        <f>'FY23'!X137</f>
        <v>81000</v>
      </c>
      <c r="C137" s="7">
        <f>'FY24'!X137</f>
        <v>79000</v>
      </c>
      <c r="D137" s="7">
        <f>'FY25'!X137</f>
        <v>79000</v>
      </c>
      <c r="E137" s="7">
        <f>'FY26'!X137</f>
        <v>79000</v>
      </c>
      <c r="F137" s="7">
        <f>'FY27'!X137</f>
        <v>79000</v>
      </c>
      <c r="G137" s="7">
        <f>'FY28'!X137</f>
        <v>79000</v>
      </c>
    </row>
    <row r="138" spans="1:7" ht="15.75" thickBot="1" x14ac:dyDescent="0.3">
      <c r="A138" s="91" t="s">
        <v>110</v>
      </c>
      <c r="B138" s="87">
        <f>SUM(B130:B137)</f>
        <v>2034722.2362494997</v>
      </c>
      <c r="C138" s="87">
        <f>SUM(C130:C137)</f>
        <v>2114691.9312738096</v>
      </c>
      <c r="D138" s="87">
        <f>SUM(D130:D137)</f>
        <v>2140815.7946422142</v>
      </c>
      <c r="E138" s="87">
        <f t="shared" ref="E138:G138" si="24">SUM(E130:E137)</f>
        <v>2188361.275412845</v>
      </c>
      <c r="F138" s="87">
        <f t="shared" si="24"/>
        <v>2237853.5126564447</v>
      </c>
      <c r="G138" s="87">
        <f t="shared" si="24"/>
        <v>2288276.3657596232</v>
      </c>
    </row>
    <row r="139" spans="1:7" ht="15.75" thickBot="1" x14ac:dyDescent="0.3">
      <c r="A139" s="95" t="s">
        <v>111</v>
      </c>
      <c r="B139" s="90">
        <f>B129+B138</f>
        <v>5859433.8444494996</v>
      </c>
      <c r="C139" s="90">
        <f>C129+C138</f>
        <v>6058824.7716378095</v>
      </c>
      <c r="D139" s="90">
        <f>D129+D138</f>
        <v>6121518.4918134939</v>
      </c>
      <c r="E139" s="90">
        <f t="shared" ref="E139:G139" si="25">E129+E138</f>
        <v>6246978.4265275504</v>
      </c>
      <c r="F139" s="90">
        <f t="shared" si="25"/>
        <v>6377595.8067934439</v>
      </c>
      <c r="G139" s="90">
        <f t="shared" si="25"/>
        <v>6510220.7057793634</v>
      </c>
    </row>
    <row r="140" spans="1:7" x14ac:dyDescent="0.25">
      <c r="A140" s="97" t="s">
        <v>112</v>
      </c>
      <c r="B140" s="149" t="str">
        <f>B1</f>
        <v xml:space="preserve"> FY 23</v>
      </c>
      <c r="C140" s="149" t="str">
        <f>C1</f>
        <v xml:space="preserve"> FY 24</v>
      </c>
      <c r="D140" s="149" t="str">
        <f>D1</f>
        <v xml:space="preserve"> FY 25</v>
      </c>
      <c r="E140" s="149" t="str">
        <f t="shared" ref="E140:G140" si="26">E1</f>
        <v xml:space="preserve"> FY 26</v>
      </c>
      <c r="F140" s="149" t="str">
        <f t="shared" si="26"/>
        <v xml:space="preserve"> FY 27</v>
      </c>
      <c r="G140" s="149" t="str">
        <f t="shared" si="26"/>
        <v xml:space="preserve"> FY 28</v>
      </c>
    </row>
    <row r="141" spans="1:7" x14ac:dyDescent="0.25">
      <c r="A141" s="98" t="s">
        <v>113</v>
      </c>
      <c r="B141" s="7">
        <f>'FY23'!X141</f>
        <v>167860</v>
      </c>
      <c r="C141" s="7">
        <f>'FY24'!X141</f>
        <v>182250</v>
      </c>
      <c r="D141" s="7">
        <f>'FY25'!X141</f>
        <v>182250</v>
      </c>
      <c r="E141" s="7">
        <f>'FY26'!X141</f>
        <v>182250</v>
      </c>
      <c r="F141" s="7">
        <f>'FY27'!X141</f>
        <v>182250</v>
      </c>
      <c r="G141" s="7">
        <f>'FY28'!X141</f>
        <v>182250</v>
      </c>
    </row>
    <row r="142" spans="1:7" x14ac:dyDescent="0.25">
      <c r="A142" s="99" t="s">
        <v>252</v>
      </c>
      <c r="B142" s="7">
        <f>'FY23'!X142</f>
        <v>0</v>
      </c>
      <c r="C142" s="7">
        <f>'FY24'!X142</f>
        <v>0</v>
      </c>
      <c r="D142" s="7">
        <f>'FY25'!X142</f>
        <v>0</v>
      </c>
      <c r="E142" s="7">
        <f>'FY26'!X142</f>
        <v>0</v>
      </c>
      <c r="F142" s="7">
        <f>'FY27'!X142</f>
        <v>0</v>
      </c>
      <c r="G142" s="7">
        <f>'FY28'!X142</f>
        <v>0</v>
      </c>
    </row>
    <row r="143" spans="1:7" x14ac:dyDescent="0.25">
      <c r="A143" s="62" t="s">
        <v>115</v>
      </c>
      <c r="B143" s="7">
        <f>'FY23'!X143</f>
        <v>0</v>
      </c>
      <c r="C143" s="7">
        <f>'FY24'!X143</f>
        <v>0</v>
      </c>
      <c r="D143" s="7">
        <f>'FY25'!X143</f>
        <v>0</v>
      </c>
      <c r="E143" s="7">
        <f>'FY26'!X143</f>
        <v>0</v>
      </c>
      <c r="F143" s="7">
        <f>'FY27'!X143</f>
        <v>0</v>
      </c>
      <c r="G143" s="7">
        <f>'FY28'!X143</f>
        <v>0</v>
      </c>
    </row>
    <row r="144" spans="1:7" x14ac:dyDescent="0.25">
      <c r="A144" s="62" t="s">
        <v>116</v>
      </c>
      <c r="B144" s="7">
        <f>'FY23'!X144</f>
        <v>0</v>
      </c>
      <c r="C144" s="7">
        <f>'FY24'!X144</f>
        <v>0</v>
      </c>
      <c r="D144" s="7">
        <f>'FY25'!X144</f>
        <v>0</v>
      </c>
      <c r="E144" s="7">
        <f>'FY26'!X144</f>
        <v>0</v>
      </c>
      <c r="F144" s="7">
        <f>'FY27'!X144</f>
        <v>0</v>
      </c>
      <c r="G144" s="7">
        <f>'FY28'!X144</f>
        <v>0</v>
      </c>
    </row>
    <row r="145" spans="1:7" x14ac:dyDescent="0.25">
      <c r="A145" s="62" t="s">
        <v>117</v>
      </c>
      <c r="B145" s="7">
        <f>'FY23'!X145</f>
        <v>16786</v>
      </c>
      <c r="C145" s="7">
        <f>'FY24'!X145</f>
        <v>17010</v>
      </c>
      <c r="D145" s="7">
        <f>'FY25'!X145</f>
        <v>17010</v>
      </c>
      <c r="E145" s="7">
        <f>'FY26'!X145</f>
        <v>17010</v>
      </c>
      <c r="F145" s="7">
        <f>'FY27'!X145</f>
        <v>17010</v>
      </c>
      <c r="G145" s="7">
        <f>'FY28'!X145</f>
        <v>17010</v>
      </c>
    </row>
    <row r="146" spans="1:7" x14ac:dyDescent="0.25">
      <c r="A146" s="62" t="s">
        <v>118</v>
      </c>
      <c r="B146" s="7">
        <f>'FY23'!X146</f>
        <v>34771</v>
      </c>
      <c r="C146" s="7">
        <f>'FY24'!X146</f>
        <v>35235</v>
      </c>
      <c r="D146" s="7">
        <f>'FY25'!X146</f>
        <v>35235</v>
      </c>
      <c r="E146" s="7">
        <f>'FY26'!X146</f>
        <v>35235</v>
      </c>
      <c r="F146" s="7">
        <f>'FY27'!X146</f>
        <v>35235</v>
      </c>
      <c r="G146" s="7">
        <f>'FY28'!X146</f>
        <v>35235</v>
      </c>
    </row>
    <row r="147" spans="1:7" x14ac:dyDescent="0.25">
      <c r="A147" s="62" t="s">
        <v>119</v>
      </c>
      <c r="B147" s="7">
        <f>'FY23'!X147</f>
        <v>5095.75</v>
      </c>
      <c r="C147" s="7">
        <f>'FY24'!X147</f>
        <v>5163.75</v>
      </c>
      <c r="D147" s="7">
        <f>'FY25'!X147</f>
        <v>5163.75</v>
      </c>
      <c r="E147" s="7">
        <f>'FY26'!X147</f>
        <v>5163.75</v>
      </c>
      <c r="F147" s="7">
        <f>'FY27'!X147</f>
        <v>5163.75</v>
      </c>
      <c r="G147" s="7">
        <f>'FY28'!X147</f>
        <v>5163.75</v>
      </c>
    </row>
    <row r="148" spans="1:7" x14ac:dyDescent="0.25">
      <c r="A148" s="62" t="s">
        <v>120</v>
      </c>
      <c r="B148" s="7">
        <f>'FY23'!X148</f>
        <v>3896.75</v>
      </c>
      <c r="C148" s="7">
        <f>'FY24'!X148</f>
        <v>3948.75</v>
      </c>
      <c r="D148" s="7">
        <f>'FY25'!X148</f>
        <v>3948.75</v>
      </c>
      <c r="E148" s="7">
        <f>'FY26'!X148</f>
        <v>3948.75</v>
      </c>
      <c r="F148" s="7">
        <f>'FY27'!X148</f>
        <v>3948.75</v>
      </c>
      <c r="G148" s="7">
        <f>'FY28'!X148</f>
        <v>3948.75</v>
      </c>
    </row>
    <row r="149" spans="1:7" x14ac:dyDescent="0.25">
      <c r="A149" s="62" t="s">
        <v>121</v>
      </c>
      <c r="B149" s="7">
        <f>'FY23'!X149</f>
        <v>13932</v>
      </c>
      <c r="C149" s="7">
        <f>'FY24'!X149</f>
        <v>14117.91492910759</v>
      </c>
      <c r="D149" s="7">
        <f>'FY25'!X149</f>
        <v>14117.91492910759</v>
      </c>
      <c r="E149" s="7">
        <f>'FY26'!X149</f>
        <v>14117.91492910759</v>
      </c>
      <c r="F149" s="7">
        <f>'FY27'!X149</f>
        <v>14117.91492910759</v>
      </c>
      <c r="G149" s="7">
        <f>'FY28'!X149</f>
        <v>14117.91492910759</v>
      </c>
    </row>
    <row r="150" spans="1:7" ht="15.75" thickBot="1" x14ac:dyDescent="0.3">
      <c r="A150" s="62" t="s">
        <v>122</v>
      </c>
      <c r="B150" s="7">
        <f>'FY23'!X150</f>
        <v>0</v>
      </c>
      <c r="C150" s="7">
        <f>'FY24'!X150</f>
        <v>0</v>
      </c>
      <c r="D150" s="7">
        <f>'FY25'!X150</f>
        <v>0</v>
      </c>
      <c r="E150" s="7">
        <f>'FY26'!X150</f>
        <v>0</v>
      </c>
      <c r="F150" s="7">
        <f>'FY27'!X150</f>
        <v>0</v>
      </c>
      <c r="G150" s="7">
        <f>'FY28'!X150</f>
        <v>0</v>
      </c>
    </row>
    <row r="151" spans="1:7" ht="15.75" thickBot="1" x14ac:dyDescent="0.3">
      <c r="A151" s="95" t="s">
        <v>123</v>
      </c>
      <c r="B151" s="92">
        <f t="shared" ref="B151:G151" si="27">SUM(B141:B150)</f>
        <v>242341.5</v>
      </c>
      <c r="C151" s="92">
        <f t="shared" si="27"/>
        <v>257725.41492910759</v>
      </c>
      <c r="D151" s="92">
        <f t="shared" si="27"/>
        <v>257725.41492910759</v>
      </c>
      <c r="E151" s="92">
        <f t="shared" si="27"/>
        <v>257725.41492910759</v>
      </c>
      <c r="F151" s="92">
        <f t="shared" si="27"/>
        <v>257725.41492910759</v>
      </c>
      <c r="G151" s="92">
        <f t="shared" si="27"/>
        <v>257725.41492910759</v>
      </c>
    </row>
    <row r="152" spans="1:7" x14ac:dyDescent="0.25">
      <c r="A152" s="101" t="s">
        <v>124</v>
      </c>
      <c r="B152" s="149" t="str">
        <f t="shared" ref="B152:G152" si="28">B1</f>
        <v xml:space="preserve"> FY 23</v>
      </c>
      <c r="C152" s="149" t="str">
        <f t="shared" si="28"/>
        <v xml:space="preserve"> FY 24</v>
      </c>
      <c r="D152" s="149" t="str">
        <f t="shared" si="28"/>
        <v xml:space="preserve"> FY 25</v>
      </c>
      <c r="E152" s="149" t="str">
        <f t="shared" si="28"/>
        <v xml:space="preserve"> FY 26</v>
      </c>
      <c r="F152" s="149" t="str">
        <f t="shared" si="28"/>
        <v xml:space="preserve"> FY 27</v>
      </c>
      <c r="G152" s="149" t="str">
        <f t="shared" si="28"/>
        <v xml:space="preserve"> FY 28</v>
      </c>
    </row>
    <row r="153" spans="1:7" x14ac:dyDescent="0.25">
      <c r="A153" s="62" t="s">
        <v>125</v>
      </c>
      <c r="B153" s="7">
        <f>'FY23'!X153</f>
        <v>12000</v>
      </c>
      <c r="C153" s="7">
        <f>'FY24'!X153</f>
        <v>12360</v>
      </c>
      <c r="D153" s="7">
        <f>'FY25'!X153</f>
        <v>12730.800000000001</v>
      </c>
      <c r="E153" s="7">
        <f>'FY26'!X153</f>
        <v>13112.724000000002</v>
      </c>
      <c r="F153" s="7">
        <f>'FY27'!X153</f>
        <v>13506.105720000003</v>
      </c>
      <c r="G153" s="7">
        <f>'FY28'!X153</f>
        <v>13506.105720000003</v>
      </c>
    </row>
    <row r="154" spans="1:7" x14ac:dyDescent="0.25">
      <c r="A154" s="62" t="s">
        <v>126</v>
      </c>
      <c r="B154" s="7">
        <f>'FY23'!X154</f>
        <v>95920</v>
      </c>
      <c r="C154" s="7">
        <f>'FY24'!X154</f>
        <v>151875</v>
      </c>
      <c r="D154" s="7">
        <f>'FY25'!X154</f>
        <v>157950</v>
      </c>
      <c r="E154" s="7">
        <f>'FY26'!X154</f>
        <v>157950</v>
      </c>
      <c r="F154" s="7">
        <f>'FY27'!X154</f>
        <v>164025</v>
      </c>
      <c r="G154" s="7">
        <f>'FY28'!X154</f>
        <v>164025</v>
      </c>
    </row>
    <row r="155" spans="1:7" x14ac:dyDescent="0.25">
      <c r="A155" s="62" t="s">
        <v>253</v>
      </c>
      <c r="B155" s="7">
        <f>'FY23'!X155</f>
        <v>0</v>
      </c>
      <c r="C155" s="7">
        <f>'FY24'!X155</f>
        <v>0</v>
      </c>
      <c r="D155" s="7">
        <f>'FY25'!X155</f>
        <v>0</v>
      </c>
      <c r="E155" s="7">
        <f>'FY26'!X155</f>
        <v>0</v>
      </c>
      <c r="F155" s="7">
        <f>'FY27'!X155</f>
        <v>0</v>
      </c>
      <c r="G155" s="7">
        <f>'FY28'!X155</f>
        <v>0</v>
      </c>
    </row>
    <row r="156" spans="1:7" x14ac:dyDescent="0.25">
      <c r="A156" s="62" t="s">
        <v>254</v>
      </c>
      <c r="B156" s="7">
        <f>'FY23'!X156</f>
        <v>0</v>
      </c>
      <c r="C156" s="7">
        <f>'FY24'!X156</f>
        <v>0</v>
      </c>
      <c r="D156" s="7">
        <f>'FY25'!X156</f>
        <v>0</v>
      </c>
      <c r="E156" s="7">
        <f>'FY26'!X156</f>
        <v>0</v>
      </c>
      <c r="F156" s="7">
        <f>'FY27'!X156</f>
        <v>0</v>
      </c>
      <c r="G156" s="7">
        <f>'FY28'!X156</f>
        <v>0</v>
      </c>
    </row>
    <row r="157" spans="1:7" x14ac:dyDescent="0.25">
      <c r="A157" s="62" t="s">
        <v>128</v>
      </c>
      <c r="B157" s="7">
        <f>'FY23'!X157</f>
        <v>539550</v>
      </c>
      <c r="C157" s="7">
        <f>'FY24'!X157</f>
        <v>546750</v>
      </c>
      <c r="D157" s="7">
        <f>'FY25'!X157</f>
        <v>546750</v>
      </c>
      <c r="E157" s="7">
        <f>'FY26'!X157</f>
        <v>546750</v>
      </c>
      <c r="F157" s="7">
        <f>'FY27'!X157</f>
        <v>546750</v>
      </c>
      <c r="G157" s="7">
        <f>'FY28'!X157</f>
        <v>546750</v>
      </c>
    </row>
    <row r="158" spans="1:7" x14ac:dyDescent="0.25">
      <c r="A158" s="62" t="s">
        <v>129</v>
      </c>
      <c r="B158" s="7">
        <f>'FY23'!X158</f>
        <v>22241.599999999999</v>
      </c>
      <c r="C158" s="7">
        <f>'FY24'!X158</f>
        <v>22721.599999999999</v>
      </c>
      <c r="D158" s="7">
        <f>'FY25'!X158</f>
        <v>22241.599999999999</v>
      </c>
      <c r="E158" s="7">
        <f>'FY26'!X158</f>
        <v>22241.599999999999</v>
      </c>
      <c r="F158" s="7">
        <f>'FY27'!X158</f>
        <v>22241.599999999999</v>
      </c>
      <c r="G158" s="7">
        <f>'FY28'!X158</f>
        <v>22241.599999999999</v>
      </c>
    </row>
    <row r="159" spans="1:7" s="212" customFormat="1" x14ac:dyDescent="0.25">
      <c r="A159" s="62" t="s">
        <v>130</v>
      </c>
      <c r="B159" s="7">
        <f>'FY23'!X159</f>
        <v>11500</v>
      </c>
      <c r="C159" s="7">
        <f>'FY24'!X159</f>
        <v>11845</v>
      </c>
      <c r="D159" s="7">
        <f>'FY25'!X159</f>
        <v>12200.35</v>
      </c>
      <c r="E159" s="7">
        <f>'FY26'!X159</f>
        <v>12566.360500000001</v>
      </c>
      <c r="F159" s="7">
        <f>'FY27'!X159</f>
        <v>12943.351315000002</v>
      </c>
      <c r="G159" s="7">
        <f>'FY28'!X159</f>
        <v>13331.651854450001</v>
      </c>
    </row>
    <row r="160" spans="1:7" x14ac:dyDescent="0.25">
      <c r="A160" s="62" t="s">
        <v>131</v>
      </c>
      <c r="B160" s="7">
        <f>'FY23'!X160</f>
        <v>5500</v>
      </c>
      <c r="C160" s="7">
        <f>'FY24'!X160</f>
        <v>6000</v>
      </c>
      <c r="D160" s="7">
        <f>'FY25'!X160</f>
        <v>6000</v>
      </c>
      <c r="E160" s="7">
        <f>'FY26'!X160</f>
        <v>6000</v>
      </c>
      <c r="F160" s="7">
        <f>'FY27'!X160</f>
        <v>6000</v>
      </c>
      <c r="G160" s="7">
        <f>'FY28'!X160</f>
        <v>6000</v>
      </c>
    </row>
    <row r="161" spans="1:7" x14ac:dyDescent="0.25">
      <c r="A161" s="62" t="s">
        <v>132</v>
      </c>
      <c r="B161" s="7">
        <f>'FY23'!X161</f>
        <v>53955</v>
      </c>
      <c r="C161" s="7">
        <f>'FY24'!X161</f>
        <v>54675</v>
      </c>
      <c r="D161" s="7">
        <f>'FY25'!X161</f>
        <v>54675</v>
      </c>
      <c r="E161" s="7">
        <f>'FY26'!X161</f>
        <v>54675</v>
      </c>
      <c r="F161" s="7">
        <f>'FY27'!X161</f>
        <v>54675</v>
      </c>
      <c r="G161" s="7">
        <f>'FY28'!X161</f>
        <v>54675</v>
      </c>
    </row>
    <row r="162" spans="1:7" x14ac:dyDescent="0.25">
      <c r="A162" s="62" t="s">
        <v>133</v>
      </c>
      <c r="B162" s="7">
        <f>'FY23'!X162</f>
        <v>7500</v>
      </c>
      <c r="C162" s="7">
        <f>'FY24'!X162</f>
        <v>7500</v>
      </c>
      <c r="D162" s="7">
        <f>'FY25'!X162</f>
        <v>7500</v>
      </c>
      <c r="E162" s="7">
        <f>'FY26'!X162</f>
        <v>7500</v>
      </c>
      <c r="F162" s="7">
        <f>'FY27'!X162</f>
        <v>7500</v>
      </c>
      <c r="G162" s="7">
        <f>'FY28'!X162</f>
        <v>7500</v>
      </c>
    </row>
    <row r="163" spans="1:7" x14ac:dyDescent="0.25">
      <c r="A163" s="62" t="s">
        <v>134</v>
      </c>
      <c r="B163" s="7">
        <f>'FY23'!X163</f>
        <v>110678.175</v>
      </c>
      <c r="C163" s="7">
        <f>'FY24'!X163</f>
        <v>112202.34918749999</v>
      </c>
      <c r="D163" s="7">
        <f>'FY25'!X163</f>
        <v>113660.97972693748</v>
      </c>
      <c r="E163" s="7">
        <f>'FY26'!X163</f>
        <v>115138.57246338765</v>
      </c>
      <c r="F163" s="7">
        <f>'FY27'!X163</f>
        <v>116635.37390541169</v>
      </c>
      <c r="G163" s="7">
        <f>'FY28'!X163</f>
        <v>118151.63376618203</v>
      </c>
    </row>
    <row r="164" spans="1:7" x14ac:dyDescent="0.25">
      <c r="A164" s="62" t="s">
        <v>135</v>
      </c>
      <c r="B164" s="7">
        <f>'FY23'!X164</f>
        <v>43721.535000000003</v>
      </c>
      <c r="C164" s="7">
        <f>'FY24'!X164</f>
        <v>44880.939674999994</v>
      </c>
      <c r="D164" s="7">
        <f>'FY25'!X164</f>
        <v>45464.391890774998</v>
      </c>
      <c r="E164" s="7">
        <f>'FY26'!X164</f>
        <v>46055.428985355058</v>
      </c>
      <c r="F164" s="7">
        <f>'FY27'!X164</f>
        <v>46654.149562164675</v>
      </c>
      <c r="G164" s="7">
        <f>'FY28'!X164</f>
        <v>47260.653506472809</v>
      </c>
    </row>
    <row r="165" spans="1:7" x14ac:dyDescent="0.25">
      <c r="A165" s="62" t="s">
        <v>136</v>
      </c>
      <c r="B165" s="7">
        <f>'FY23'!X165</f>
        <v>43721.535000000003</v>
      </c>
      <c r="C165" s="7">
        <f>'FY24'!X165</f>
        <v>44880.939674999994</v>
      </c>
      <c r="D165" s="7">
        <f>'FY25'!X165</f>
        <v>45464.391890774998</v>
      </c>
      <c r="E165" s="7">
        <f>'FY26'!X165</f>
        <v>46055.428985355058</v>
      </c>
      <c r="F165" s="7">
        <f>'FY27'!X165</f>
        <v>46654.149562164675</v>
      </c>
      <c r="G165" s="7">
        <f>'FY28'!X165</f>
        <v>47260.653506472809</v>
      </c>
    </row>
    <row r="166" spans="1:7" ht="15.75" thickBot="1" x14ac:dyDescent="0.3">
      <c r="A166" s="62" t="s">
        <v>137</v>
      </c>
      <c r="B166" s="7">
        <f>'FY23'!X166</f>
        <v>0</v>
      </c>
      <c r="C166" s="7">
        <f>'FY24'!X166</f>
        <v>0</v>
      </c>
      <c r="D166" s="7">
        <f>'FY25'!X166</f>
        <v>0</v>
      </c>
      <c r="E166" s="7">
        <f>'FY26'!X166</f>
        <v>0</v>
      </c>
      <c r="F166" s="7">
        <f>'FY27'!X166</f>
        <v>0</v>
      </c>
      <c r="G166" s="7">
        <f>'FY28'!X166</f>
        <v>0</v>
      </c>
    </row>
    <row r="167" spans="1:7" ht="15.75" thickBot="1" x14ac:dyDescent="0.3">
      <c r="A167" s="95" t="s">
        <v>138</v>
      </c>
      <c r="B167" s="92">
        <f>SUM(B153:B166)</f>
        <v>946287.84500000009</v>
      </c>
      <c r="C167" s="92">
        <f>SUM(C153:C166)</f>
        <v>1015690.8285375</v>
      </c>
      <c r="D167" s="92">
        <f>SUM(D153:D166)</f>
        <v>1024637.5135084874</v>
      </c>
      <c r="E167" s="92">
        <f t="shared" ref="E167:G167" si="29">SUM(E153:E166)</f>
        <v>1028045.1149340976</v>
      </c>
      <c r="F167" s="92">
        <f t="shared" si="29"/>
        <v>1037584.730064741</v>
      </c>
      <c r="G167" s="92">
        <f t="shared" si="29"/>
        <v>1040702.2983535776</v>
      </c>
    </row>
    <row r="168" spans="1:7" x14ac:dyDescent="0.25">
      <c r="A168" s="101" t="s">
        <v>139</v>
      </c>
      <c r="B168" s="149" t="str">
        <f>B152</f>
        <v xml:space="preserve"> FY 23</v>
      </c>
      <c r="C168" s="149" t="str">
        <f>C152</f>
        <v xml:space="preserve"> FY 24</v>
      </c>
      <c r="D168" s="149" t="str">
        <f>D152</f>
        <v xml:space="preserve"> FY 25</v>
      </c>
      <c r="E168" s="149" t="str">
        <f t="shared" ref="E168:G168" si="30">E152</f>
        <v xml:space="preserve"> FY 26</v>
      </c>
      <c r="F168" s="149" t="str">
        <f t="shared" si="30"/>
        <v xml:space="preserve"> FY 27</v>
      </c>
      <c r="G168" s="149" t="str">
        <f t="shared" si="30"/>
        <v xml:space="preserve"> FY 28</v>
      </c>
    </row>
    <row r="169" spans="1:7" x14ac:dyDescent="0.25">
      <c r="A169" s="62" t="s">
        <v>140</v>
      </c>
      <c r="B169" s="7">
        <f>'FY23'!X169</f>
        <v>5340</v>
      </c>
      <c r="C169" s="7">
        <f>'FY24'!X169</f>
        <v>5500.2</v>
      </c>
      <c r="D169" s="7">
        <f>'FY25'!X169</f>
        <v>5665.2060000000001</v>
      </c>
      <c r="E169" s="7">
        <f>'FY26'!X169</f>
        <v>5835.1621800000003</v>
      </c>
      <c r="F169" s="7">
        <f>'FY27'!X169</f>
        <v>6010.2170454000006</v>
      </c>
      <c r="G169" s="7">
        <f>'FY28'!X169</f>
        <v>6190.5235567620011</v>
      </c>
    </row>
    <row r="170" spans="1:7" x14ac:dyDescent="0.25">
      <c r="A170" s="62" t="s">
        <v>141</v>
      </c>
      <c r="B170" s="7">
        <f>'FY23'!X170</f>
        <v>14596</v>
      </c>
      <c r="C170" s="7">
        <f>'FY24'!X170</f>
        <v>15033.880000000001</v>
      </c>
      <c r="D170" s="7">
        <f>'FY25'!X170</f>
        <v>15484.896400000001</v>
      </c>
      <c r="E170" s="7">
        <f>'FY26'!X170</f>
        <v>15949.443292000002</v>
      </c>
      <c r="F170" s="7">
        <f>'FY27'!X170</f>
        <v>16427.926590760002</v>
      </c>
      <c r="G170" s="7">
        <f>'FY28'!X170</f>
        <v>16920.764388482803</v>
      </c>
    </row>
    <row r="171" spans="1:7" x14ac:dyDescent="0.25">
      <c r="A171" s="62" t="s">
        <v>142</v>
      </c>
      <c r="B171" s="7">
        <f>'FY23'!X171</f>
        <v>0</v>
      </c>
      <c r="C171" s="7">
        <f>'FY24'!X171</f>
        <v>0</v>
      </c>
      <c r="D171" s="7">
        <f>'FY25'!X171</f>
        <v>0</v>
      </c>
      <c r="E171" s="7">
        <f>'FY26'!X171</f>
        <v>0</v>
      </c>
      <c r="F171" s="7">
        <f>'FY27'!X171</f>
        <v>0</v>
      </c>
      <c r="G171" s="7">
        <f>'FY28'!X171</f>
        <v>0</v>
      </c>
    </row>
    <row r="172" spans="1:7" x14ac:dyDescent="0.25">
      <c r="A172" s="62" t="s">
        <v>143</v>
      </c>
      <c r="B172" s="7">
        <f>'FY23'!X172</f>
        <v>1100</v>
      </c>
      <c r="C172" s="7">
        <f>'FY24'!X172</f>
        <v>1100</v>
      </c>
      <c r="D172" s="7">
        <f>'FY25'!X172</f>
        <v>1100</v>
      </c>
      <c r="E172" s="7">
        <f>'FY26'!X172</f>
        <v>1100</v>
      </c>
      <c r="F172" s="7">
        <f>'FY27'!X172</f>
        <v>1100</v>
      </c>
      <c r="G172" s="7">
        <f>'FY28'!X172</f>
        <v>1100</v>
      </c>
    </row>
    <row r="173" spans="1:7" x14ac:dyDescent="0.25">
      <c r="A173" s="62" t="s">
        <v>144</v>
      </c>
      <c r="B173" s="7">
        <f>'FY23'!X173</f>
        <v>5000</v>
      </c>
      <c r="C173" s="7">
        <f>'FY24'!X173</f>
        <v>5150</v>
      </c>
      <c r="D173" s="7">
        <f>'FY25'!X173</f>
        <v>5304.5</v>
      </c>
      <c r="E173" s="7">
        <f>'FY26'!X173</f>
        <v>5463.6350000000002</v>
      </c>
      <c r="F173" s="7">
        <f>'FY27'!X173</f>
        <v>5627.5440500000004</v>
      </c>
      <c r="G173" s="7">
        <f>'FY28'!X173</f>
        <v>5796.3703715000001</v>
      </c>
    </row>
    <row r="174" spans="1:7" x14ac:dyDescent="0.25">
      <c r="A174" s="62" t="s">
        <v>145</v>
      </c>
      <c r="B174" s="7">
        <f>'FY23'!X174</f>
        <v>32000</v>
      </c>
      <c r="C174" s="7">
        <f>'FY24'!X174</f>
        <v>33280</v>
      </c>
      <c r="D174" s="7">
        <f>'FY25'!X174</f>
        <v>34611.200000000004</v>
      </c>
      <c r="E174" s="7">
        <f>'FY26'!X174</f>
        <v>35995.648000000008</v>
      </c>
      <c r="F174" s="7">
        <f>'FY27'!X174</f>
        <v>37435.473920000011</v>
      </c>
      <c r="G174" s="7">
        <f>'FY28'!X174</f>
        <v>38932.892876800011</v>
      </c>
    </row>
    <row r="175" spans="1:7" ht="15.75" thickBot="1" x14ac:dyDescent="0.3">
      <c r="A175" s="62" t="s">
        <v>146</v>
      </c>
      <c r="B175" s="7">
        <f>'FY23'!X175</f>
        <v>2500</v>
      </c>
      <c r="C175" s="7">
        <f>'FY24'!X175</f>
        <v>4930</v>
      </c>
      <c r="D175" s="7">
        <f>'FY25'!X175</f>
        <v>4930</v>
      </c>
      <c r="E175" s="7">
        <f>'FY26'!X175</f>
        <v>4930</v>
      </c>
      <c r="F175" s="7">
        <f>'FY27'!X175</f>
        <v>4930</v>
      </c>
      <c r="G175" s="7">
        <f>'FY28'!X175</f>
        <v>4930</v>
      </c>
    </row>
    <row r="176" spans="1:7" ht="15.75" thickBot="1" x14ac:dyDescent="0.3">
      <c r="A176" s="95" t="s">
        <v>147</v>
      </c>
      <c r="B176" s="92">
        <f>SUM(B169:B175)</f>
        <v>60536</v>
      </c>
      <c r="C176" s="92">
        <f>SUM(C169:C175)</f>
        <v>64994.080000000002</v>
      </c>
      <c r="D176" s="92">
        <f t="shared" ref="D176:G176" si="31">SUM(D169:D175)</f>
        <v>67095.802400000015</v>
      </c>
      <c r="E176" s="92">
        <f t="shared" si="31"/>
        <v>69273.888472000021</v>
      </c>
      <c r="F176" s="92">
        <f t="shared" si="31"/>
        <v>71531.161606160022</v>
      </c>
      <c r="G176" s="92">
        <f t="shared" si="31"/>
        <v>73870.551193544816</v>
      </c>
    </row>
    <row r="177" spans="1:7" x14ac:dyDescent="0.25">
      <c r="A177" s="101" t="s">
        <v>148</v>
      </c>
      <c r="B177" s="96"/>
      <c r="C177" s="96"/>
      <c r="D177" s="96"/>
      <c r="E177" s="96"/>
      <c r="F177" s="96"/>
      <c r="G177" s="96"/>
    </row>
    <row r="178" spans="1:7" x14ac:dyDescent="0.25">
      <c r="A178" s="62" t="s">
        <v>149</v>
      </c>
      <c r="B178" s="7">
        <f>'FY23'!X178</f>
        <v>12650.000000000002</v>
      </c>
      <c r="C178" s="7">
        <f>'FY24'!X178</f>
        <v>13409.000000000002</v>
      </c>
      <c r="D178" s="7">
        <f>'FY25'!X178</f>
        <v>14213.540000000003</v>
      </c>
      <c r="E178" s="7">
        <f>'FY26'!X178</f>
        <v>15066.352400000003</v>
      </c>
      <c r="F178" s="7">
        <f>'FY27'!X178</f>
        <v>15970.333544000005</v>
      </c>
      <c r="G178" s="7">
        <f>'FY28'!X178</f>
        <v>16928.553556640007</v>
      </c>
    </row>
    <row r="179" spans="1:7" x14ac:dyDescent="0.25">
      <c r="A179" s="62" t="s">
        <v>150</v>
      </c>
      <c r="B179" s="7">
        <f>'FY23'!X179</f>
        <v>7700.0000000000009</v>
      </c>
      <c r="C179" s="7">
        <f>'FY24'!X179</f>
        <v>8162.0000000000018</v>
      </c>
      <c r="D179" s="7">
        <f>'FY25'!X179</f>
        <v>8651.720000000003</v>
      </c>
      <c r="E179" s="7">
        <f>'FY26'!X179</f>
        <v>9170.8232000000044</v>
      </c>
      <c r="F179" s="7">
        <f>'FY27'!X179</f>
        <v>9721.0725920000059</v>
      </c>
      <c r="G179" s="7">
        <f>'FY28'!X179</f>
        <v>10304.336947520007</v>
      </c>
    </row>
    <row r="180" spans="1:7" ht="15.75" thickBot="1" x14ac:dyDescent="0.3">
      <c r="A180" s="62" t="s">
        <v>151</v>
      </c>
      <c r="B180" s="7">
        <f>'FY23'!X180</f>
        <v>23100.000000000004</v>
      </c>
      <c r="C180" s="7">
        <f>'FY24'!X180</f>
        <v>24486.000000000004</v>
      </c>
      <c r="D180" s="7">
        <f>'FY25'!X180</f>
        <v>25955.160000000003</v>
      </c>
      <c r="E180" s="7">
        <f>'FY26'!X180</f>
        <v>27512.469600000004</v>
      </c>
      <c r="F180" s="7">
        <f>'FY27'!X180</f>
        <v>29163.217776000005</v>
      </c>
      <c r="G180" s="7">
        <f>'FY28'!X180</f>
        <v>30913.010842560008</v>
      </c>
    </row>
    <row r="181" spans="1:7" ht="15.75" thickBot="1" x14ac:dyDescent="0.3">
      <c r="A181" s="95" t="s">
        <v>152</v>
      </c>
      <c r="B181" s="92">
        <f>SUM(B178:B180)</f>
        <v>43450.000000000007</v>
      </c>
      <c r="C181" s="92">
        <f>SUM(C178:C180)</f>
        <v>46057.000000000007</v>
      </c>
      <c r="D181" s="92">
        <f t="shared" ref="D181:G181" si="32">SUM(D178:D180)</f>
        <v>48820.420000000013</v>
      </c>
      <c r="E181" s="92">
        <f t="shared" si="32"/>
        <v>51749.645200000014</v>
      </c>
      <c r="F181" s="92">
        <f t="shared" si="32"/>
        <v>54854.623912000017</v>
      </c>
      <c r="G181" s="92">
        <f t="shared" si="32"/>
        <v>58145.901346720028</v>
      </c>
    </row>
    <row r="182" spans="1:7" x14ac:dyDescent="0.25">
      <c r="A182" s="101" t="s">
        <v>153</v>
      </c>
      <c r="B182" s="96" t="str">
        <f t="shared" ref="B182:G182" si="33">B1</f>
        <v xml:space="preserve"> FY 23</v>
      </c>
      <c r="C182" s="96" t="str">
        <f t="shared" si="33"/>
        <v xml:space="preserve"> FY 24</v>
      </c>
      <c r="D182" s="96" t="str">
        <f t="shared" si="33"/>
        <v xml:space="preserve"> FY 25</v>
      </c>
      <c r="E182" s="96" t="str">
        <f t="shared" si="33"/>
        <v xml:space="preserve"> FY 26</v>
      </c>
      <c r="F182" s="96" t="str">
        <f t="shared" si="33"/>
        <v xml:space="preserve"> FY 27</v>
      </c>
      <c r="G182" s="96" t="str">
        <f t="shared" si="33"/>
        <v xml:space="preserve"> FY 28</v>
      </c>
    </row>
    <row r="183" spans="1:7" x14ac:dyDescent="0.25">
      <c r="A183" s="62" t="s">
        <v>154</v>
      </c>
      <c r="B183" s="7">
        <f>'FY23'!X183</f>
        <v>94428.478000000003</v>
      </c>
      <c r="C183" s="7">
        <f>'FY24'!X183</f>
        <v>102895.5</v>
      </c>
      <c r="D183" s="7">
        <f>'FY25'!X183</f>
        <v>102895.5</v>
      </c>
      <c r="E183" s="7">
        <f>'FY26'!X183</f>
        <v>102895.5</v>
      </c>
      <c r="F183" s="7">
        <f>'FY27'!X183</f>
        <v>102895.5</v>
      </c>
      <c r="G183" s="7">
        <f>'FY28'!X183</f>
        <v>102895.5</v>
      </c>
    </row>
    <row r="184" spans="1:7" x14ac:dyDescent="0.25">
      <c r="A184" s="62" t="s">
        <v>155</v>
      </c>
      <c r="B184" s="7">
        <f>'FY23'!X184</f>
        <v>5000</v>
      </c>
      <c r="C184" s="7">
        <f>'FY24'!X184</f>
        <v>5000</v>
      </c>
      <c r="D184" s="7">
        <f>'FY25'!X184</f>
        <v>5000</v>
      </c>
      <c r="E184" s="7">
        <f>'FY26'!X184</f>
        <v>5000</v>
      </c>
      <c r="F184" s="7">
        <f>'FY27'!X184</f>
        <v>5000</v>
      </c>
      <c r="G184" s="7">
        <f>'FY28'!X184</f>
        <v>5000</v>
      </c>
    </row>
    <row r="185" spans="1:7" x14ac:dyDescent="0.25">
      <c r="A185" s="62" t="s">
        <v>156</v>
      </c>
      <c r="B185" s="7">
        <f>'FY23'!X185</f>
        <v>2600</v>
      </c>
      <c r="C185" s="7">
        <f>'FY24'!X185</f>
        <v>2100</v>
      </c>
      <c r="D185" s="7">
        <f>'FY25'!X185</f>
        <v>2100</v>
      </c>
      <c r="E185" s="7">
        <f>'FY26'!X185</f>
        <v>2100</v>
      </c>
      <c r="F185" s="7">
        <f>'FY27'!X185</f>
        <v>2100</v>
      </c>
      <c r="G185" s="7">
        <f>'FY28'!X185</f>
        <v>2100</v>
      </c>
    </row>
    <row r="186" spans="1:7" x14ac:dyDescent="0.25">
      <c r="A186" s="62" t="s">
        <v>157</v>
      </c>
      <c r="B186" s="7">
        <f>'FY23'!X186</f>
        <v>1200</v>
      </c>
      <c r="C186" s="7">
        <f>'FY24'!X186</f>
        <v>900</v>
      </c>
      <c r="D186" s="7">
        <f>'FY25'!X186</f>
        <v>900</v>
      </c>
      <c r="E186" s="7">
        <f>'FY26'!X186</f>
        <v>900</v>
      </c>
      <c r="F186" s="7">
        <f>'FY27'!X186</f>
        <v>900</v>
      </c>
      <c r="G186" s="7">
        <f>'FY28'!X186</f>
        <v>900</v>
      </c>
    </row>
    <row r="187" spans="1:7" x14ac:dyDescent="0.25">
      <c r="A187" s="62" t="s">
        <v>158</v>
      </c>
      <c r="B187" s="7">
        <f>'FY23'!X187</f>
        <v>12200</v>
      </c>
      <c r="C187" s="7">
        <f>'FY24'!X187</f>
        <v>12000</v>
      </c>
      <c r="D187" s="7">
        <f>'FY25'!X187</f>
        <v>12000</v>
      </c>
      <c r="E187" s="7">
        <f>'FY26'!X187</f>
        <v>12000</v>
      </c>
      <c r="F187" s="7">
        <f>'FY27'!X187</f>
        <v>12000</v>
      </c>
      <c r="G187" s="7">
        <f>'FY28'!X187</f>
        <v>12000</v>
      </c>
    </row>
    <row r="188" spans="1:7" x14ac:dyDescent="0.25">
      <c r="A188" s="62" t="s">
        <v>159</v>
      </c>
      <c r="B188" s="7">
        <f>'FY23'!X188</f>
        <v>0</v>
      </c>
      <c r="C188" s="7">
        <f>'FY24'!X188</f>
        <v>0</v>
      </c>
      <c r="D188" s="7">
        <f>'FY25'!X188</f>
        <v>0</v>
      </c>
      <c r="E188" s="7">
        <f>'FY26'!X188</f>
        <v>0</v>
      </c>
      <c r="F188" s="7">
        <f>'FY27'!X188</f>
        <v>0</v>
      </c>
      <c r="G188" s="7">
        <f>'FY28'!X188</f>
        <v>0</v>
      </c>
    </row>
    <row r="189" spans="1:7" x14ac:dyDescent="0.25">
      <c r="A189" s="62" t="s">
        <v>160</v>
      </c>
      <c r="B189" s="7">
        <f>'FY23'!X189</f>
        <v>0</v>
      </c>
      <c r="C189" s="7">
        <f>'FY24'!X189</f>
        <v>0</v>
      </c>
      <c r="D189" s="7">
        <f>'FY25'!X189</f>
        <v>0</v>
      </c>
      <c r="E189" s="7">
        <f>'FY26'!X189</f>
        <v>0</v>
      </c>
      <c r="F189" s="7">
        <f>'FY27'!X189</f>
        <v>0</v>
      </c>
      <c r="G189" s="7">
        <f>'FY28'!X189</f>
        <v>0</v>
      </c>
    </row>
    <row r="190" spans="1:7" x14ac:dyDescent="0.25">
      <c r="A190" s="62" t="s">
        <v>161</v>
      </c>
      <c r="B190" s="7">
        <f>'FY23'!X190</f>
        <v>0</v>
      </c>
      <c r="C190" s="7">
        <f>'FY24'!X190</f>
        <v>0</v>
      </c>
      <c r="D190" s="7">
        <f>'FY25'!X190</f>
        <v>0</v>
      </c>
      <c r="E190" s="7">
        <f>'FY26'!X190</f>
        <v>0</v>
      </c>
      <c r="F190" s="7">
        <f>'FY27'!X190</f>
        <v>0</v>
      </c>
      <c r="G190" s="7">
        <f>'FY28'!X190</f>
        <v>0</v>
      </c>
    </row>
    <row r="191" spans="1:7" ht="15.75" thickBot="1" x14ac:dyDescent="0.3">
      <c r="A191" s="62" t="s">
        <v>162</v>
      </c>
      <c r="B191" s="7">
        <f>'FY23'!X191</f>
        <v>1750</v>
      </c>
      <c r="C191" s="7">
        <f>'FY24'!X191</f>
        <v>2000</v>
      </c>
      <c r="D191" s="7">
        <f>'FY25'!X191</f>
        <v>2000</v>
      </c>
      <c r="E191" s="7">
        <f>'FY26'!X191</f>
        <v>2000</v>
      </c>
      <c r="F191" s="7">
        <f>'FY27'!X191</f>
        <v>2000</v>
      </c>
      <c r="G191" s="7">
        <f>'FY28'!X191</f>
        <v>2000</v>
      </c>
    </row>
    <row r="192" spans="1:7" ht="15.75" thickBot="1" x14ac:dyDescent="0.3">
      <c r="A192" s="95" t="s">
        <v>163</v>
      </c>
      <c r="B192" s="92">
        <f>SUM(B183:B191)</f>
        <v>117178.478</v>
      </c>
      <c r="C192" s="92">
        <f>SUM(C183:C191)</f>
        <v>124895.5</v>
      </c>
      <c r="D192" s="92">
        <f t="shared" ref="D192:G192" si="34">SUM(D183:D191)</f>
        <v>124895.5</v>
      </c>
      <c r="E192" s="92">
        <f t="shared" si="34"/>
        <v>124895.5</v>
      </c>
      <c r="F192" s="92">
        <f t="shared" si="34"/>
        <v>124895.5</v>
      </c>
      <c r="G192" s="92">
        <f t="shared" si="34"/>
        <v>124895.5</v>
      </c>
    </row>
    <row r="193" spans="1:7" x14ac:dyDescent="0.25">
      <c r="A193" s="101" t="s">
        <v>164</v>
      </c>
      <c r="B193" s="77" t="str">
        <f>B182</f>
        <v xml:space="preserve"> FY 23</v>
      </c>
      <c r="C193" s="77" t="str">
        <f>C182</f>
        <v xml:space="preserve"> FY 24</v>
      </c>
      <c r="D193" s="77" t="str">
        <f>D182</f>
        <v xml:space="preserve"> FY 25</v>
      </c>
      <c r="E193" s="77" t="str">
        <f t="shared" ref="E193:G193" si="35">E182</f>
        <v xml:space="preserve"> FY 26</v>
      </c>
      <c r="F193" s="77" t="str">
        <f t="shared" si="35"/>
        <v xml:space="preserve"> FY 27</v>
      </c>
      <c r="G193" s="77" t="str">
        <f t="shared" si="35"/>
        <v xml:space="preserve"> FY 28</v>
      </c>
    </row>
    <row r="194" spans="1:7" x14ac:dyDescent="0.25">
      <c r="A194" s="62" t="s">
        <v>165</v>
      </c>
      <c r="B194" s="7">
        <f>'FY23'!X194</f>
        <v>73500</v>
      </c>
      <c r="C194" s="7">
        <f>'FY24'!X194</f>
        <v>75705</v>
      </c>
      <c r="D194" s="7">
        <f>'FY25'!X194</f>
        <v>77976.150000000009</v>
      </c>
      <c r="E194" s="7">
        <f>'FY26'!X194</f>
        <v>80315.434500000018</v>
      </c>
      <c r="F194" s="7">
        <f>'FY27'!X194</f>
        <v>82724.897535000026</v>
      </c>
      <c r="G194" s="7">
        <f>'FY28'!X194</f>
        <v>85206.644461050033</v>
      </c>
    </row>
    <row r="195" spans="1:7" x14ac:dyDescent="0.25">
      <c r="A195" s="62" t="s">
        <v>166</v>
      </c>
      <c r="B195" s="7">
        <f>'FY23'!X195</f>
        <v>0</v>
      </c>
      <c r="C195" s="7">
        <f>'FY24'!X195</f>
        <v>0</v>
      </c>
      <c r="D195" s="7">
        <f>'FY25'!X195</f>
        <v>0</v>
      </c>
      <c r="E195" s="7">
        <f>'FY26'!X195</f>
        <v>0</v>
      </c>
      <c r="F195" s="7">
        <f>'FY27'!X195</f>
        <v>0</v>
      </c>
      <c r="G195" s="7">
        <f>'FY28'!X195</f>
        <v>0</v>
      </c>
    </row>
    <row r="196" spans="1:7" x14ac:dyDescent="0.25">
      <c r="A196" s="62" t="s">
        <v>167</v>
      </c>
      <c r="B196" s="7">
        <f>'FY23'!X196</f>
        <v>16200</v>
      </c>
      <c r="C196" s="7">
        <f>'FY24'!X196</f>
        <v>16686</v>
      </c>
      <c r="D196" s="7">
        <f>'FY25'!X196</f>
        <v>17186.580000000002</v>
      </c>
      <c r="E196" s="7">
        <f>'FY26'!X196</f>
        <v>17702.1774</v>
      </c>
      <c r="F196" s="7">
        <f>'FY27'!X196</f>
        <v>18233.242722000003</v>
      </c>
      <c r="G196" s="7">
        <f>'FY28'!X196</f>
        <v>18780.240003660005</v>
      </c>
    </row>
    <row r="197" spans="1:7" x14ac:dyDescent="0.25">
      <c r="A197" s="62" t="s">
        <v>168</v>
      </c>
      <c r="B197" s="7">
        <f>'FY23'!X197</f>
        <v>29400</v>
      </c>
      <c r="C197" s="7">
        <f>'FY24'!X197</f>
        <v>30282</v>
      </c>
      <c r="D197" s="7">
        <f>'FY25'!X197</f>
        <v>31190.46</v>
      </c>
      <c r="E197" s="7">
        <f>'FY26'!X197</f>
        <v>32126.1738</v>
      </c>
      <c r="F197" s="7">
        <f>'FY27'!X197</f>
        <v>33089.959014</v>
      </c>
      <c r="G197" s="7">
        <f>'FY28'!X197</f>
        <v>34082.65778442</v>
      </c>
    </row>
    <row r="198" spans="1:7" x14ac:dyDescent="0.25">
      <c r="A198" s="62" t="s">
        <v>169</v>
      </c>
      <c r="B198" s="7">
        <f>'FY23'!X198</f>
        <v>8500</v>
      </c>
      <c r="C198" s="7">
        <f>'FY24'!X198</f>
        <v>8755</v>
      </c>
      <c r="D198" s="7">
        <f>'FY25'!X198</f>
        <v>9017.65</v>
      </c>
      <c r="E198" s="7">
        <f>'FY26'!X198</f>
        <v>9288.1795000000002</v>
      </c>
      <c r="F198" s="7">
        <f>'FY27'!X198</f>
        <v>9566.824885</v>
      </c>
      <c r="G198" s="7">
        <f>'FY28'!X198</f>
        <v>9853.8296315500011</v>
      </c>
    </row>
    <row r="199" spans="1:7" x14ac:dyDescent="0.25">
      <c r="A199" s="62" t="s">
        <v>170</v>
      </c>
      <c r="B199" s="7">
        <f>'FY23'!X199</f>
        <v>112275.15000000001</v>
      </c>
      <c r="C199" s="7">
        <f>'FY24'!X199</f>
        <v>115643.40450000002</v>
      </c>
      <c r="D199" s="7">
        <f>'FY25'!X199</f>
        <v>119112.70663500002</v>
      </c>
      <c r="E199" s="7">
        <f>'FY26'!X199</f>
        <v>122686.08783405003</v>
      </c>
      <c r="F199" s="7">
        <f>'FY27'!X199</f>
        <v>126366.67046907154</v>
      </c>
      <c r="G199" s="7">
        <f>'FY28'!X199</f>
        <v>126366.67046907154</v>
      </c>
    </row>
    <row r="200" spans="1:7" x14ac:dyDescent="0.25">
      <c r="A200" s="62" t="s">
        <v>171</v>
      </c>
      <c r="B200" s="7">
        <f>'FY23'!X200</f>
        <v>38368</v>
      </c>
      <c r="C200" s="7">
        <f>'FY24'!X200</f>
        <v>38880</v>
      </c>
      <c r="D200" s="7">
        <f>'FY25'!X200</f>
        <v>38880</v>
      </c>
      <c r="E200" s="7">
        <f>'FY26'!X200</f>
        <v>38880</v>
      </c>
      <c r="F200" s="7">
        <f>'FY27'!X200</f>
        <v>38880</v>
      </c>
      <c r="G200" s="7">
        <f>'FY28'!X200</f>
        <v>38880</v>
      </c>
    </row>
    <row r="201" spans="1:7" x14ac:dyDescent="0.25">
      <c r="A201" s="62" t="s">
        <v>173</v>
      </c>
      <c r="B201" s="7">
        <f>'FY23'!X201</f>
        <v>60000</v>
      </c>
      <c r="C201" s="7">
        <f>'FY24'!X201</f>
        <v>62500</v>
      </c>
      <c r="D201" s="7">
        <f>'FY25'!X201</f>
        <v>65000</v>
      </c>
      <c r="E201" s="7">
        <f>'FY26'!X201</f>
        <v>67500</v>
      </c>
      <c r="F201" s="7">
        <f>'FY27'!X201</f>
        <v>70000</v>
      </c>
      <c r="G201" s="7">
        <f>'FY28'!X201</f>
        <v>72500</v>
      </c>
    </row>
    <row r="202" spans="1:7" x14ac:dyDescent="0.25">
      <c r="A202" s="62" t="s">
        <v>174</v>
      </c>
      <c r="B202" s="7">
        <f>'FY23'!X202</f>
        <v>13335</v>
      </c>
      <c r="C202" s="7">
        <f>'FY24'!X202</f>
        <v>13735.050000000001</v>
      </c>
      <c r="D202" s="7">
        <f>'FY25'!X202</f>
        <v>14147.101500000001</v>
      </c>
      <c r="E202" s="7">
        <f>'FY26'!X202</f>
        <v>14571.514545000002</v>
      </c>
      <c r="F202" s="7">
        <f>'FY27'!X202</f>
        <v>15008.659981350002</v>
      </c>
      <c r="G202" s="7">
        <f>'FY28'!X202</f>
        <v>15458.919780790502</v>
      </c>
    </row>
    <row r="203" spans="1:7" x14ac:dyDescent="0.25">
      <c r="A203" s="62" t="s">
        <v>175</v>
      </c>
      <c r="B203" s="7">
        <f>'FY23'!X203</f>
        <v>0</v>
      </c>
      <c r="C203" s="7">
        <f>'FY24'!X203</f>
        <v>0</v>
      </c>
      <c r="D203" s="7">
        <f>'FY25'!X203</f>
        <v>0</v>
      </c>
      <c r="E203" s="7">
        <f>'FY26'!X203</f>
        <v>0</v>
      </c>
      <c r="F203" s="7">
        <f>'FY27'!X203</f>
        <v>0</v>
      </c>
      <c r="G203" s="7">
        <f>'FY28'!X203</f>
        <v>0</v>
      </c>
    </row>
    <row r="204" spans="1:7" ht="15.75" thickBot="1" x14ac:dyDescent="0.3">
      <c r="A204" s="62" t="s">
        <v>176</v>
      </c>
      <c r="B204" s="7">
        <f>'FY23'!X204</f>
        <v>18060</v>
      </c>
      <c r="C204" s="7">
        <f>'FY24'!X204</f>
        <v>18601.8</v>
      </c>
      <c r="D204" s="7">
        <f>'FY25'!X204</f>
        <v>19159.853999999999</v>
      </c>
      <c r="E204" s="7">
        <f>'FY26'!X204</f>
        <v>19734.64962</v>
      </c>
      <c r="F204" s="7">
        <f>'FY27'!X204</f>
        <v>20326.6891086</v>
      </c>
      <c r="G204" s="7">
        <f>'FY28'!X204</f>
        <v>20936.489781857999</v>
      </c>
    </row>
    <row r="205" spans="1:7" ht="15.75" thickBot="1" x14ac:dyDescent="0.3">
      <c r="A205" s="95" t="s">
        <v>177</v>
      </c>
      <c r="B205" s="90">
        <f>SUM(B194:B204)</f>
        <v>369638.15</v>
      </c>
      <c r="C205" s="90">
        <f>SUM(C194:C204)</f>
        <v>380788.25449999998</v>
      </c>
      <c r="D205" s="90">
        <f>SUM(D194:D204)</f>
        <v>391670.50213500002</v>
      </c>
      <c r="E205" s="90">
        <f t="shared" ref="E205:G205" si="36">SUM(E194:E204)</f>
        <v>402804.21719905001</v>
      </c>
      <c r="F205" s="90">
        <f t="shared" si="36"/>
        <v>414196.9437150216</v>
      </c>
      <c r="G205" s="90">
        <f t="shared" si="36"/>
        <v>422065.45191240008</v>
      </c>
    </row>
    <row r="206" spans="1:7" ht="15.75" thickBot="1" x14ac:dyDescent="0.3">
      <c r="A206" s="102"/>
      <c r="B206" s="103"/>
      <c r="C206" s="103"/>
      <c r="D206" s="103"/>
      <c r="E206" s="103"/>
      <c r="F206" s="103"/>
      <c r="G206" s="103"/>
    </row>
    <row r="207" spans="1:7" ht="15.75" thickBot="1" x14ac:dyDescent="0.3">
      <c r="A207" s="95" t="s">
        <v>178</v>
      </c>
      <c r="B207" s="104">
        <f t="shared" ref="B207:G207" si="37">B139+B151+B167+B176+B181+B192+B205</f>
        <v>7638865.8174494999</v>
      </c>
      <c r="C207" s="104">
        <f t="shared" si="37"/>
        <v>7948975.8496044166</v>
      </c>
      <c r="D207" s="104">
        <f t="shared" si="37"/>
        <v>8036363.6447860897</v>
      </c>
      <c r="E207" s="104">
        <f t="shared" si="37"/>
        <v>8181472.2072618064</v>
      </c>
      <c r="F207" s="104">
        <f t="shared" si="37"/>
        <v>8338384.181020475</v>
      </c>
      <c r="G207" s="104">
        <f t="shared" si="37"/>
        <v>8487625.823514713</v>
      </c>
    </row>
    <row r="208" spans="1:7" x14ac:dyDescent="0.25">
      <c r="A208" s="105"/>
      <c r="B208" s="61"/>
      <c r="C208" s="61"/>
      <c r="D208" s="61"/>
      <c r="E208" s="61"/>
      <c r="F208" s="61"/>
      <c r="G208" s="61"/>
    </row>
    <row r="209" spans="1:7" x14ac:dyDescent="0.25">
      <c r="A209" s="106" t="s">
        <v>179</v>
      </c>
      <c r="B209" s="7">
        <f>'FY23'!X209</f>
        <v>0</v>
      </c>
      <c r="C209" s="7">
        <f>'FY24'!X209</f>
        <v>0</v>
      </c>
      <c r="D209" s="7">
        <f>'FY25'!X209</f>
        <v>0</v>
      </c>
      <c r="E209" s="7">
        <f>'FY26'!X209</f>
        <v>0</v>
      </c>
      <c r="F209" s="7">
        <f>'FY27'!X209</f>
        <v>0</v>
      </c>
      <c r="G209" s="7">
        <f>'FY28'!X209</f>
        <v>0</v>
      </c>
    </row>
    <row r="210" spans="1:7" s="212" customFormat="1" x14ac:dyDescent="0.25">
      <c r="A210" s="210" t="s">
        <v>180</v>
      </c>
      <c r="B210" s="7">
        <f>'FY23'!X210</f>
        <v>1148600</v>
      </c>
      <c r="C210" s="7">
        <f>'FY24'!X210</f>
        <v>1160000</v>
      </c>
      <c r="D210" s="7">
        <f>'FY25'!X210</f>
        <v>1163048</v>
      </c>
      <c r="E210" s="7">
        <f>'FY26'!X210</f>
        <v>1164762</v>
      </c>
      <c r="F210" s="7">
        <f>'FY27'!X210</f>
        <v>1164000</v>
      </c>
      <c r="G210" s="7">
        <f>'FY28'!X210</f>
        <v>1164500</v>
      </c>
    </row>
    <row r="211" spans="1:7" x14ac:dyDescent="0.25">
      <c r="A211" s="210" t="s">
        <v>180</v>
      </c>
      <c r="B211" s="7">
        <f>'FY23'!X211</f>
        <v>0</v>
      </c>
      <c r="C211" s="7">
        <f>'FY24'!X211</f>
        <v>0</v>
      </c>
      <c r="D211" s="7">
        <f>'FY25'!X211</f>
        <v>0</v>
      </c>
      <c r="E211" s="7">
        <f>'FY26'!X211</f>
        <v>0</v>
      </c>
      <c r="F211" s="7">
        <f>'FY27'!X211</f>
        <v>0</v>
      </c>
      <c r="G211" s="7">
        <f>'FY28'!X211</f>
        <v>0</v>
      </c>
    </row>
    <row r="212" spans="1:7" hidden="1" x14ac:dyDescent="0.25">
      <c r="A212" s="210"/>
      <c r="B212" s="7">
        <f>'FY23'!X212</f>
        <v>0</v>
      </c>
      <c r="C212" s="7">
        <f>'FY24'!X212</f>
        <v>0</v>
      </c>
      <c r="D212" s="7">
        <f>'FY25'!X212</f>
        <v>0</v>
      </c>
      <c r="E212" s="7">
        <f>'FY26'!X212</f>
        <v>0</v>
      </c>
      <c r="F212" s="7">
        <f>'FY27'!X212</f>
        <v>0</v>
      </c>
      <c r="G212" s="7">
        <f>'FY28'!X212</f>
        <v>0</v>
      </c>
    </row>
    <row r="213" spans="1:7" hidden="1" x14ac:dyDescent="0.25">
      <c r="A213" s="106"/>
      <c r="B213" s="7">
        <f>'FY23'!X213</f>
        <v>0</v>
      </c>
      <c r="C213" s="7">
        <f>'FY24'!X213</f>
        <v>0</v>
      </c>
      <c r="D213" s="7">
        <f>'FY25'!X213</f>
        <v>0</v>
      </c>
      <c r="E213" s="7">
        <f>'FY26'!X213</f>
        <v>0</v>
      </c>
      <c r="F213" s="7">
        <f>'FY27'!X213</f>
        <v>0</v>
      </c>
      <c r="G213" s="7">
        <f>'FY28'!X213</f>
        <v>0</v>
      </c>
    </row>
    <row r="214" spans="1:7" hidden="1" x14ac:dyDescent="0.25">
      <c r="A214" s="106"/>
      <c r="B214" s="7">
        <f>'FY23'!X214</f>
        <v>0</v>
      </c>
      <c r="C214" s="7">
        <f>'FY24'!X214</f>
        <v>0</v>
      </c>
      <c r="D214" s="7">
        <f>'FY25'!X214</f>
        <v>0</v>
      </c>
      <c r="E214" s="7">
        <f>'FY26'!X214</f>
        <v>0</v>
      </c>
      <c r="F214" s="7">
        <f>'FY27'!X214</f>
        <v>0</v>
      </c>
      <c r="G214" s="7">
        <f>'FY28'!X214</f>
        <v>0</v>
      </c>
    </row>
    <row r="215" spans="1:7" hidden="1" x14ac:dyDescent="0.25">
      <c r="A215" s="106"/>
      <c r="B215" s="7">
        <f>'FY23'!X215</f>
        <v>0</v>
      </c>
      <c r="C215" s="7">
        <f>'FY24'!X215</f>
        <v>0</v>
      </c>
      <c r="D215" s="7">
        <f>'FY25'!X215</f>
        <v>0</v>
      </c>
      <c r="E215" s="7">
        <f>'FY26'!X215</f>
        <v>0</v>
      </c>
      <c r="F215" s="7">
        <f>'FY27'!X215</f>
        <v>0</v>
      </c>
      <c r="G215" s="7">
        <f>'FY28'!X215</f>
        <v>0</v>
      </c>
    </row>
    <row r="216" spans="1:7" x14ac:dyDescent="0.25">
      <c r="A216" s="106" t="s">
        <v>180</v>
      </c>
      <c r="B216" s="7">
        <f>'FY23'!X216</f>
        <v>0</v>
      </c>
      <c r="C216" s="7">
        <f>'FY24'!X216</f>
        <v>0</v>
      </c>
      <c r="D216" s="7">
        <f>'FY25'!X216</f>
        <v>0</v>
      </c>
      <c r="E216" s="7">
        <f>'FY26'!X216</f>
        <v>0</v>
      </c>
      <c r="F216" s="7">
        <f>'FY27'!X216</f>
        <v>0</v>
      </c>
      <c r="G216" s="7">
        <f>'FY28'!X216</f>
        <v>0</v>
      </c>
    </row>
    <row r="217" spans="1:7" x14ac:dyDescent="0.25">
      <c r="A217" s="107" t="s">
        <v>181</v>
      </c>
      <c r="B217" s="7">
        <f>'FY23'!X217</f>
        <v>0</v>
      </c>
      <c r="C217" s="7">
        <f>'FY24'!X217</f>
        <v>0</v>
      </c>
      <c r="D217" s="7">
        <f>'FY25'!X217</f>
        <v>0</v>
      </c>
      <c r="E217" s="7">
        <f>'FY26'!X217</f>
        <v>0</v>
      </c>
      <c r="F217" s="7">
        <f>'FY27'!X217</f>
        <v>0</v>
      </c>
      <c r="G217" s="7">
        <f>'FY28'!X217</f>
        <v>0</v>
      </c>
    </row>
    <row r="218" spans="1:7" x14ac:dyDescent="0.25">
      <c r="A218" s="146"/>
      <c r="B218" s="7">
        <f>'FY23'!X218</f>
        <v>0</v>
      </c>
      <c r="C218" s="7">
        <f>'FY24'!X218</f>
        <v>0</v>
      </c>
      <c r="D218" s="7">
        <f>'FY25'!X218</f>
        <v>0</v>
      </c>
      <c r="E218" s="7">
        <f>'FY26'!X218</f>
        <v>0</v>
      </c>
      <c r="F218" s="7">
        <f>'FY27'!X218</f>
        <v>0</v>
      </c>
      <c r="G218" s="7">
        <f>'FY28'!X218</f>
        <v>0</v>
      </c>
    </row>
    <row r="219" spans="1:7" x14ac:dyDescent="0.25">
      <c r="A219" s="147"/>
      <c r="B219" s="7"/>
      <c r="C219" s="7"/>
      <c r="D219" s="7"/>
      <c r="E219" s="7"/>
      <c r="F219" s="7"/>
      <c r="G219" s="7"/>
    </row>
    <row r="220" spans="1:7" ht="15.75" thickBot="1" x14ac:dyDescent="0.3">
      <c r="A220" s="144" t="s">
        <v>183</v>
      </c>
      <c r="B220" s="145">
        <f>B86-B207-B210-B211-B216-B217</f>
        <v>589785.06655049976</v>
      </c>
      <c r="C220" s="145">
        <f>C86-C207-C209-C210-C211-C216-C217</f>
        <v>493497.51150066964</v>
      </c>
      <c r="D220" s="145">
        <f t="shared" ref="D220:G220" si="38">D86-D207-D209-D210-D211-D216-D217</f>
        <v>519272.15947399661</v>
      </c>
      <c r="E220" s="145">
        <f t="shared" si="38"/>
        <v>496129.07596433349</v>
      </c>
      <c r="F220" s="145">
        <f t="shared" si="38"/>
        <v>459963.2175675882</v>
      </c>
      <c r="G220" s="145">
        <f t="shared" si="38"/>
        <v>441859.65334281698</v>
      </c>
    </row>
    <row r="221" spans="1:7" ht="15.75" thickBot="1" x14ac:dyDescent="0.3">
      <c r="A221" s="108"/>
      <c r="B221" s="110">
        <f>B220/(B86-B76)</f>
        <v>6.3577474849879814E-2</v>
      </c>
      <c r="C221" s="110">
        <f>C220/(C86-C76)</f>
        <v>5.2014693484380758E-2</v>
      </c>
      <c r="D221" s="110">
        <f>D220/(D86-D76)</f>
        <v>5.4069074164813984E-2</v>
      </c>
      <c r="E221" s="110">
        <f>E220/(E86)</f>
        <v>5.0407515114775543E-2</v>
      </c>
      <c r="F221" s="110">
        <f>F220/(F86-F76)</f>
        <v>4.6708486524477337E-2</v>
      </c>
      <c r="G221" s="110">
        <f>G220/(G86-G76)</f>
        <v>4.4278205795064682E-2</v>
      </c>
    </row>
    <row r="222" spans="1:7" x14ac:dyDescent="0.25">
      <c r="B222" s="111"/>
      <c r="C222" s="111"/>
      <c r="D222" s="111"/>
      <c r="E222" s="111"/>
      <c r="F222" s="111"/>
      <c r="G222" s="111"/>
    </row>
    <row r="223" spans="1:7" x14ac:dyDescent="0.25">
      <c r="A223" s="112" t="str">
        <f>A1</f>
        <v>Pinecrest Academy of Nevada - Inspirada</v>
      </c>
      <c r="B223" s="112" t="str">
        <f>B1</f>
        <v xml:space="preserve"> FY 23</v>
      </c>
      <c r="C223" s="112" t="str">
        <f>C1</f>
        <v xml:space="preserve"> FY 24</v>
      </c>
      <c r="D223" s="112" t="str">
        <f>D1</f>
        <v xml:space="preserve"> FY 25</v>
      </c>
      <c r="E223" s="112" t="str">
        <f t="shared" ref="E223:G223" si="39">E1</f>
        <v xml:space="preserve"> FY 26</v>
      </c>
      <c r="F223" s="112" t="str">
        <f t="shared" si="39"/>
        <v xml:space="preserve"> FY 27</v>
      </c>
      <c r="G223" s="112" t="str">
        <f t="shared" si="39"/>
        <v xml:space="preserve"> FY 28</v>
      </c>
    </row>
    <row r="224" spans="1:7" x14ac:dyDescent="0.25">
      <c r="B224" s="109"/>
      <c r="C224" s="109"/>
      <c r="D224" s="109"/>
      <c r="E224" s="109"/>
      <c r="F224" s="109"/>
      <c r="G224" s="109"/>
    </row>
    <row r="225" spans="1:7" x14ac:dyDescent="0.25">
      <c r="A225" s="112"/>
      <c r="B225" s="71" t="b">
        <f>B220='FY23'!X220</f>
        <v>1</v>
      </c>
      <c r="C225" s="71" t="b">
        <f>C220='FY24'!X220</f>
        <v>1</v>
      </c>
      <c r="D225" s="71" t="b">
        <f>D220='FY25'!X220</f>
        <v>1</v>
      </c>
      <c r="E225" s="71" t="b">
        <f>E220='FY26'!X220</f>
        <v>1</v>
      </c>
      <c r="F225" s="71" t="b">
        <f>F220='FY27'!X220</f>
        <v>1</v>
      </c>
      <c r="G225" s="71" t="b">
        <f>G220='FY28'!X220</f>
        <v>1</v>
      </c>
    </row>
    <row r="226" spans="1:7" x14ac:dyDescent="0.25">
      <c r="B226" s="109"/>
      <c r="C226" s="109"/>
      <c r="D226" s="109"/>
      <c r="E226" s="109"/>
      <c r="F226" s="109"/>
      <c r="G226" s="109"/>
    </row>
    <row r="228" spans="1:7" x14ac:dyDescent="0.25">
      <c r="A228" s="266" t="s">
        <v>187</v>
      </c>
      <c r="B228" s="267">
        <f>B86-B207</f>
        <v>1738385.0665504998</v>
      </c>
      <c r="C228" s="267">
        <f t="shared" ref="C228:G228" si="40">C86-C207</f>
        <v>1653497.5115006696</v>
      </c>
      <c r="D228" s="267">
        <f t="shared" si="40"/>
        <v>1682320.1594739966</v>
      </c>
      <c r="E228" s="267">
        <f t="shared" si="40"/>
        <v>1660891.0759643335</v>
      </c>
      <c r="F228" s="267">
        <f t="shared" si="40"/>
        <v>1623963.2175675882</v>
      </c>
      <c r="G228" s="267">
        <f t="shared" si="40"/>
        <v>1606359.653342817</v>
      </c>
    </row>
    <row r="229" spans="1:7" x14ac:dyDescent="0.25">
      <c r="B229" s="268"/>
      <c r="C229" s="268"/>
      <c r="D229" s="268"/>
      <c r="E229" s="268"/>
      <c r="F229" s="268"/>
      <c r="G229" s="268"/>
    </row>
    <row r="230" spans="1:7" x14ac:dyDescent="0.25">
      <c r="A230" t="str">
        <f>A209</f>
        <v>Scheduled Lease Payment</v>
      </c>
      <c r="B230" s="269">
        <f t="shared" ref="B230:G234" si="41">B213</f>
        <v>0</v>
      </c>
      <c r="C230" s="269">
        <f t="shared" ref="C230:G232" si="42">C209</f>
        <v>0</v>
      </c>
      <c r="D230" s="269">
        <f t="shared" si="42"/>
        <v>0</v>
      </c>
      <c r="E230" s="269">
        <f t="shared" si="42"/>
        <v>0</v>
      </c>
      <c r="F230" s="269">
        <f t="shared" si="42"/>
        <v>0</v>
      </c>
      <c r="G230" s="269">
        <f t="shared" si="42"/>
        <v>0</v>
      </c>
    </row>
    <row r="231" spans="1:7" x14ac:dyDescent="0.25">
      <c r="A231" t="s">
        <v>180</v>
      </c>
      <c r="B231" s="269">
        <f>B210</f>
        <v>1148600</v>
      </c>
      <c r="C231" s="269">
        <f t="shared" si="42"/>
        <v>1160000</v>
      </c>
      <c r="D231" s="269">
        <f t="shared" si="42"/>
        <v>1163048</v>
      </c>
      <c r="E231" s="269">
        <f t="shared" si="42"/>
        <v>1164762</v>
      </c>
      <c r="F231" s="269">
        <f t="shared" si="42"/>
        <v>1164000</v>
      </c>
      <c r="G231" s="269">
        <f t="shared" si="42"/>
        <v>1164500</v>
      </c>
    </row>
    <row r="232" spans="1:7" x14ac:dyDescent="0.25">
      <c r="A232" t="s">
        <v>180</v>
      </c>
      <c r="B232" s="269">
        <f>B211</f>
        <v>0</v>
      </c>
      <c r="C232" s="269">
        <f t="shared" si="42"/>
        <v>0</v>
      </c>
      <c r="D232" s="269">
        <f t="shared" si="42"/>
        <v>0</v>
      </c>
      <c r="E232" s="269">
        <f t="shared" si="42"/>
        <v>0</v>
      </c>
      <c r="F232" s="269">
        <f t="shared" si="42"/>
        <v>0</v>
      </c>
      <c r="G232" s="269">
        <f t="shared" si="42"/>
        <v>0</v>
      </c>
    </row>
    <row r="233" spans="1:7" x14ac:dyDescent="0.25">
      <c r="A233" t="s">
        <v>180</v>
      </c>
      <c r="B233" s="269">
        <f t="shared" si="41"/>
        <v>0</v>
      </c>
      <c r="C233" s="269">
        <f t="shared" si="41"/>
        <v>0</v>
      </c>
      <c r="D233" s="269">
        <f t="shared" si="41"/>
        <v>0</v>
      </c>
      <c r="E233" s="269">
        <f t="shared" si="41"/>
        <v>0</v>
      </c>
      <c r="F233" s="269">
        <f t="shared" si="41"/>
        <v>0</v>
      </c>
      <c r="G233" s="269">
        <f t="shared" si="41"/>
        <v>0</v>
      </c>
    </row>
    <row r="234" spans="1:7" x14ac:dyDescent="0.25">
      <c r="B234" s="269">
        <f>B217</f>
        <v>0</v>
      </c>
      <c r="C234" s="269">
        <f t="shared" si="41"/>
        <v>0</v>
      </c>
      <c r="D234" s="269">
        <f t="shared" si="41"/>
        <v>0</v>
      </c>
      <c r="E234" s="269">
        <f t="shared" si="41"/>
        <v>0</v>
      </c>
      <c r="F234" s="269">
        <f t="shared" si="41"/>
        <v>0</v>
      </c>
      <c r="G234" s="269">
        <f t="shared" si="41"/>
        <v>0</v>
      </c>
    </row>
    <row r="235" spans="1:7" x14ac:dyDescent="0.25">
      <c r="A235" s="270" t="s">
        <v>188</v>
      </c>
      <c r="B235" s="271">
        <f t="shared" ref="B235:G235" si="43">SUM(B230:B234)</f>
        <v>1148600</v>
      </c>
      <c r="C235" s="271">
        <f t="shared" si="43"/>
        <v>1160000</v>
      </c>
      <c r="D235" s="271">
        <f t="shared" si="43"/>
        <v>1163048</v>
      </c>
      <c r="E235" s="271">
        <f t="shared" si="43"/>
        <v>1164762</v>
      </c>
      <c r="F235" s="271">
        <f t="shared" si="43"/>
        <v>1164000</v>
      </c>
      <c r="G235" s="271">
        <f t="shared" si="43"/>
        <v>1164500</v>
      </c>
    </row>
    <row r="236" spans="1:7" x14ac:dyDescent="0.25">
      <c r="B236" s="268"/>
      <c r="C236" s="268"/>
      <c r="D236" s="268"/>
      <c r="E236" s="268"/>
      <c r="F236" s="268"/>
      <c r="G236" s="268"/>
    </row>
    <row r="237" spans="1:7" x14ac:dyDescent="0.25">
      <c r="A237" s="266" t="s">
        <v>189</v>
      </c>
      <c r="B237" s="272">
        <f t="shared" ref="B237:G237" si="44">B228/B235</f>
        <v>1.5134816877507398</v>
      </c>
      <c r="C237" s="272">
        <f t="shared" si="44"/>
        <v>1.4254288892247151</v>
      </c>
      <c r="D237" s="272">
        <f t="shared" si="44"/>
        <v>1.4464752611018605</v>
      </c>
      <c r="E237" s="272">
        <f t="shared" si="44"/>
        <v>1.4259488856644822</v>
      </c>
      <c r="F237" s="272">
        <f t="shared" si="44"/>
        <v>1.395157403408581</v>
      </c>
      <c r="G237" s="272">
        <f t="shared" si="44"/>
        <v>1.3794415228362533</v>
      </c>
    </row>
    <row r="238" spans="1:7" x14ac:dyDescent="0.25">
      <c r="B238" s="268"/>
      <c r="C238" s="268"/>
      <c r="D238" s="268"/>
      <c r="E238" s="268"/>
      <c r="F238" s="268"/>
      <c r="G238" s="268"/>
    </row>
    <row r="239" spans="1:7" x14ac:dyDescent="0.25">
      <c r="A239" s="273" t="s">
        <v>190</v>
      </c>
      <c r="B239" s="273"/>
      <c r="C239" s="273"/>
      <c r="D239" s="273"/>
      <c r="E239" s="273"/>
      <c r="F239" s="273"/>
      <c r="G239" s="273"/>
    </row>
    <row r="240" spans="1:7" x14ac:dyDescent="0.25">
      <c r="A240" t="s">
        <v>298</v>
      </c>
      <c r="B240" s="274">
        <v>15437921</v>
      </c>
      <c r="C240" s="274">
        <f t="shared" ref="C240:G240" si="45">B243</f>
        <v>16027706.066550501</v>
      </c>
      <c r="D240" s="274">
        <f t="shared" si="45"/>
        <v>16521203.57805117</v>
      </c>
      <c r="E240" s="274">
        <f t="shared" si="45"/>
        <v>17040475.737525165</v>
      </c>
      <c r="F240" s="274">
        <f t="shared" si="45"/>
        <v>17536604.813489497</v>
      </c>
      <c r="G240" s="274">
        <f t="shared" si="45"/>
        <v>17996568.031057086</v>
      </c>
    </row>
    <row r="241" spans="1:9" x14ac:dyDescent="0.25">
      <c r="A241" s="268" t="s">
        <v>192</v>
      </c>
      <c r="B241" s="275">
        <v>0</v>
      </c>
      <c r="C241" s="275">
        <v>0</v>
      </c>
      <c r="D241" s="275">
        <v>0</v>
      </c>
      <c r="E241" s="275">
        <v>0</v>
      </c>
      <c r="F241" s="275">
        <v>0</v>
      </c>
      <c r="G241" s="275">
        <v>0</v>
      </c>
    </row>
    <row r="242" spans="1:9" x14ac:dyDescent="0.25">
      <c r="A242" s="268" t="s">
        <v>193</v>
      </c>
      <c r="B242" s="275">
        <f t="shared" ref="B242:G242" si="46">B220</f>
        <v>589785.06655049976</v>
      </c>
      <c r="C242" s="275">
        <f t="shared" si="46"/>
        <v>493497.51150066964</v>
      </c>
      <c r="D242" s="275">
        <f t="shared" si="46"/>
        <v>519272.15947399661</v>
      </c>
      <c r="E242" s="275">
        <f t="shared" si="46"/>
        <v>496129.07596433349</v>
      </c>
      <c r="F242" s="275">
        <f t="shared" si="46"/>
        <v>459963.2175675882</v>
      </c>
      <c r="G242" s="275">
        <f t="shared" si="46"/>
        <v>441859.65334281698</v>
      </c>
    </row>
    <row r="243" spans="1:9" x14ac:dyDescent="0.25">
      <c r="A243" s="276" t="s">
        <v>194</v>
      </c>
      <c r="B243" s="277">
        <f>B240+B241+B242</f>
        <v>16027706.066550501</v>
      </c>
      <c r="C243" s="277">
        <f t="shared" ref="C243:G243" si="47">C240+C241+C242</f>
        <v>16521203.57805117</v>
      </c>
      <c r="D243" s="277">
        <f t="shared" si="47"/>
        <v>17040475.737525165</v>
      </c>
      <c r="E243" s="277">
        <f t="shared" si="47"/>
        <v>17536604.813489497</v>
      </c>
      <c r="F243" s="277">
        <f t="shared" si="47"/>
        <v>17996568.031057086</v>
      </c>
      <c r="G243" s="277">
        <f t="shared" si="47"/>
        <v>18438427.684399903</v>
      </c>
    </row>
    <row r="244" spans="1:9" x14ac:dyDescent="0.25">
      <c r="A244" s="266" t="s">
        <v>195</v>
      </c>
      <c r="B244" s="272">
        <f t="shared" ref="B244:G244" si="48">B243/((SUM(B207:B218))/365)</f>
        <v>665.73376623260503</v>
      </c>
      <c r="C244" s="272">
        <f t="shared" si="48"/>
        <v>662.01068106361902</v>
      </c>
      <c r="D244" s="272">
        <f t="shared" si="48"/>
        <v>676.10559070066608</v>
      </c>
      <c r="E244" s="272">
        <f t="shared" si="48"/>
        <v>684.85987136405652</v>
      </c>
      <c r="F244" s="272">
        <f t="shared" si="48"/>
        <v>691.27360104592276</v>
      </c>
      <c r="G244" s="272">
        <f t="shared" si="48"/>
        <v>697.25843071897521</v>
      </c>
    </row>
    <row r="245" spans="1:9" x14ac:dyDescent="0.25">
      <c r="B245" s="109"/>
      <c r="C245" s="109"/>
      <c r="D245" s="109"/>
      <c r="E245" s="109"/>
      <c r="F245" s="109"/>
      <c r="G245" s="109"/>
    </row>
    <row r="246" spans="1:9" x14ac:dyDescent="0.25">
      <c r="B246" s="109"/>
      <c r="C246" s="278"/>
      <c r="D246" s="278"/>
      <c r="E246" s="278"/>
      <c r="F246" s="278"/>
      <c r="G246" s="278"/>
      <c r="I246" s="112" t="s">
        <v>265</v>
      </c>
    </row>
    <row r="247" spans="1:9" x14ac:dyDescent="0.25">
      <c r="A247" s="137" t="s">
        <v>266</v>
      </c>
      <c r="B247" s="278">
        <f>B129/SUM(B207:B217)</f>
        <v>0.43524625730038929</v>
      </c>
      <c r="C247" s="278">
        <f t="shared" ref="C247:G247" si="49">C129/SUM(C207:C217)</f>
        <v>0.43299410443988445</v>
      </c>
      <c r="D247" s="278">
        <f t="shared" si="49"/>
        <v>0.43271274847532293</v>
      </c>
      <c r="E247" s="278">
        <f t="shared" si="49"/>
        <v>0.43425159921214629</v>
      </c>
      <c r="F247" s="278">
        <f t="shared" si="49"/>
        <v>0.43565301247296301</v>
      </c>
      <c r="G247" s="278">
        <f t="shared" si="49"/>
        <v>0.43741082712930968</v>
      </c>
      <c r="I247" s="279">
        <f t="shared" ref="I247:I256" si="50">AVERAGE(B247:G247)</f>
        <v>0.43471142483833597</v>
      </c>
    </row>
    <row r="248" spans="1:9" x14ac:dyDescent="0.25">
      <c r="A248" s="137" t="s">
        <v>267</v>
      </c>
      <c r="B248" s="278">
        <f>SUM(B130:B134)/SUM(B207:B217)</f>
        <v>0.21706226526217284</v>
      </c>
      <c r="C248" s="278">
        <f t="shared" ref="C248:G248" si="51">SUM(C130:C134)/SUM(C207:C217)</f>
        <v>0.21785071824073263</v>
      </c>
      <c r="D248" s="278">
        <f t="shared" si="51"/>
        <v>0.21860319684487559</v>
      </c>
      <c r="E248" s="278">
        <f t="shared" si="51"/>
        <v>0.22025622617218246</v>
      </c>
      <c r="F248" s="278">
        <f t="shared" si="51"/>
        <v>0.22184522036763799</v>
      </c>
      <c r="G248" s="278">
        <f t="shared" si="51"/>
        <v>0.22362756197200467</v>
      </c>
      <c r="I248" s="279">
        <f t="shared" si="50"/>
        <v>0.2198741981432677</v>
      </c>
    </row>
    <row r="249" spans="1:9" x14ac:dyDescent="0.25">
      <c r="A249" s="137" t="s">
        <v>129</v>
      </c>
      <c r="B249" s="278">
        <f t="shared" ref="B249" si="52">B158/SUM(B207:B217)</f>
        <v>2.5310596322132232E-3</v>
      </c>
      <c r="C249" s="278">
        <f t="shared" ref="C249:G249" si="53">C158/SUM(C207:C217)</f>
        <v>2.4944187332527346E-3</v>
      </c>
      <c r="D249" s="278">
        <f t="shared" si="53"/>
        <v>2.4177198345728744E-3</v>
      </c>
      <c r="E249" s="278">
        <f t="shared" si="53"/>
        <v>2.3797392090515765E-3</v>
      </c>
      <c r="F249" s="278">
        <f t="shared" si="53"/>
        <v>2.3406336321808701E-3</v>
      </c>
      <c r="G249" s="278">
        <f t="shared" si="53"/>
        <v>2.3043213906116457E-3</v>
      </c>
      <c r="I249" s="279">
        <f t="shared" si="50"/>
        <v>2.4113154053138209E-3</v>
      </c>
    </row>
    <row r="250" spans="1:9" x14ac:dyDescent="0.25">
      <c r="A250" s="137" t="s">
        <v>268</v>
      </c>
      <c r="B250" s="278">
        <f>(B142+B155+B156+B157+B164+B165)/SUM(B207:B217)</f>
        <v>7.1350840279226307E-2</v>
      </c>
      <c r="C250" s="278">
        <f t="shared" ref="C250:G250" si="54">(C142+C155+C156+C157+C164+C165)/SUM(C207:C217)</f>
        <v>6.9877436262787154E-2</v>
      </c>
      <c r="D250" s="278">
        <f t="shared" si="54"/>
        <v>6.9317344239396478E-2</v>
      </c>
      <c r="E250" s="278">
        <f t="shared" si="54"/>
        <v>6.8354895009407113E-2</v>
      </c>
      <c r="F250" s="278">
        <f t="shared" si="54"/>
        <v>6.7357653293238298E-2</v>
      </c>
      <c r="G250" s="278">
        <f t="shared" si="54"/>
        <v>6.643834930649857E-2</v>
      </c>
      <c r="I250" s="279">
        <f t="shared" si="50"/>
        <v>6.8782753065092322E-2</v>
      </c>
    </row>
    <row r="251" spans="1:9" x14ac:dyDescent="0.25">
      <c r="A251" s="137" t="s">
        <v>269</v>
      </c>
      <c r="B251" s="278">
        <f>(B154+B153+B137)/SUM(B207:B217)</f>
        <v>2.1498803400732059E-2</v>
      </c>
      <c r="C251" s="278">
        <f t="shared" ref="C251:G251" si="55">(C154+C153+C137)/SUM(C207:C217)</f>
        <v>2.6702782400127141E-2</v>
      </c>
      <c r="D251" s="278">
        <f t="shared" si="55"/>
        <v>2.7140953100137713E-2</v>
      </c>
      <c r="E251" s="278">
        <f t="shared" si="55"/>
        <v>2.675545235167626E-2</v>
      </c>
      <c r="F251" s="278">
        <f t="shared" si="55"/>
        <v>2.6996499071504674E-2</v>
      </c>
      <c r="G251" s="278">
        <f t="shared" si="55"/>
        <v>2.6577679405611714E-2</v>
      </c>
      <c r="I251" s="279">
        <f t="shared" si="50"/>
        <v>2.5945361621631594E-2</v>
      </c>
    </row>
    <row r="252" spans="1:9" x14ac:dyDescent="0.25">
      <c r="A252" s="137" t="s">
        <v>270</v>
      </c>
      <c r="B252" s="278">
        <f>(B174+B143+B144)/SUM(B207:B217)</f>
        <v>3.6415504384047525E-3</v>
      </c>
      <c r="C252" s="278">
        <f t="shared" ref="C252:G252" si="56">(C174+C143+C144)/SUM(C207:C217)</f>
        <v>3.6535391628516921E-3</v>
      </c>
      <c r="D252" s="278">
        <f t="shared" si="56"/>
        <v>3.7623275635911392E-3</v>
      </c>
      <c r="E252" s="278">
        <f t="shared" si="56"/>
        <v>3.8513530906418144E-3</v>
      </c>
      <c r="F252" s="278">
        <f t="shared" si="56"/>
        <v>3.9395874979219958E-3</v>
      </c>
      <c r="G252" s="278">
        <f t="shared" si="56"/>
        <v>4.0336080971873443E-3</v>
      </c>
      <c r="I252" s="279">
        <f t="shared" si="50"/>
        <v>3.8136609750997904E-3</v>
      </c>
    </row>
    <row r="253" spans="1:9" x14ac:dyDescent="0.25">
      <c r="A253" s="137" t="s">
        <v>112</v>
      </c>
      <c r="B253" s="278">
        <f>(B141+B145+B146+B147+B148+B149)/SUM(B207:B217)</f>
        <v>2.757808736152079E-2</v>
      </c>
      <c r="C253" s="278">
        <f t="shared" ref="C253:G253" si="57">(C141+C145+C146+C147+C148+C149)/SUM(C207:C217)</f>
        <v>2.8293566607743289E-2</v>
      </c>
      <c r="D253" s="278">
        <f t="shared" si="57"/>
        <v>2.8015423690185393E-2</v>
      </c>
      <c r="E253" s="278">
        <f t="shared" si="57"/>
        <v>2.7575321697894211E-2</v>
      </c>
      <c r="F253" s="278">
        <f t="shared" si="57"/>
        <v>2.7122184287588974E-2</v>
      </c>
      <c r="G253" s="278">
        <f t="shared" si="57"/>
        <v>2.6701414759972512E-2</v>
      </c>
      <c r="I253" s="279">
        <f t="shared" si="50"/>
        <v>2.7547666400817527E-2</v>
      </c>
    </row>
    <row r="254" spans="1:9" x14ac:dyDescent="0.25">
      <c r="A254" s="137" t="s">
        <v>271</v>
      </c>
      <c r="B254" s="278">
        <f>(B181)/SUM(B207:B217)</f>
        <v>4.9445427046464537E-3</v>
      </c>
      <c r="C254" s="278">
        <f t="shared" ref="C254:G254" si="58">(C181)/SUM(C207:C217)</f>
        <v>5.0562215511857096E-3</v>
      </c>
      <c r="D254" s="278">
        <f t="shared" si="58"/>
        <v>5.3069067767686808E-3</v>
      </c>
      <c r="E254" s="278">
        <f t="shared" si="58"/>
        <v>5.536951466483875E-3</v>
      </c>
      <c r="F254" s="278">
        <f t="shared" si="58"/>
        <v>5.7727221786679113E-3</v>
      </c>
      <c r="G254" s="278">
        <f t="shared" si="58"/>
        <v>6.0241549281365306E-3</v>
      </c>
      <c r="I254" s="279">
        <f t="shared" si="50"/>
        <v>5.4402499343148602E-3</v>
      </c>
    </row>
    <row r="255" spans="1:9" x14ac:dyDescent="0.25">
      <c r="A255" s="137" t="s">
        <v>272</v>
      </c>
      <c r="B255" s="278">
        <f>(B205+B210+B211+B216+B217)/SUM(B207:B217)</f>
        <v>0.17277315002297874</v>
      </c>
      <c r="C255" s="278">
        <f t="shared" ref="C255:G255" si="59">(C205+C210+C211+C216+C217)/SUM(C207:C217)</f>
        <v>0.1691505477607467</v>
      </c>
      <c r="D255" s="278">
        <f t="shared" si="59"/>
        <v>0.16900194949055911</v>
      </c>
      <c r="E255" s="278">
        <f t="shared" si="59"/>
        <v>0.16772169222777314</v>
      </c>
      <c r="F255" s="278">
        <f t="shared" si="59"/>
        <v>0.166084312489409</v>
      </c>
      <c r="G255" s="278">
        <f t="shared" si="59"/>
        <v>0.16437471712678836</v>
      </c>
      <c r="I255" s="279">
        <f t="shared" si="50"/>
        <v>0.16818439485304251</v>
      </c>
    </row>
    <row r="256" spans="1:9" x14ac:dyDescent="0.25">
      <c r="A256" s="137" t="s">
        <v>4</v>
      </c>
      <c r="B256" s="278">
        <f t="shared" ref="B256" si="60">(B183)/SUM(B207:B217)</f>
        <v>1.0745814545587299E-2</v>
      </c>
      <c r="C256" s="278">
        <f t="shared" ref="C256:G256" si="61">(C183)/SUM(C207:C217)</f>
        <v>1.129605585730788E-2</v>
      </c>
      <c r="D256" s="278">
        <f t="shared" si="61"/>
        <v>1.1185008778068719E-2</v>
      </c>
      <c r="E256" s="278">
        <f t="shared" si="61"/>
        <v>1.1009300400374365E-2</v>
      </c>
      <c r="F256" s="278">
        <f t="shared" si="61"/>
        <v>1.0828387701427357E-2</v>
      </c>
      <c r="G256" s="278">
        <f t="shared" si="61"/>
        <v>1.0660397707344822E-2</v>
      </c>
      <c r="I256" s="279">
        <f t="shared" si="50"/>
        <v>1.0954160831685072E-2</v>
      </c>
    </row>
    <row r="257" spans="1:9" x14ac:dyDescent="0.25">
      <c r="A257" s="137" t="s">
        <v>273</v>
      </c>
      <c r="B257" s="278">
        <f>(B150)/SUM(B207:B217)</f>
        <v>0</v>
      </c>
      <c r="C257" s="278">
        <f t="shared" ref="C257:G257" si="62">(C150)/SUM(C207:C217)</f>
        <v>0</v>
      </c>
      <c r="D257" s="278">
        <f t="shared" si="62"/>
        <v>0</v>
      </c>
      <c r="E257" s="278">
        <f t="shared" si="62"/>
        <v>0</v>
      </c>
      <c r="F257" s="278">
        <f t="shared" si="62"/>
        <v>0</v>
      </c>
      <c r="G257" s="278">
        <f t="shared" si="62"/>
        <v>0</v>
      </c>
      <c r="I257" s="279">
        <f>AVERAGE(B257:G257)</f>
        <v>0</v>
      </c>
    </row>
    <row r="258" spans="1:9" x14ac:dyDescent="0.25">
      <c r="A258" s="137" t="s">
        <v>274</v>
      </c>
      <c r="B258" s="278">
        <f>B185/SUM(B207:B217)</f>
        <v>2.9587597312038616E-4</v>
      </c>
      <c r="C258" s="278">
        <f t="shared" ref="C258:G258" si="63">C185/SUM(C207:C217)</f>
        <v>2.305418341943676E-4</v>
      </c>
      <c r="D258" s="278">
        <f t="shared" si="63"/>
        <v>2.2827546815890209E-4</v>
      </c>
      <c r="E258" s="278">
        <f t="shared" si="63"/>
        <v>2.2468942607583586E-4</v>
      </c>
      <c r="F258" s="278">
        <f t="shared" si="63"/>
        <v>2.2099716870997713E-4</v>
      </c>
      <c r="G258" s="278">
        <f t="shared" si="63"/>
        <v>2.1756865154865009E-4</v>
      </c>
      <c r="I258" s="279">
        <f>AVERAGE(B258:G258)</f>
        <v>2.3632475363468647E-4</v>
      </c>
    </row>
    <row r="259" spans="1:9" x14ac:dyDescent="0.25">
      <c r="A259" s="137" t="s">
        <v>275</v>
      </c>
      <c r="B259" s="278">
        <f>(B159+B160)/SUM(B207:B217)</f>
        <v>1.9345736704025247E-3</v>
      </c>
      <c r="C259" s="278">
        <f t="shared" ref="C259:G259" si="64">(C159+C160)/SUM(C207:C217)</f>
        <v>1.9590566815230904E-3</v>
      </c>
      <c r="D259" s="278">
        <f t="shared" si="64"/>
        <v>1.9784254366218444E-3</v>
      </c>
      <c r="E259" s="278">
        <f t="shared" si="64"/>
        <v>1.986507088124795E-3</v>
      </c>
      <c r="F259" s="278">
        <f t="shared" si="64"/>
        <v>1.9935366697587725E-3</v>
      </c>
      <c r="G259" s="278">
        <f t="shared" si="64"/>
        <v>2.0028387743717367E-3</v>
      </c>
      <c r="I259" s="279">
        <f>AVERAGE(B259:G259)</f>
        <v>1.9758230534671277E-3</v>
      </c>
    </row>
    <row r="260" spans="1:9" x14ac:dyDescent="0.25">
      <c r="A260" s="137" t="s">
        <v>276</v>
      </c>
      <c r="B260" s="278">
        <f>(B161+B162+B169+B170+B171+B173+B175)/SUM(B207:B217)</f>
        <v>1.0115658125632402E-2</v>
      </c>
      <c r="C260" s="278">
        <f t="shared" ref="C260:G260" si="65">(C161+C162+C169+C170+C171+C173+C175)/SUM(C207:C217)</f>
        <v>1.01865546173371E-2</v>
      </c>
      <c r="D260" s="278">
        <f t="shared" si="65"/>
        <v>1.0170172399343209E-2</v>
      </c>
      <c r="E260" s="278">
        <f t="shared" si="65"/>
        <v>1.0095321642880479E-2</v>
      </c>
      <c r="F260" s="278">
        <f t="shared" si="65"/>
        <v>1.0015453582296593E-2</v>
      </c>
      <c r="G260" s="278">
        <f t="shared" si="65"/>
        <v>9.9473069531311673E-3</v>
      </c>
      <c r="I260" s="279">
        <f>AVERAGE(B260:G260)</f>
        <v>1.0088411220103491E-2</v>
      </c>
    </row>
    <row r="261" spans="1:9" x14ac:dyDescent="0.25">
      <c r="A261" s="137" t="s">
        <v>153</v>
      </c>
      <c r="B261" s="278">
        <f>(B163+B172+B184+B186+B187+B189+B191+B136+B190)/SUM(B207:B217)</f>
        <v>1.5866710368663266E-2</v>
      </c>
      <c r="C261" s="278">
        <f t="shared" ref="C261:G261" si="66">(C163+C172+C184+C186+C187+C189+C191+C136+C190)/SUM(C207:C217)</f>
        <v>1.5940579005246328E-2</v>
      </c>
      <c r="D261" s="278">
        <f t="shared" si="66"/>
        <v>1.5942430384671382E-2</v>
      </c>
      <c r="E261" s="278">
        <f t="shared" si="66"/>
        <v>1.5850081345948664E-2</v>
      </c>
      <c r="F261" s="278">
        <f t="shared" si="66"/>
        <v>1.574713998664513E-2</v>
      </c>
      <c r="G261" s="278">
        <f t="shared" si="66"/>
        <v>1.5659931970420777E-2</v>
      </c>
      <c r="I261" s="279">
        <f>AVERAGE(B261:G261)</f>
        <v>1.5834478843599255E-2</v>
      </c>
    </row>
    <row r="263" spans="1:9" x14ac:dyDescent="0.25">
      <c r="B263" s="279">
        <f>SUM(B247:B262)</f>
        <v>0.99558518908569049</v>
      </c>
      <c r="C263" s="279">
        <f>SUM(C247:C262)</f>
        <v>0.99568612315492022</v>
      </c>
      <c r="D263" s="279">
        <f>SUM(D247:D262)</f>
        <v>0.9957828824822742</v>
      </c>
      <c r="E263" s="279">
        <f t="shared" ref="E263:G263" si="67">SUM(E247:E262)</f>
        <v>0.9958491303406608</v>
      </c>
      <c r="F263" s="279">
        <f t="shared" si="67"/>
        <v>0.99591734039995039</v>
      </c>
      <c r="G263" s="279">
        <f t="shared" si="67"/>
        <v>0.99598067817293834</v>
      </c>
      <c r="I263" s="279">
        <f t="shared" ref="I263" si="68">SUM(I247:I262)</f>
        <v>0.9958002239394057</v>
      </c>
    </row>
    <row r="266" spans="1:9" x14ac:dyDescent="0.25">
      <c r="B266" s="155"/>
    </row>
  </sheetData>
  <pageMargins left="0.7" right="0.7" top="0.75" bottom="0.75" header="0.3" footer="0.3"/>
  <pageSetup scale="58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66"/>
  <sheetViews>
    <sheetView zoomScale="75" zoomScaleNormal="75" workbookViewId="0">
      <pane xSplit="1" topLeftCell="B1" activePane="topRight" state="frozen"/>
      <selection pane="topRight" activeCell="D168" sqref="D168"/>
    </sheetView>
  </sheetViews>
  <sheetFormatPr defaultRowHeight="15" x14ac:dyDescent="0.25"/>
  <cols>
    <col min="1" max="1" width="50.140625" bestFit="1" customWidth="1"/>
    <col min="2" max="2" width="16.42578125" customWidth="1"/>
    <col min="3" max="3" width="14.85546875" customWidth="1"/>
    <col min="4" max="4" width="16.42578125" customWidth="1"/>
    <col min="5" max="7" width="14.85546875" customWidth="1"/>
    <col min="10" max="10" width="9.5703125" customWidth="1"/>
  </cols>
  <sheetData>
    <row r="1" spans="1:14" x14ac:dyDescent="0.25">
      <c r="A1" s="1" t="s">
        <v>301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25">
      <c r="A2" s="6" t="s">
        <v>7</v>
      </c>
      <c r="B2" s="7">
        <f>'FY23'!R2</f>
        <v>7293</v>
      </c>
      <c r="C2" s="7">
        <f>'FY24'!R2</f>
        <v>7387.8089999999993</v>
      </c>
      <c r="D2" s="7">
        <f>'FY25'!R2</f>
        <v>7483.8505169999989</v>
      </c>
      <c r="E2" s="7">
        <f>'FY26'!R2</f>
        <v>7581.140573720998</v>
      </c>
      <c r="F2" s="7">
        <f>'FY27'!R2</f>
        <v>7679.6954011793705</v>
      </c>
      <c r="G2" s="7">
        <f>'FY28'!R2</f>
        <v>7779.5314413947017</v>
      </c>
      <c r="J2" s="157">
        <f>(C2-B2)/B2</f>
        <v>1.2999999999999902E-2</v>
      </c>
      <c r="K2" s="157">
        <f t="shared" ref="K2:N2" si="0">(D2-C2)/C2</f>
        <v>1.2999999999999954E-2</v>
      </c>
      <c r="L2" s="157">
        <f t="shared" si="0"/>
        <v>1.2999999999999871E-2</v>
      </c>
      <c r="M2" s="157">
        <f t="shared" si="0"/>
        <v>1.2999999999999942E-2</v>
      </c>
      <c r="N2" s="157">
        <f t="shared" si="0"/>
        <v>1.299999999999992E-2</v>
      </c>
    </row>
    <row r="3" spans="1:14" hidden="1" x14ac:dyDescent="0.25">
      <c r="A3" s="8"/>
      <c r="B3" s="7">
        <f>'FY23'!AV3</f>
        <v>0</v>
      </c>
      <c r="C3" s="7">
        <f>'FY24'!BB3</f>
        <v>0</v>
      </c>
      <c r="D3" s="7">
        <f>'FY25'!BB3</f>
        <v>0</v>
      </c>
      <c r="E3" s="7">
        <f>'FY26'!BB3</f>
        <v>0</v>
      </c>
      <c r="F3" s="7">
        <f>'FY27'!BB3</f>
        <v>0</v>
      </c>
      <c r="G3" s="7">
        <f>'FY27'!BC3</f>
        <v>0</v>
      </c>
    </row>
    <row r="4" spans="1:14" hidden="1" x14ac:dyDescent="0.25">
      <c r="A4" s="8"/>
      <c r="B4" s="7">
        <f>'FY23'!AV4</f>
        <v>0</v>
      </c>
      <c r="C4" s="7">
        <f>'FY24'!BB4</f>
        <v>0</v>
      </c>
      <c r="D4" s="7">
        <f>'FY25'!BB4</f>
        <v>0</v>
      </c>
      <c r="E4" s="7">
        <f>'FY26'!BB4</f>
        <v>0</v>
      </c>
      <c r="F4" s="7">
        <f>'FY27'!BB4</f>
        <v>0</v>
      </c>
      <c r="G4" s="7">
        <f>'FY27'!BC4</f>
        <v>0</v>
      </c>
    </row>
    <row r="5" spans="1:14" x14ac:dyDescent="0.25">
      <c r="A5" s="8" t="s">
        <v>8</v>
      </c>
      <c r="B5" s="9">
        <f>B6+B7+B8+B9+B10+B11+B12+B13+B14+B15+B16+B17+B18</f>
        <v>1016</v>
      </c>
      <c r="C5" s="9">
        <f t="shared" ref="C5:G5" si="1">C6+C7+C8+C9+C10+C11+C12+C13+C14+C15+C16+C17+C18</f>
        <v>1016</v>
      </c>
      <c r="D5" s="9">
        <f t="shared" si="1"/>
        <v>1016</v>
      </c>
      <c r="E5" s="9">
        <f t="shared" si="1"/>
        <v>1016</v>
      </c>
      <c r="F5" s="9">
        <f t="shared" si="1"/>
        <v>1016</v>
      </c>
      <c r="G5" s="9">
        <f t="shared" si="1"/>
        <v>1016</v>
      </c>
    </row>
    <row r="6" spans="1:14" x14ac:dyDescent="0.25">
      <c r="A6" s="10" t="s">
        <v>9</v>
      </c>
      <c r="B6" s="11">
        <f>'FY23'!R6</f>
        <v>100</v>
      </c>
      <c r="C6" s="11">
        <f>'FY24'!R6</f>
        <v>100</v>
      </c>
      <c r="D6" s="11">
        <f>'FY25'!R6</f>
        <v>100</v>
      </c>
      <c r="E6" s="11">
        <f>'FY26'!R6</f>
        <v>100</v>
      </c>
      <c r="F6" s="94">
        <f>'FY27'!R6</f>
        <v>100</v>
      </c>
      <c r="G6" s="94">
        <f>'FY28'!R6</f>
        <v>100</v>
      </c>
      <c r="I6" s="155">
        <f>'FY23'!S6</f>
        <v>4</v>
      </c>
      <c r="J6" s="327">
        <f>'FY24'!S6</f>
        <v>4</v>
      </c>
      <c r="K6" s="327">
        <f>'FY25'!S6</f>
        <v>4</v>
      </c>
      <c r="L6" s="327">
        <f>'FY26'!S6</f>
        <v>4</v>
      </c>
      <c r="M6" s="327">
        <f>'FY27'!S6</f>
        <v>4</v>
      </c>
      <c r="N6" s="327">
        <f>'FY28'!S6</f>
        <v>4</v>
      </c>
    </row>
    <row r="7" spans="1:14" x14ac:dyDescent="0.25">
      <c r="A7" s="12" t="s">
        <v>10</v>
      </c>
      <c r="B7" s="11">
        <f>'FY23'!R7</f>
        <v>100</v>
      </c>
      <c r="C7" s="11">
        <f>'FY24'!R7</f>
        <v>100</v>
      </c>
      <c r="D7" s="11">
        <f>'FY25'!R7</f>
        <v>100</v>
      </c>
      <c r="E7" s="11">
        <f>'FY26'!R7</f>
        <v>100</v>
      </c>
      <c r="F7" s="94">
        <f>'FY27'!R7</f>
        <v>100</v>
      </c>
      <c r="G7" s="94">
        <f>'FY28'!R7</f>
        <v>100</v>
      </c>
      <c r="I7" s="155">
        <f>'FY23'!S7</f>
        <v>4</v>
      </c>
      <c r="J7" s="327">
        <f>'FY24'!S7</f>
        <v>4</v>
      </c>
      <c r="K7" s="327">
        <f>'FY25'!S7</f>
        <v>4</v>
      </c>
      <c r="L7" s="327">
        <f>'FY26'!S7</f>
        <v>4</v>
      </c>
      <c r="M7" s="327">
        <f>'FY27'!S7</f>
        <v>4</v>
      </c>
      <c r="N7" s="327">
        <f>'FY28'!S7</f>
        <v>4</v>
      </c>
    </row>
    <row r="8" spans="1:14" x14ac:dyDescent="0.25">
      <c r="A8" s="12" t="s">
        <v>11</v>
      </c>
      <c r="B8" s="11">
        <f>'FY23'!R8</f>
        <v>104</v>
      </c>
      <c r="C8" s="11">
        <f>'FY24'!R8</f>
        <v>104</v>
      </c>
      <c r="D8" s="11">
        <f>'FY25'!R8</f>
        <v>104</v>
      </c>
      <c r="E8" s="11">
        <f>'FY26'!R8</f>
        <v>104</v>
      </c>
      <c r="F8" s="94">
        <f>'FY27'!R8</f>
        <v>104</v>
      </c>
      <c r="G8" s="94">
        <f>'FY28'!R8</f>
        <v>104</v>
      </c>
      <c r="I8" s="155">
        <f>'FY23'!S8</f>
        <v>4</v>
      </c>
      <c r="J8" s="327">
        <f>'FY24'!S8</f>
        <v>4</v>
      </c>
      <c r="K8" s="327">
        <f>'FY25'!S8</f>
        <v>4</v>
      </c>
      <c r="L8" s="327">
        <f>'FY26'!S8</f>
        <v>4</v>
      </c>
      <c r="M8" s="327">
        <f>'FY27'!S8</f>
        <v>4</v>
      </c>
      <c r="N8" s="327">
        <f>'FY28'!S8</f>
        <v>4</v>
      </c>
    </row>
    <row r="9" spans="1:14" x14ac:dyDescent="0.25">
      <c r="A9" s="13" t="s">
        <v>12</v>
      </c>
      <c r="B9" s="11">
        <f>'FY23'!R9</f>
        <v>108</v>
      </c>
      <c r="C9" s="11">
        <f>'FY24'!R9</f>
        <v>108</v>
      </c>
      <c r="D9" s="11">
        <f>'FY25'!R9</f>
        <v>108</v>
      </c>
      <c r="E9" s="11">
        <f>'FY26'!R9</f>
        <v>108</v>
      </c>
      <c r="F9" s="94">
        <f>'FY27'!R9</f>
        <v>108</v>
      </c>
      <c r="G9" s="94">
        <f>'FY28'!R9</f>
        <v>108</v>
      </c>
      <c r="I9" s="155">
        <f>'FY23'!S9</f>
        <v>4</v>
      </c>
      <c r="J9" s="327">
        <f>'FY24'!S9</f>
        <v>4</v>
      </c>
      <c r="K9" s="327">
        <f>'FY25'!S9</f>
        <v>4</v>
      </c>
      <c r="L9" s="327">
        <f>'FY26'!S9</f>
        <v>4</v>
      </c>
      <c r="M9" s="327">
        <f>'FY27'!S9</f>
        <v>4</v>
      </c>
      <c r="N9" s="327">
        <f>'FY28'!S9</f>
        <v>4</v>
      </c>
    </row>
    <row r="10" spans="1:14" x14ac:dyDescent="0.25">
      <c r="A10" s="13" t="s">
        <v>13</v>
      </c>
      <c r="B10" s="11">
        <f>'FY23'!R10</f>
        <v>108</v>
      </c>
      <c r="C10" s="11">
        <f>'FY24'!R10</f>
        <v>108</v>
      </c>
      <c r="D10" s="11">
        <f>'FY25'!R10</f>
        <v>108</v>
      </c>
      <c r="E10" s="11">
        <f>'FY26'!R10</f>
        <v>108</v>
      </c>
      <c r="F10" s="94">
        <f>'FY27'!R10</f>
        <v>108</v>
      </c>
      <c r="G10" s="94">
        <f>'FY28'!R10</f>
        <v>108</v>
      </c>
      <c r="I10" s="155">
        <f>'FY23'!S10</f>
        <v>4</v>
      </c>
      <c r="J10" s="327">
        <f>'FY24'!S10</f>
        <v>4</v>
      </c>
      <c r="K10" s="327">
        <f>'FY25'!S10</f>
        <v>4</v>
      </c>
      <c r="L10" s="327">
        <f>'FY26'!S10</f>
        <v>4</v>
      </c>
      <c r="M10" s="327">
        <f>'FY27'!S10</f>
        <v>4</v>
      </c>
      <c r="N10" s="327">
        <f>'FY28'!S10</f>
        <v>4</v>
      </c>
    </row>
    <row r="11" spans="1:14" x14ac:dyDescent="0.25">
      <c r="A11" s="13" t="s">
        <v>14</v>
      </c>
      <c r="B11" s="11">
        <f>'FY23'!R11</f>
        <v>124</v>
      </c>
      <c r="C11" s="11">
        <f>'FY24'!R11</f>
        <v>124</v>
      </c>
      <c r="D11" s="11">
        <f>'FY25'!R11</f>
        <v>124</v>
      </c>
      <c r="E11" s="11">
        <f>'FY26'!R11</f>
        <v>124</v>
      </c>
      <c r="F11" s="94">
        <f>'FY27'!R11</f>
        <v>124</v>
      </c>
      <c r="G11" s="94">
        <f>'FY28'!R11</f>
        <v>124</v>
      </c>
      <c r="I11" s="155">
        <f>'FY23'!S11</f>
        <v>4</v>
      </c>
      <c r="J11" s="327">
        <f>'FY24'!S11</f>
        <v>4</v>
      </c>
      <c r="K11" s="327">
        <f>'FY25'!S11</f>
        <v>4</v>
      </c>
      <c r="L11" s="327">
        <f>'FY26'!S11</f>
        <v>4</v>
      </c>
      <c r="M11" s="327">
        <f>'FY27'!S11</f>
        <v>4</v>
      </c>
      <c r="N11" s="327">
        <f>'FY28'!S11</f>
        <v>4</v>
      </c>
    </row>
    <row r="12" spans="1:14" x14ac:dyDescent="0.25">
      <c r="A12" s="13" t="s">
        <v>15</v>
      </c>
      <c r="B12" s="11">
        <f>'FY23'!R12</f>
        <v>124</v>
      </c>
      <c r="C12" s="11">
        <f>'FY24'!R12</f>
        <v>124</v>
      </c>
      <c r="D12" s="11">
        <f>'FY25'!R12</f>
        <v>124</v>
      </c>
      <c r="E12" s="11">
        <f>'FY26'!R12</f>
        <v>124</v>
      </c>
      <c r="F12" s="94">
        <f>'FY27'!R12</f>
        <v>124</v>
      </c>
      <c r="G12" s="94">
        <f>'FY28'!R12</f>
        <v>124</v>
      </c>
      <c r="I12" s="155">
        <f>'FY23'!S12</f>
        <v>4</v>
      </c>
      <c r="J12" s="327">
        <f>'FY24'!S12</f>
        <v>4</v>
      </c>
      <c r="K12" s="327">
        <f>'FY25'!S12</f>
        <v>4</v>
      </c>
      <c r="L12" s="327">
        <f>'FY26'!S12</f>
        <v>4</v>
      </c>
      <c r="M12" s="327">
        <f>'FY27'!S12</f>
        <v>4</v>
      </c>
      <c r="N12" s="327">
        <f>'FY28'!S12</f>
        <v>4</v>
      </c>
    </row>
    <row r="13" spans="1:14" x14ac:dyDescent="0.25">
      <c r="A13" s="13" t="s">
        <v>16</v>
      </c>
      <c r="B13" s="11">
        <f>'FY23'!R13</f>
        <v>124</v>
      </c>
      <c r="C13" s="11">
        <f>'FY24'!R13</f>
        <v>124</v>
      </c>
      <c r="D13" s="11">
        <f>'FY25'!R13</f>
        <v>124</v>
      </c>
      <c r="E13" s="11">
        <f>'FY26'!R13</f>
        <v>124</v>
      </c>
      <c r="F13" s="94">
        <f>'FY27'!R13</f>
        <v>124</v>
      </c>
      <c r="G13" s="94">
        <f>'FY28'!R13</f>
        <v>124</v>
      </c>
      <c r="I13" s="155">
        <f>'FY23'!S13</f>
        <v>4</v>
      </c>
      <c r="J13" s="327">
        <f>'FY24'!S13</f>
        <v>4</v>
      </c>
      <c r="K13" s="327">
        <f>'FY25'!S13</f>
        <v>4</v>
      </c>
      <c r="L13" s="327">
        <f>'FY26'!S13</f>
        <v>4</v>
      </c>
      <c r="M13" s="327">
        <f>'FY27'!S13</f>
        <v>4</v>
      </c>
      <c r="N13" s="327">
        <f>'FY28'!S13</f>
        <v>4</v>
      </c>
    </row>
    <row r="14" spans="1:14" x14ac:dyDescent="0.25">
      <c r="A14" s="13" t="s">
        <v>17</v>
      </c>
      <c r="B14" s="11">
        <f>'FY23'!R14</f>
        <v>124</v>
      </c>
      <c r="C14" s="11">
        <f>'FY24'!R14</f>
        <v>124</v>
      </c>
      <c r="D14" s="11">
        <f>'FY25'!R14</f>
        <v>124</v>
      </c>
      <c r="E14" s="11">
        <f>'FY26'!R14</f>
        <v>124</v>
      </c>
      <c r="F14" s="94">
        <f>'FY27'!R14</f>
        <v>124</v>
      </c>
      <c r="G14" s="94">
        <f>'FY28'!R14</f>
        <v>124</v>
      </c>
      <c r="I14" s="155">
        <f>'FY23'!S14</f>
        <v>4</v>
      </c>
      <c r="J14" s="327">
        <f>'FY24'!S14</f>
        <v>4</v>
      </c>
      <c r="K14" s="327">
        <f>'FY25'!S14</f>
        <v>4</v>
      </c>
      <c r="L14" s="327">
        <f>'FY26'!S14</f>
        <v>4</v>
      </c>
      <c r="M14" s="327">
        <f>'FY27'!S14</f>
        <v>4</v>
      </c>
      <c r="N14" s="327">
        <f>'FY28'!S14</f>
        <v>4</v>
      </c>
    </row>
    <row r="15" spans="1:14" x14ac:dyDescent="0.25">
      <c r="A15" s="13" t="s">
        <v>18</v>
      </c>
      <c r="B15" s="11">
        <f>'FY23'!R15</f>
        <v>0</v>
      </c>
      <c r="C15" s="11">
        <f>'FY24'!R15</f>
        <v>0</v>
      </c>
      <c r="D15" s="11">
        <f>'FY25'!R15</f>
        <v>0</v>
      </c>
      <c r="E15" s="11">
        <f>'FY26'!R15</f>
        <v>0</v>
      </c>
      <c r="F15" s="94">
        <f>'FY27'!R15</f>
        <v>0</v>
      </c>
      <c r="G15" s="94">
        <f>'FY28'!R15</f>
        <v>0</v>
      </c>
      <c r="I15" s="155">
        <f>'FY23'!S15</f>
        <v>0</v>
      </c>
      <c r="J15" s="327">
        <f>'FY24'!S15</f>
        <v>0</v>
      </c>
      <c r="K15" s="327">
        <f>'FY25'!S15</f>
        <v>0</v>
      </c>
      <c r="L15" s="327">
        <f>'FY26'!S15</f>
        <v>0</v>
      </c>
      <c r="M15" s="327">
        <f>'FY27'!S15</f>
        <v>0</v>
      </c>
      <c r="N15" s="327">
        <f>'FY28'!S15</f>
        <v>0</v>
      </c>
    </row>
    <row r="16" spans="1:14" x14ac:dyDescent="0.25">
      <c r="A16" s="13" t="s">
        <v>19</v>
      </c>
      <c r="B16" s="11">
        <f>'FY23'!R16</f>
        <v>0</v>
      </c>
      <c r="C16" s="11">
        <f>'FY24'!R16</f>
        <v>0</v>
      </c>
      <c r="D16" s="11">
        <f>'FY25'!R16</f>
        <v>0</v>
      </c>
      <c r="E16" s="11">
        <f>'FY26'!R16</f>
        <v>0</v>
      </c>
      <c r="F16" s="94">
        <f>'FY27'!R16</f>
        <v>0</v>
      </c>
      <c r="G16" s="94">
        <f>'FY28'!R16</f>
        <v>0</v>
      </c>
      <c r="I16" s="155">
        <f>'FY23'!S16</f>
        <v>0</v>
      </c>
      <c r="J16" s="327">
        <f>'FY24'!S16</f>
        <v>0</v>
      </c>
      <c r="K16" s="327">
        <f>'FY25'!S16</f>
        <v>0</v>
      </c>
      <c r="L16" s="327">
        <f>'FY26'!S16</f>
        <v>0</v>
      </c>
      <c r="M16" s="327">
        <f>'FY27'!S16</f>
        <v>0</v>
      </c>
      <c r="N16" s="327">
        <f>'FY28'!S16</f>
        <v>0</v>
      </c>
    </row>
    <row r="17" spans="1:14" x14ac:dyDescent="0.25">
      <c r="A17" s="13" t="s">
        <v>20</v>
      </c>
      <c r="B17" s="11">
        <f>'FY23'!R17</f>
        <v>0</v>
      </c>
      <c r="C17" s="11">
        <f>'FY24'!R17</f>
        <v>0</v>
      </c>
      <c r="D17" s="11">
        <f>'FY25'!R17</f>
        <v>0</v>
      </c>
      <c r="E17" s="11">
        <f>'FY26'!R17</f>
        <v>0</v>
      </c>
      <c r="F17" s="94">
        <f>'FY27'!R17</f>
        <v>0</v>
      </c>
      <c r="G17" s="94">
        <f>'FY28'!R17</f>
        <v>0</v>
      </c>
      <c r="I17" s="155">
        <f>'FY23'!S17</f>
        <v>0</v>
      </c>
      <c r="J17" s="327">
        <f>'FY24'!S17</f>
        <v>0</v>
      </c>
      <c r="K17" s="327">
        <f>'FY25'!S17</f>
        <v>0</v>
      </c>
      <c r="L17" s="327">
        <f>'FY26'!S17</f>
        <v>0</v>
      </c>
      <c r="M17" s="327">
        <f>'FY27'!S17</f>
        <v>0</v>
      </c>
      <c r="N17" s="327">
        <f>'FY28'!S17</f>
        <v>0</v>
      </c>
    </row>
    <row r="18" spans="1:14" x14ac:dyDescent="0.25">
      <c r="A18" s="13" t="s">
        <v>21</v>
      </c>
      <c r="B18" s="11">
        <f>'FY23'!R18</f>
        <v>0</v>
      </c>
      <c r="C18" s="11">
        <f>'FY24'!R18</f>
        <v>0</v>
      </c>
      <c r="D18" s="11">
        <f>'FY25'!R18</f>
        <v>0</v>
      </c>
      <c r="E18" s="11">
        <f>'FY26'!R18</f>
        <v>0</v>
      </c>
      <c r="F18" s="94">
        <f>'FY27'!R18</f>
        <v>0</v>
      </c>
      <c r="G18" s="94">
        <f>'FY28'!R18</f>
        <v>0</v>
      </c>
      <c r="I18" s="155">
        <f>'FY23'!S18</f>
        <v>0</v>
      </c>
      <c r="J18" s="327">
        <f>'FY24'!S18</f>
        <v>0</v>
      </c>
      <c r="K18" s="327">
        <f>'FY25'!S18</f>
        <v>0</v>
      </c>
      <c r="L18" s="327">
        <f>'FY26'!S18</f>
        <v>0</v>
      </c>
      <c r="M18" s="327">
        <f>'FY27'!S18</f>
        <v>0</v>
      </c>
      <c r="N18" s="327">
        <f>'FY28'!S18</f>
        <v>0</v>
      </c>
    </row>
    <row r="19" spans="1:14" x14ac:dyDescent="0.25">
      <c r="A19" s="13" t="s">
        <v>8</v>
      </c>
      <c r="B19" s="9">
        <f>SUM(B6:B18)</f>
        <v>1016</v>
      </c>
      <c r="C19" s="9">
        <f t="shared" ref="C19:G19" si="2">SUM(C6:C18)</f>
        <v>1016</v>
      </c>
      <c r="D19" s="9">
        <f t="shared" si="2"/>
        <v>1016</v>
      </c>
      <c r="E19" s="9">
        <f t="shared" si="2"/>
        <v>1016</v>
      </c>
      <c r="F19" s="9">
        <f t="shared" si="2"/>
        <v>1016</v>
      </c>
      <c r="G19" s="9">
        <f t="shared" si="2"/>
        <v>1016</v>
      </c>
      <c r="I19" s="155">
        <f>SUM(I6:I18)</f>
        <v>36</v>
      </c>
      <c r="J19" s="155">
        <f>SUM(J6:J18)</f>
        <v>36</v>
      </c>
      <c r="K19" s="155">
        <f>SUM(K6:K18)</f>
        <v>36</v>
      </c>
      <c r="L19" s="155">
        <f t="shared" ref="L19:N19" si="3">SUM(L6:L18)</f>
        <v>36</v>
      </c>
      <c r="M19" s="155">
        <f t="shared" si="3"/>
        <v>36</v>
      </c>
      <c r="N19" s="155">
        <f t="shared" si="3"/>
        <v>36</v>
      </c>
    </row>
    <row r="20" spans="1:14" x14ac:dyDescent="0.25">
      <c r="A20" s="16"/>
      <c r="B20" s="7"/>
      <c r="C20" s="7"/>
      <c r="D20" s="7"/>
      <c r="E20" s="7"/>
      <c r="F20" s="7"/>
      <c r="G20" s="7"/>
    </row>
    <row r="21" spans="1:14" x14ac:dyDescent="0.25">
      <c r="A21" s="17" t="s">
        <v>22</v>
      </c>
      <c r="B21" s="18"/>
      <c r="C21" s="18"/>
      <c r="D21" s="18"/>
      <c r="E21" s="18"/>
      <c r="F21" s="18"/>
      <c r="G21" s="18"/>
    </row>
    <row r="22" spans="1:14" x14ac:dyDescent="0.25">
      <c r="A22" s="140" t="s">
        <v>23</v>
      </c>
      <c r="B22" s="11">
        <f>'FY23'!R22</f>
        <v>74</v>
      </c>
      <c r="C22" s="11">
        <f>'FY24'!R22</f>
        <v>74</v>
      </c>
      <c r="D22" s="11">
        <f>'FY25'!R22</f>
        <v>74</v>
      </c>
      <c r="E22" s="11">
        <f>'FY26'!R22</f>
        <v>74</v>
      </c>
      <c r="F22" s="94">
        <f>'FY27'!R22</f>
        <v>74</v>
      </c>
      <c r="G22" s="94">
        <f>'FY28'!R22</f>
        <v>74</v>
      </c>
      <c r="J22" s="278">
        <f>C22/C19</f>
        <v>7.2834645669291334E-2</v>
      </c>
    </row>
    <row r="23" spans="1:14" x14ac:dyDescent="0.25">
      <c r="A23" s="140" t="s">
        <v>24</v>
      </c>
      <c r="B23" s="11">
        <f>'FY23'!R23</f>
        <v>18</v>
      </c>
      <c r="C23" s="11">
        <f>'FY24'!R23</f>
        <v>18</v>
      </c>
      <c r="D23" s="11">
        <f>'FY25'!R23</f>
        <v>18</v>
      </c>
      <c r="E23" s="11">
        <f>'FY26'!R23</f>
        <v>18</v>
      </c>
      <c r="F23" s="94">
        <f>'FY27'!R23</f>
        <v>18</v>
      </c>
      <c r="G23" s="94">
        <f>'FY28'!R23</f>
        <v>18</v>
      </c>
      <c r="J23" s="278">
        <f>C23/C19</f>
        <v>1.7716535433070866E-2</v>
      </c>
    </row>
    <row r="24" spans="1:14" x14ac:dyDescent="0.25">
      <c r="A24" s="140" t="s">
        <v>25</v>
      </c>
      <c r="B24" s="11">
        <f>'FY23'!R24</f>
        <v>46</v>
      </c>
      <c r="C24" s="11">
        <f>'FY24'!R24</f>
        <v>46</v>
      </c>
      <c r="D24" s="11">
        <f>'FY25'!R24</f>
        <v>46</v>
      </c>
      <c r="E24" s="11">
        <f>'FY26'!R24</f>
        <v>46</v>
      </c>
      <c r="F24" s="94">
        <f>'FY27'!R24</f>
        <v>46</v>
      </c>
      <c r="G24" s="94">
        <f>'FY28'!R24</f>
        <v>46</v>
      </c>
    </row>
    <row r="25" spans="1:14" x14ac:dyDescent="0.25">
      <c r="A25" s="140" t="s">
        <v>26</v>
      </c>
      <c r="B25" s="354">
        <f>'FY23'!R25</f>
        <v>0.28079999999999999</v>
      </c>
      <c r="C25" s="354">
        <f>'FY24'!R25</f>
        <v>0.3</v>
      </c>
      <c r="D25" s="354">
        <f>'FY25'!R25</f>
        <v>0.3</v>
      </c>
      <c r="E25" s="354">
        <f>'FY26'!R25</f>
        <v>0.3</v>
      </c>
      <c r="F25" s="355">
        <f>'FY27'!R25</f>
        <v>0.3</v>
      </c>
      <c r="G25" s="355">
        <f>'FY28'!R25</f>
        <v>0.3</v>
      </c>
    </row>
    <row r="26" spans="1:14" x14ac:dyDescent="0.25">
      <c r="A26" s="140" t="s">
        <v>27</v>
      </c>
      <c r="B26" s="11">
        <f>'FY23'!R26</f>
        <v>241</v>
      </c>
      <c r="C26" s="11">
        <f>'FY24'!R26</f>
        <v>241</v>
      </c>
      <c r="D26" s="11">
        <f>'FY25'!R26</f>
        <v>241</v>
      </c>
      <c r="E26" s="11">
        <f>'FY26'!R26</f>
        <v>241</v>
      </c>
      <c r="F26" s="94">
        <f>'FY27'!R26</f>
        <v>241</v>
      </c>
      <c r="G26" s="94">
        <f>'FY28'!R26</f>
        <v>241</v>
      </c>
    </row>
    <row r="27" spans="1:14" x14ac:dyDescent="0.25">
      <c r="A27" s="20"/>
      <c r="B27" s="7"/>
      <c r="C27" s="7"/>
      <c r="D27" s="7"/>
      <c r="E27" s="7"/>
      <c r="F27" s="7">
        <f t="shared" ref="F27:G27" si="4">SUM(B27:E27)</f>
        <v>0</v>
      </c>
      <c r="G27" s="7">
        <f t="shared" si="4"/>
        <v>0</v>
      </c>
    </row>
    <row r="28" spans="1:14" x14ac:dyDescent="0.25">
      <c r="A28" s="17" t="s">
        <v>28</v>
      </c>
      <c r="B28" s="18"/>
      <c r="C28" s="18"/>
      <c r="D28" s="18"/>
      <c r="E28" s="18"/>
      <c r="F28" s="18"/>
      <c r="G28" s="18"/>
    </row>
    <row r="29" spans="1:14" x14ac:dyDescent="0.25">
      <c r="A29" s="21" t="s">
        <v>29</v>
      </c>
      <c r="B29" s="152">
        <f>'FY23'!R29</f>
        <v>36</v>
      </c>
      <c r="C29" s="152">
        <f>'FY24'!R29</f>
        <v>36</v>
      </c>
      <c r="D29" s="152">
        <f>'FY25'!R29</f>
        <v>36</v>
      </c>
      <c r="E29" s="152">
        <f>'FY26'!R29</f>
        <v>36</v>
      </c>
      <c r="F29" s="356">
        <f>'FY27'!R29</f>
        <v>36</v>
      </c>
      <c r="G29" s="356">
        <f>'FY28'!R29</f>
        <v>36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25">
      <c r="A30" s="21" t="s">
        <v>30</v>
      </c>
      <c r="B30" s="152">
        <f>'FY23'!R30</f>
        <v>4</v>
      </c>
      <c r="C30" s="152">
        <f>'FY24'!R30</f>
        <v>4</v>
      </c>
      <c r="D30" s="152">
        <f>'FY25'!R30</f>
        <v>4</v>
      </c>
      <c r="E30" s="152">
        <f>'FY26'!R30</f>
        <v>4</v>
      </c>
      <c r="F30" s="356">
        <f>'FY27'!R30</f>
        <v>4</v>
      </c>
      <c r="G30" s="356">
        <f>'FY28'!R30</f>
        <v>4</v>
      </c>
    </row>
    <row r="31" spans="1:14" x14ac:dyDescent="0.25">
      <c r="A31" s="21" t="s">
        <v>31</v>
      </c>
      <c r="B31" s="152">
        <f>'FY23'!R31</f>
        <v>1</v>
      </c>
      <c r="C31" s="152">
        <f>'FY24'!R31</f>
        <v>1</v>
      </c>
      <c r="D31" s="152">
        <f>'FY25'!R31</f>
        <v>1</v>
      </c>
      <c r="E31" s="152">
        <f>'FY26'!R31</f>
        <v>1</v>
      </c>
      <c r="F31" s="356">
        <f>'FY27'!R31</f>
        <v>1</v>
      </c>
      <c r="G31" s="356">
        <f>'FY28'!R31</f>
        <v>1</v>
      </c>
    </row>
    <row r="32" spans="1:14" x14ac:dyDescent="0.25">
      <c r="A32" s="21" t="s">
        <v>32</v>
      </c>
      <c r="B32" s="152">
        <f>'FY23'!R32</f>
        <v>1</v>
      </c>
      <c r="C32" s="152">
        <f>'FY24'!R32</f>
        <v>1</v>
      </c>
      <c r="D32" s="152">
        <f>'FY25'!R32</f>
        <v>1</v>
      </c>
      <c r="E32" s="152">
        <f>'FY26'!R32</f>
        <v>1</v>
      </c>
      <c r="F32" s="356">
        <f>'FY27'!R32</f>
        <v>1</v>
      </c>
      <c r="G32" s="356">
        <f>'FY28'!R32</f>
        <v>1</v>
      </c>
    </row>
    <row r="33" spans="1:7" x14ac:dyDescent="0.25">
      <c r="A33" s="21" t="s">
        <v>33</v>
      </c>
      <c r="B33" s="152">
        <f>'FY23'!R33</f>
        <v>1</v>
      </c>
      <c r="C33" s="152">
        <f>'FY24'!R33</f>
        <v>1</v>
      </c>
      <c r="D33" s="152">
        <f>'FY25'!R33</f>
        <v>1</v>
      </c>
      <c r="E33" s="152">
        <f>'FY26'!R33</f>
        <v>1</v>
      </c>
      <c r="F33" s="356">
        <f>'FY27'!R33</f>
        <v>1</v>
      </c>
      <c r="G33" s="356">
        <f>'FY28'!R33</f>
        <v>1</v>
      </c>
    </row>
    <row r="34" spans="1:7" x14ac:dyDescent="0.25">
      <c r="A34" s="24" t="s">
        <v>34</v>
      </c>
      <c r="B34" s="152">
        <f>'FY23'!R34</f>
        <v>0</v>
      </c>
      <c r="C34" s="152">
        <f>'FY24'!R34</f>
        <v>0</v>
      </c>
      <c r="D34" s="152">
        <f>'FY25'!R34</f>
        <v>0</v>
      </c>
      <c r="E34" s="152">
        <f>'FY26'!R34</f>
        <v>0</v>
      </c>
      <c r="F34" s="356">
        <f>'FY27'!R34</f>
        <v>0</v>
      </c>
      <c r="G34" s="356">
        <f>'FY28'!R34</f>
        <v>0</v>
      </c>
    </row>
    <row r="35" spans="1:7" x14ac:dyDescent="0.25">
      <c r="A35" s="27" t="s">
        <v>35</v>
      </c>
      <c r="B35" s="152">
        <f>'FY23'!R35</f>
        <v>1</v>
      </c>
      <c r="C35" s="152">
        <f>'FY24'!R35</f>
        <v>1</v>
      </c>
      <c r="D35" s="152">
        <f>'FY25'!R35</f>
        <v>1</v>
      </c>
      <c r="E35" s="152">
        <f>'FY26'!R35</f>
        <v>1</v>
      </c>
      <c r="F35" s="356">
        <f>'FY27'!R35</f>
        <v>1</v>
      </c>
      <c r="G35" s="356">
        <f>'FY28'!R35</f>
        <v>1</v>
      </c>
    </row>
    <row r="36" spans="1:7" x14ac:dyDescent="0.25">
      <c r="A36" s="28" t="s">
        <v>36</v>
      </c>
      <c r="B36" s="152">
        <f>'FY23'!R36</f>
        <v>0</v>
      </c>
      <c r="C36" s="152">
        <f>'FY24'!R36</f>
        <v>0</v>
      </c>
      <c r="D36" s="152">
        <f>'FY25'!R36</f>
        <v>0</v>
      </c>
      <c r="E36" s="152">
        <f>'FY26'!R36</f>
        <v>0</v>
      </c>
      <c r="F36" s="356">
        <f>'FY27'!R36</f>
        <v>0</v>
      </c>
      <c r="G36" s="356">
        <f>'FY28'!R36</f>
        <v>0</v>
      </c>
    </row>
    <row r="37" spans="1:7" x14ac:dyDescent="0.25">
      <c r="A37" s="27" t="s">
        <v>37</v>
      </c>
      <c r="B37" s="152">
        <f>'FY23'!R37</f>
        <v>1</v>
      </c>
      <c r="C37" s="152">
        <f>'FY24'!R37</f>
        <v>1</v>
      </c>
      <c r="D37" s="152">
        <f>'FY25'!R37</f>
        <v>1</v>
      </c>
      <c r="E37" s="152">
        <f>'FY26'!R37</f>
        <v>1</v>
      </c>
      <c r="F37" s="356">
        <f>'FY27'!R37</f>
        <v>1</v>
      </c>
      <c r="G37" s="356">
        <f>'FY28'!R37</f>
        <v>1</v>
      </c>
    </row>
    <row r="38" spans="1:7" x14ac:dyDescent="0.25">
      <c r="A38" s="27" t="s">
        <v>38</v>
      </c>
      <c r="B38" s="152">
        <f>'FY23'!R38</f>
        <v>2</v>
      </c>
      <c r="C38" s="152">
        <f>'FY24'!R38</f>
        <v>2</v>
      </c>
      <c r="D38" s="152">
        <f>'FY25'!R38</f>
        <v>2</v>
      </c>
      <c r="E38" s="152">
        <f>'FY26'!R38</f>
        <v>2</v>
      </c>
      <c r="F38" s="356">
        <f>'FY27'!R38</f>
        <v>2</v>
      </c>
      <c r="G38" s="356">
        <f>'FY28'!R38</f>
        <v>2</v>
      </c>
    </row>
    <row r="39" spans="1:7" x14ac:dyDescent="0.25">
      <c r="A39" s="29" t="s">
        <v>39</v>
      </c>
      <c r="B39" s="30">
        <f>SUM(B29:B38)</f>
        <v>47</v>
      </c>
      <c r="C39" s="30">
        <f t="shared" ref="C39:G39" si="6">SUM(C29:C38)</f>
        <v>47</v>
      </c>
      <c r="D39" s="30">
        <f t="shared" si="6"/>
        <v>47</v>
      </c>
      <c r="E39" s="30">
        <f t="shared" si="6"/>
        <v>47</v>
      </c>
      <c r="F39" s="30">
        <f t="shared" si="6"/>
        <v>47</v>
      </c>
      <c r="G39" s="30">
        <f t="shared" si="6"/>
        <v>47</v>
      </c>
    </row>
    <row r="40" spans="1:7" x14ac:dyDescent="0.25">
      <c r="A40" s="31"/>
      <c r="B40" s="23"/>
      <c r="C40" s="23"/>
      <c r="D40" s="23"/>
      <c r="E40" s="23"/>
      <c r="F40" s="23"/>
      <c r="G40" s="23"/>
    </row>
    <row r="41" spans="1:7" x14ac:dyDescent="0.25">
      <c r="A41" s="17" t="s">
        <v>40</v>
      </c>
      <c r="B41" s="32" t="str">
        <f>B1</f>
        <v xml:space="preserve"> FY 23</v>
      </c>
      <c r="C41" s="32" t="str">
        <f t="shared" ref="C41:G41" si="7">C1</f>
        <v xml:space="preserve"> FY 24</v>
      </c>
      <c r="D41" s="32" t="str">
        <f t="shared" si="7"/>
        <v xml:space="preserve"> FY 25</v>
      </c>
      <c r="E41" s="32" t="str">
        <f t="shared" si="7"/>
        <v xml:space="preserve"> FY 26</v>
      </c>
      <c r="F41" s="32" t="str">
        <f t="shared" si="7"/>
        <v xml:space="preserve"> FY 27</v>
      </c>
      <c r="G41" s="32" t="str">
        <f t="shared" si="7"/>
        <v xml:space="preserve"> FY 28</v>
      </c>
    </row>
    <row r="42" spans="1:7" x14ac:dyDescent="0.25">
      <c r="A42" s="21" t="s">
        <v>41</v>
      </c>
      <c r="B42" s="152">
        <f>'FY23'!R42</f>
        <v>1</v>
      </c>
      <c r="C42" s="152">
        <f>'FY24'!R42</f>
        <v>1</v>
      </c>
      <c r="D42" s="152">
        <f>'FY25'!R42</f>
        <v>1</v>
      </c>
      <c r="E42" s="152">
        <f>'FY26'!R42</f>
        <v>1</v>
      </c>
      <c r="F42" s="356">
        <f>'FY27'!R42</f>
        <v>1</v>
      </c>
      <c r="G42" s="356">
        <f>'FY28'!R42</f>
        <v>1</v>
      </c>
    </row>
    <row r="43" spans="1:7" x14ac:dyDescent="0.25">
      <c r="A43" s="21" t="s">
        <v>42</v>
      </c>
      <c r="B43" s="152">
        <f>'FY23'!R43</f>
        <v>2</v>
      </c>
      <c r="C43" s="152">
        <f>'FY24'!R43</f>
        <v>2</v>
      </c>
      <c r="D43" s="152">
        <f>'FY25'!R43</f>
        <v>2</v>
      </c>
      <c r="E43" s="152">
        <f>'FY26'!R43</f>
        <v>2</v>
      </c>
      <c r="F43" s="356">
        <f>'FY27'!R43</f>
        <v>2</v>
      </c>
      <c r="G43" s="356">
        <f>'FY28'!R43</f>
        <v>2</v>
      </c>
    </row>
    <row r="44" spans="1:7" x14ac:dyDescent="0.25">
      <c r="A44" s="34" t="s">
        <v>43</v>
      </c>
      <c r="B44" s="152">
        <f>'FY23'!R44</f>
        <v>0</v>
      </c>
      <c r="C44" s="152">
        <f>'FY24'!R44</f>
        <v>0</v>
      </c>
      <c r="D44" s="152">
        <f>'FY25'!R44</f>
        <v>0</v>
      </c>
      <c r="E44" s="152">
        <f>'FY26'!R44</f>
        <v>0</v>
      </c>
      <c r="F44" s="356">
        <f>'FY27'!R44</f>
        <v>0</v>
      </c>
      <c r="G44" s="356">
        <f>'FY28'!R44</f>
        <v>0</v>
      </c>
    </row>
    <row r="45" spans="1:7" x14ac:dyDescent="0.25">
      <c r="A45" s="33" t="s">
        <v>44</v>
      </c>
      <c r="B45" s="152">
        <f>'FY23'!R45</f>
        <v>1</v>
      </c>
      <c r="C45" s="152">
        <f>'FY24'!R45</f>
        <v>1</v>
      </c>
      <c r="D45" s="152">
        <f>'FY25'!R45</f>
        <v>1</v>
      </c>
      <c r="E45" s="152">
        <f>'FY26'!R45</f>
        <v>1</v>
      </c>
      <c r="F45" s="356">
        <f>'FY27'!R45</f>
        <v>1</v>
      </c>
      <c r="G45" s="356">
        <f>'FY28'!R45</f>
        <v>1</v>
      </c>
    </row>
    <row r="46" spans="1:7" x14ac:dyDescent="0.25">
      <c r="A46" s="33" t="s">
        <v>45</v>
      </c>
      <c r="B46" s="152">
        <f>'FY23'!R46</f>
        <v>1</v>
      </c>
      <c r="C46" s="152">
        <f>'FY24'!R46</f>
        <v>1</v>
      </c>
      <c r="D46" s="152">
        <f>'FY25'!R46</f>
        <v>1</v>
      </c>
      <c r="E46" s="152">
        <f>'FY26'!R46</f>
        <v>1</v>
      </c>
      <c r="F46" s="356">
        <f>'FY27'!R46</f>
        <v>1</v>
      </c>
      <c r="G46" s="356">
        <f>'FY28'!R46</f>
        <v>1</v>
      </c>
    </row>
    <row r="47" spans="1:7" x14ac:dyDescent="0.25">
      <c r="A47" s="21" t="s">
        <v>200</v>
      </c>
      <c r="B47" s="152">
        <f>'FY23'!R47</f>
        <v>1</v>
      </c>
      <c r="C47" s="152">
        <f>'FY24'!R47</f>
        <v>1</v>
      </c>
      <c r="D47" s="152">
        <f>'FY25'!R47</f>
        <v>1</v>
      </c>
      <c r="E47" s="152">
        <f>'FY26'!R47</f>
        <v>1</v>
      </c>
      <c r="F47" s="356">
        <f>'FY27'!R47</f>
        <v>1</v>
      </c>
      <c r="G47" s="356">
        <f>'FY28'!R47</f>
        <v>1</v>
      </c>
    </row>
    <row r="48" spans="1:7" x14ac:dyDescent="0.25">
      <c r="A48" s="21" t="s">
        <v>47</v>
      </c>
      <c r="B48" s="152">
        <f>'FY23'!R48</f>
        <v>1</v>
      </c>
      <c r="C48" s="152">
        <f>'FY24'!R48</f>
        <v>1</v>
      </c>
      <c r="D48" s="152">
        <f>'FY25'!R48</f>
        <v>1</v>
      </c>
      <c r="E48" s="152">
        <f>'FY26'!R48</f>
        <v>1</v>
      </c>
      <c r="F48" s="356">
        <f>'FY27'!R48</f>
        <v>1</v>
      </c>
      <c r="G48" s="356">
        <f>'FY28'!R48</f>
        <v>1</v>
      </c>
    </row>
    <row r="49" spans="1:7" x14ac:dyDescent="0.25">
      <c r="A49" s="21" t="s">
        <v>48</v>
      </c>
      <c r="B49" s="152">
        <f>'FY23'!R49</f>
        <v>1</v>
      </c>
      <c r="C49" s="152">
        <f>'FY24'!R49</f>
        <v>1</v>
      </c>
      <c r="D49" s="152">
        <f>'FY25'!R49</f>
        <v>1</v>
      </c>
      <c r="E49" s="152">
        <f>'FY26'!R49</f>
        <v>1</v>
      </c>
      <c r="F49" s="356">
        <f>'FY27'!R49</f>
        <v>1</v>
      </c>
      <c r="G49" s="356">
        <f>'FY28'!R49</f>
        <v>1</v>
      </c>
    </row>
    <row r="50" spans="1:7" x14ac:dyDescent="0.25">
      <c r="A50" s="21" t="s">
        <v>49</v>
      </c>
      <c r="B50" s="152">
        <f>'FY23'!R50</f>
        <v>1</v>
      </c>
      <c r="C50" s="152">
        <f>'FY24'!R50</f>
        <v>1</v>
      </c>
      <c r="D50" s="152">
        <f>'FY25'!R50</f>
        <v>1</v>
      </c>
      <c r="E50" s="152">
        <f>'FY26'!R50</f>
        <v>1</v>
      </c>
      <c r="F50" s="356">
        <f>'FY27'!R50</f>
        <v>1</v>
      </c>
      <c r="G50" s="356">
        <f>'FY28'!R50</f>
        <v>1</v>
      </c>
    </row>
    <row r="51" spans="1:7" x14ac:dyDescent="0.25">
      <c r="A51" s="21" t="s">
        <v>50</v>
      </c>
      <c r="B51" s="152">
        <f>'FY23'!R51</f>
        <v>8.5</v>
      </c>
      <c r="C51" s="152">
        <f>'FY24'!R51</f>
        <v>8.5</v>
      </c>
      <c r="D51" s="152">
        <f>'FY25'!R51</f>
        <v>8.5</v>
      </c>
      <c r="E51" s="152">
        <f>'FY26'!R51</f>
        <v>8.5</v>
      </c>
      <c r="F51" s="356">
        <f>'FY27'!R51</f>
        <v>8.5</v>
      </c>
      <c r="G51" s="356">
        <f>'FY28'!R51</f>
        <v>8.5</v>
      </c>
    </row>
    <row r="52" spans="1:7" x14ac:dyDescent="0.25">
      <c r="A52" s="21" t="s">
        <v>51</v>
      </c>
      <c r="B52" s="152">
        <f>'FY23'!R52</f>
        <v>2</v>
      </c>
      <c r="C52" s="152">
        <f>'FY24'!R52</f>
        <v>2</v>
      </c>
      <c r="D52" s="152">
        <f>'FY25'!R52</f>
        <v>2</v>
      </c>
      <c r="E52" s="152">
        <f>'FY26'!R52</f>
        <v>2</v>
      </c>
      <c r="F52" s="356">
        <f>'FY27'!R52</f>
        <v>2</v>
      </c>
      <c r="G52" s="356">
        <f>'FY28'!R52</f>
        <v>2</v>
      </c>
    </row>
    <row r="53" spans="1:7" x14ac:dyDescent="0.25">
      <c r="A53" s="21" t="s">
        <v>52</v>
      </c>
      <c r="B53" s="152">
        <f>'FY23'!R53</f>
        <v>1</v>
      </c>
      <c r="C53" s="152">
        <f>'FY24'!R53</f>
        <v>1</v>
      </c>
      <c r="D53" s="152">
        <f>'FY25'!R53</f>
        <v>1</v>
      </c>
      <c r="E53" s="152">
        <f>'FY26'!R53</f>
        <v>1</v>
      </c>
      <c r="F53" s="356">
        <f>'FY27'!R53</f>
        <v>1</v>
      </c>
      <c r="G53" s="356">
        <f>'FY28'!R53</f>
        <v>1</v>
      </c>
    </row>
    <row r="54" spans="1:7" x14ac:dyDescent="0.25">
      <c r="A54" s="21" t="s">
        <v>244</v>
      </c>
      <c r="B54" s="152">
        <f>'FY23'!R54</f>
        <v>0</v>
      </c>
      <c r="C54" s="152">
        <f>'FY24'!R54</f>
        <v>0</v>
      </c>
      <c r="D54" s="152">
        <f>'FY25'!R54</f>
        <v>0</v>
      </c>
      <c r="E54" s="152">
        <f>'FY26'!R54</f>
        <v>0</v>
      </c>
      <c r="F54" s="356">
        <f>'FY27'!R54</f>
        <v>0</v>
      </c>
      <c r="G54" s="356">
        <f>'FY28'!R54</f>
        <v>0</v>
      </c>
    </row>
    <row r="55" spans="1:7" x14ac:dyDescent="0.25">
      <c r="A55" s="34" t="s">
        <v>54</v>
      </c>
      <c r="B55" s="152">
        <f>'FY23'!R55</f>
        <v>0.33</v>
      </c>
      <c r="C55" s="152">
        <f>'FY24'!R55</f>
        <v>0.33</v>
      </c>
      <c r="D55" s="152">
        <f>'FY25'!R55</f>
        <v>0.33</v>
      </c>
      <c r="E55" s="152">
        <f>'FY26'!R55</f>
        <v>0.33</v>
      </c>
      <c r="F55" s="356">
        <f>'FY27'!R55</f>
        <v>0.33</v>
      </c>
      <c r="G55" s="356">
        <f>'FY28'!R55</f>
        <v>0.33</v>
      </c>
    </row>
    <row r="56" spans="1:7" x14ac:dyDescent="0.25">
      <c r="A56" s="34" t="s">
        <v>55</v>
      </c>
      <c r="B56" s="152">
        <f>'FY23'!R56</f>
        <v>0</v>
      </c>
      <c r="C56" s="152">
        <f>'FY24'!R56</f>
        <v>0</v>
      </c>
      <c r="D56" s="152">
        <f>'FY25'!R56</f>
        <v>0</v>
      </c>
      <c r="E56" s="152">
        <f>'FY26'!R56</f>
        <v>0</v>
      </c>
      <c r="F56" s="356">
        <f>'FY27'!R56</f>
        <v>0</v>
      </c>
      <c r="G56" s="356">
        <f>'FY28'!R56</f>
        <v>0</v>
      </c>
    </row>
    <row r="57" spans="1:7" x14ac:dyDescent="0.25">
      <c r="A57" s="34" t="s">
        <v>56</v>
      </c>
      <c r="B57" s="152">
        <f>'FY23'!R57</f>
        <v>0</v>
      </c>
      <c r="C57" s="152">
        <f>'FY24'!R57</f>
        <v>0</v>
      </c>
      <c r="D57" s="152">
        <f>'FY25'!R57</f>
        <v>0</v>
      </c>
      <c r="E57" s="152">
        <f>'FY26'!R57</f>
        <v>0</v>
      </c>
      <c r="F57" s="356">
        <f>'FY27'!R57</f>
        <v>0</v>
      </c>
      <c r="G57" s="356">
        <f>'FY28'!R57</f>
        <v>0</v>
      </c>
    </row>
    <row r="58" spans="1:7" x14ac:dyDescent="0.25">
      <c r="A58" s="34" t="s">
        <v>57</v>
      </c>
      <c r="B58" s="152">
        <f>'FY23'!R58</f>
        <v>0</v>
      </c>
      <c r="C58" s="152">
        <f>'FY24'!R58</f>
        <v>0</v>
      </c>
      <c r="D58" s="152">
        <f>'FY25'!R58</f>
        <v>0</v>
      </c>
      <c r="E58" s="152">
        <f>'FY26'!R58</f>
        <v>0</v>
      </c>
      <c r="F58" s="356">
        <f>'FY27'!R58</f>
        <v>0</v>
      </c>
      <c r="G58" s="356">
        <f>'FY28'!R58</f>
        <v>0</v>
      </c>
    </row>
    <row r="59" spans="1:7" x14ac:dyDescent="0.25">
      <c r="A59" s="34" t="s">
        <v>58</v>
      </c>
      <c r="B59" s="152">
        <f>'FY23'!R59</f>
        <v>0</v>
      </c>
      <c r="C59" s="152">
        <f>'FY24'!R59</f>
        <v>0</v>
      </c>
      <c r="D59" s="152">
        <f>'FY25'!R59</f>
        <v>0</v>
      </c>
      <c r="E59" s="152">
        <f>'FY26'!R59</f>
        <v>0</v>
      </c>
      <c r="F59" s="356">
        <f>'FY27'!R59</f>
        <v>0</v>
      </c>
      <c r="G59" s="356">
        <f>'FY28'!R59</f>
        <v>0</v>
      </c>
    </row>
    <row r="60" spans="1:7" x14ac:dyDescent="0.25">
      <c r="A60" s="34" t="s">
        <v>59</v>
      </c>
      <c r="B60" s="152">
        <f>'FY23'!R60</f>
        <v>0.5</v>
      </c>
      <c r="C60" s="152">
        <f>'FY24'!R60</f>
        <v>0.5</v>
      </c>
      <c r="D60" s="152">
        <f>'FY25'!R60</f>
        <v>0.5</v>
      </c>
      <c r="E60" s="152">
        <f>'FY26'!R60</f>
        <v>0.5</v>
      </c>
      <c r="F60" s="356">
        <f>'FY27'!R60</f>
        <v>0.5</v>
      </c>
      <c r="G60" s="356">
        <f>'FY28'!R60</f>
        <v>0.5</v>
      </c>
    </row>
    <row r="61" spans="1:7" x14ac:dyDescent="0.25">
      <c r="A61" s="35" t="s">
        <v>245</v>
      </c>
      <c r="B61" s="152">
        <f>'FY23'!R61</f>
        <v>0</v>
      </c>
      <c r="C61" s="152">
        <f>'FY24'!R61</f>
        <v>0</v>
      </c>
      <c r="D61" s="152">
        <f>'FY25'!R61</f>
        <v>0</v>
      </c>
      <c r="E61" s="152">
        <f>'FY26'!R61</f>
        <v>0</v>
      </c>
      <c r="F61" s="356">
        <f>'FY27'!R61</f>
        <v>0</v>
      </c>
      <c r="G61" s="356">
        <f>'FY28'!R61</f>
        <v>0</v>
      </c>
    </row>
    <row r="62" spans="1:7" x14ac:dyDescent="0.25">
      <c r="A62" s="29" t="s">
        <v>60</v>
      </c>
      <c r="B62" s="30">
        <f>SUM(B42:B61)</f>
        <v>21.33</v>
      </c>
      <c r="C62" s="30">
        <f t="shared" ref="C62:G62" si="8">SUM(C42:C61)</f>
        <v>21.33</v>
      </c>
      <c r="D62" s="30">
        <f t="shared" si="8"/>
        <v>21.33</v>
      </c>
      <c r="E62" s="30">
        <f t="shared" si="8"/>
        <v>21.33</v>
      </c>
      <c r="F62" s="30">
        <f t="shared" si="8"/>
        <v>21.33</v>
      </c>
      <c r="G62" s="30">
        <f t="shared" si="8"/>
        <v>21.33</v>
      </c>
    </row>
    <row r="63" spans="1:7" ht="15.75" thickBot="1" x14ac:dyDescent="0.3">
      <c r="A63" s="36"/>
      <c r="B63" s="38"/>
      <c r="C63" s="38"/>
      <c r="D63" s="38"/>
      <c r="E63" s="38"/>
      <c r="F63" s="38"/>
      <c r="G63" s="38"/>
    </row>
    <row r="64" spans="1:7" x14ac:dyDescent="0.25">
      <c r="A64" s="40" t="s">
        <v>61</v>
      </c>
      <c r="B64" s="39">
        <f>B39</f>
        <v>47</v>
      </c>
      <c r="C64" s="39">
        <f>C39</f>
        <v>47</v>
      </c>
      <c r="D64" s="39">
        <f>D39</f>
        <v>47</v>
      </c>
      <c r="E64" s="39">
        <f t="shared" ref="E64" si="9">E39</f>
        <v>47</v>
      </c>
      <c r="F64" s="39">
        <f>F39</f>
        <v>47</v>
      </c>
      <c r="G64" s="39">
        <f>G39</f>
        <v>47</v>
      </c>
    </row>
    <row r="65" spans="1:7" ht="15.75" thickBot="1" x14ac:dyDescent="0.3">
      <c r="A65" s="42" t="s">
        <v>62</v>
      </c>
      <c r="B65" s="41">
        <f>B62</f>
        <v>21.33</v>
      </c>
      <c r="C65" s="41">
        <f>C62</f>
        <v>21.33</v>
      </c>
      <c r="D65" s="41">
        <f>D62</f>
        <v>21.33</v>
      </c>
      <c r="E65" s="41">
        <f t="shared" ref="E65:G65" si="10">E62</f>
        <v>21.33</v>
      </c>
      <c r="F65" s="41">
        <f t="shared" si="10"/>
        <v>21.33</v>
      </c>
      <c r="G65" s="41">
        <f t="shared" si="10"/>
        <v>21.33</v>
      </c>
    </row>
    <row r="66" spans="1:7" ht="15.75" thickBot="1" x14ac:dyDescent="0.3">
      <c r="A66" s="44" t="s">
        <v>63</v>
      </c>
      <c r="B66" s="43">
        <f>SUM(B64:B65)</f>
        <v>68.33</v>
      </c>
      <c r="C66" s="43">
        <f>SUM(C64:C65)</f>
        <v>68.33</v>
      </c>
      <c r="D66" s="43">
        <f>SUM(D64:D65)</f>
        <v>68.33</v>
      </c>
      <c r="E66" s="43">
        <f t="shared" ref="E66:G66" si="11">SUM(E64:E65)</f>
        <v>68.33</v>
      </c>
      <c r="F66" s="43">
        <f t="shared" si="11"/>
        <v>68.33</v>
      </c>
      <c r="G66" s="43">
        <f t="shared" si="11"/>
        <v>68.33</v>
      </c>
    </row>
    <row r="67" spans="1:7" ht="15.75" thickBot="1" x14ac:dyDescent="0.3">
      <c r="A67" s="34"/>
      <c r="B67" s="45"/>
      <c r="C67" s="45"/>
      <c r="D67" s="45"/>
      <c r="E67" s="45"/>
      <c r="F67" s="45"/>
      <c r="G67" s="45"/>
    </row>
    <row r="68" spans="1:7" x14ac:dyDescent="0.25">
      <c r="A68" s="47" t="s">
        <v>64</v>
      </c>
      <c r="B68" s="46">
        <f t="shared" ref="B68:E68" si="12">B139/(SUM(B207:B217))</f>
        <v>0.64390415003409129</v>
      </c>
      <c r="C68" s="46">
        <f t="shared" si="12"/>
        <v>0.64844948735420826</v>
      </c>
      <c r="D68" s="46">
        <f t="shared" si="12"/>
        <v>0.65103672780845356</v>
      </c>
      <c r="E68" s="46">
        <f t="shared" si="12"/>
        <v>0.65404260377354106</v>
      </c>
      <c r="F68" s="46">
        <f>F139/(SUM(F207:F217))</f>
        <v>0.65684877810565878</v>
      </c>
      <c r="G68" s="46">
        <f>G139/(SUM(G207:G217))</f>
        <v>0.66023863828473517</v>
      </c>
    </row>
    <row r="69" spans="1:7" x14ac:dyDescent="0.25">
      <c r="A69" s="49" t="s">
        <v>65</v>
      </c>
      <c r="B69" s="48">
        <f t="shared" ref="B69:G69" si="13">(B108+B109+B110+B113)/B129</f>
        <v>0.75996049398612397</v>
      </c>
      <c r="C69" s="48">
        <f t="shared" si="13"/>
        <v>0.76018231798495473</v>
      </c>
      <c r="D69" s="48">
        <f t="shared" si="13"/>
        <v>0.76064190332456738</v>
      </c>
      <c r="E69" s="48">
        <f t="shared" si="13"/>
        <v>0.76102788762495821</v>
      </c>
      <c r="F69" s="48">
        <f t="shared" si="13"/>
        <v>0.76150608400794439</v>
      </c>
      <c r="G69" s="48">
        <f t="shared" si="13"/>
        <v>0.76174484598607117</v>
      </c>
    </row>
    <row r="70" spans="1:7" x14ac:dyDescent="0.25">
      <c r="A70" s="51" t="s">
        <v>66</v>
      </c>
      <c r="B70" s="48">
        <f t="shared" ref="B70:G70" si="14">(B103+B104+B106+B107+B111+B112+B114+B115+B118+B119+B120+B121+B122+B105+B123+B124+B125+B126+B127)/B129</f>
        <v>0.24003950601387619</v>
      </c>
      <c r="C70" s="48">
        <f t="shared" si="14"/>
        <v>0.23981768201504527</v>
      </c>
      <c r="D70" s="48">
        <f t="shared" si="14"/>
        <v>0.23935809667543259</v>
      </c>
      <c r="E70" s="48">
        <f t="shared" si="14"/>
        <v>0.23897211237504171</v>
      </c>
      <c r="F70" s="48">
        <f t="shared" si="14"/>
        <v>0.23849391599205569</v>
      </c>
      <c r="G70" s="48">
        <f t="shared" si="14"/>
        <v>0.23825515401392897</v>
      </c>
    </row>
    <row r="71" spans="1:7" ht="15.75" thickBot="1" x14ac:dyDescent="0.3">
      <c r="A71" s="53" t="s">
        <v>67</v>
      </c>
      <c r="B71" s="52">
        <f t="shared" ref="B71:E71" si="15">SUM(B209:B217)/B86</f>
        <v>0.11952284765041551</v>
      </c>
      <c r="C71" s="52">
        <f t="shared" si="15"/>
        <v>0.11936730362822666</v>
      </c>
      <c r="D71" s="52">
        <f t="shared" si="15"/>
        <v>0.11825939175775803</v>
      </c>
      <c r="E71" s="52">
        <f t="shared" si="15"/>
        <v>0.1169701740813178</v>
      </c>
      <c r="F71" s="52">
        <f>SUM(F209:F217)/F86</f>
        <v>0.11549663987678389</v>
      </c>
      <c r="G71" s="52">
        <f>SUM(G209:G217)/G86</f>
        <v>0.11397373635524309</v>
      </c>
    </row>
    <row r="72" spans="1:7" x14ac:dyDescent="0.25">
      <c r="A72" s="54"/>
      <c r="B72" s="55"/>
      <c r="C72" s="55"/>
      <c r="D72" s="55"/>
      <c r="E72" s="55"/>
      <c r="F72" s="55"/>
      <c r="G72" s="55"/>
    </row>
    <row r="73" spans="1:7" x14ac:dyDescent="0.25">
      <c r="A73" s="57" t="s">
        <v>246</v>
      </c>
      <c r="B73" s="58" t="str">
        <f>B1</f>
        <v xml:space="preserve"> FY 23</v>
      </c>
      <c r="C73" s="58" t="str">
        <f>C1</f>
        <v xml:space="preserve"> FY 24</v>
      </c>
      <c r="D73" s="58" t="str">
        <f>D1</f>
        <v xml:space="preserve"> FY 25</v>
      </c>
      <c r="E73" s="58" t="str">
        <f t="shared" ref="E73" si="16">E1</f>
        <v xml:space="preserve"> FY 26</v>
      </c>
      <c r="F73" s="58" t="str">
        <f>F1</f>
        <v xml:space="preserve"> FY 27</v>
      </c>
      <c r="G73" s="58" t="str">
        <f>G1</f>
        <v xml:space="preserve"> FY 28</v>
      </c>
    </row>
    <row r="74" spans="1:7" x14ac:dyDescent="0.25">
      <c r="A74" s="60" t="s">
        <v>69</v>
      </c>
      <c r="B74" s="7">
        <f>'FY23'!R74</f>
        <v>7409688</v>
      </c>
      <c r="C74" s="7">
        <f>'FY24'!R74</f>
        <v>7506013.9439999992</v>
      </c>
      <c r="D74" s="7">
        <f>'FY25'!R74</f>
        <v>7603592.1252719993</v>
      </c>
      <c r="E74" s="7">
        <f>'FY26'!R74</f>
        <v>7702438.8229005337</v>
      </c>
      <c r="F74" s="7">
        <f>'FY27'!R74</f>
        <v>7802570.5275982404</v>
      </c>
      <c r="G74" s="7">
        <f>'FY28'!R74</f>
        <v>7904003.9444570169</v>
      </c>
    </row>
    <row r="75" spans="1:7" x14ac:dyDescent="0.25">
      <c r="A75" s="62" t="s">
        <v>70</v>
      </c>
      <c r="B75" s="7">
        <f>'FY23'!R75</f>
        <v>0</v>
      </c>
      <c r="C75" s="7">
        <f>'FY24'!R75</f>
        <v>0</v>
      </c>
      <c r="D75" s="7">
        <f>'FY25'!R75</f>
        <v>0</v>
      </c>
      <c r="E75" s="7">
        <f>'FY26'!R75</f>
        <v>0</v>
      </c>
      <c r="F75" s="7">
        <f>'FY27'!R75</f>
        <v>0</v>
      </c>
      <c r="G75" s="7">
        <f>'FY28'!R75</f>
        <v>0</v>
      </c>
    </row>
    <row r="76" spans="1:7" x14ac:dyDescent="0.25">
      <c r="A76" s="62" t="s">
        <v>71</v>
      </c>
      <c r="B76" s="7">
        <f>'FY23'!R76</f>
        <v>179734.46400000001</v>
      </c>
      <c r="C76" s="7">
        <f>'FY24'!R76</f>
        <v>192024</v>
      </c>
      <c r="D76" s="7">
        <f>'FY25'!R76</f>
        <v>192024</v>
      </c>
      <c r="E76" s="7">
        <f>'FY26'!R76</f>
        <v>192024</v>
      </c>
      <c r="F76" s="7">
        <f>'FY27'!R76</f>
        <v>192024</v>
      </c>
      <c r="G76" s="7">
        <f>'FY28'!R76</f>
        <v>192024</v>
      </c>
    </row>
    <row r="77" spans="1:7" x14ac:dyDescent="0.25">
      <c r="A77" s="62" t="s">
        <v>72</v>
      </c>
      <c r="B77" s="7">
        <f>'FY23'!R77</f>
        <v>70300</v>
      </c>
      <c r="C77" s="7">
        <f>'FY24'!R77</f>
        <v>70300</v>
      </c>
      <c r="D77" s="7">
        <f>'FY25'!R77</f>
        <v>70300</v>
      </c>
      <c r="E77" s="7">
        <f>'FY26'!R77</f>
        <v>70300</v>
      </c>
      <c r="F77" s="7">
        <f>'FY27'!R77</f>
        <v>70300</v>
      </c>
      <c r="G77" s="7">
        <f>'FY28'!R77</f>
        <v>70300</v>
      </c>
    </row>
    <row r="78" spans="1:7" x14ac:dyDescent="0.25">
      <c r="A78" s="141" t="s">
        <v>73</v>
      </c>
      <c r="B78" s="7">
        <f>'FY23'!R78</f>
        <v>203870</v>
      </c>
      <c r="C78" s="7">
        <f>'FY24'!R78</f>
        <v>185000</v>
      </c>
      <c r="D78" s="7">
        <f>'FY25'!R78</f>
        <v>185000</v>
      </c>
      <c r="E78" s="7">
        <f>'FY26'!R78</f>
        <v>188700</v>
      </c>
      <c r="F78" s="7">
        <f>'FY27'!R78</f>
        <v>188700</v>
      </c>
      <c r="G78" s="7">
        <f>'FY28'!R78</f>
        <v>188700</v>
      </c>
    </row>
    <row r="79" spans="1:7" x14ac:dyDescent="0.25">
      <c r="A79" s="62" t="s">
        <v>74</v>
      </c>
      <c r="B79" s="7">
        <f>'FY23'!R79</f>
        <v>29430</v>
      </c>
      <c r="C79" s="7">
        <f>'FY24'!R79</f>
        <v>29430</v>
      </c>
      <c r="D79" s="7">
        <f>'FY25'!R79</f>
        <v>29430</v>
      </c>
      <c r="E79" s="7">
        <f>'FY26'!R79</f>
        <v>29430</v>
      </c>
      <c r="F79" s="7">
        <f>'FY27'!R79</f>
        <v>29430</v>
      </c>
      <c r="G79" s="7">
        <f>'FY28'!R79</f>
        <v>32292</v>
      </c>
    </row>
    <row r="80" spans="1:7" x14ac:dyDescent="0.25">
      <c r="A80" s="62" t="s">
        <v>75</v>
      </c>
      <c r="B80" s="7">
        <f>'FY23'!R80</f>
        <v>39008</v>
      </c>
      <c r="C80" s="7">
        <f>'FY24'!R80</f>
        <v>39008</v>
      </c>
      <c r="D80" s="7">
        <f>'FY25'!R80</f>
        <v>39008</v>
      </c>
      <c r="E80" s="7">
        <f>'FY26'!R80</f>
        <v>39008</v>
      </c>
      <c r="F80" s="7">
        <f>'FY27'!R80</f>
        <v>39008</v>
      </c>
      <c r="G80" s="7">
        <f>'FY28'!R80</f>
        <v>42136</v>
      </c>
    </row>
    <row r="81" spans="1:7" x14ac:dyDescent="0.25">
      <c r="A81" s="62" t="s">
        <v>76</v>
      </c>
      <c r="B81" s="7">
        <f>'FY23'!R81</f>
        <v>58081</v>
      </c>
      <c r="C81" s="7">
        <f>'FY24'!R81</f>
        <v>58081</v>
      </c>
      <c r="D81" s="7">
        <f>'FY25'!R81</f>
        <v>58081</v>
      </c>
      <c r="E81" s="7">
        <f>'FY26'!R81</f>
        <v>58081</v>
      </c>
      <c r="F81" s="7">
        <f>'FY27'!R81</f>
        <v>58081</v>
      </c>
      <c r="G81" s="7">
        <f>'FY28'!R81</f>
        <v>65311</v>
      </c>
    </row>
    <row r="82" spans="1:7" x14ac:dyDescent="0.25">
      <c r="A82" s="62" t="s">
        <v>247</v>
      </c>
      <c r="B82" s="7">
        <f>'FY23'!R82</f>
        <v>0</v>
      </c>
      <c r="C82" s="7">
        <f>'FY24'!R82</f>
        <v>0</v>
      </c>
      <c r="D82" s="7">
        <f>'FY25'!R82</f>
        <v>0</v>
      </c>
      <c r="E82" s="7">
        <f>'FY26'!R82</f>
        <v>0</v>
      </c>
      <c r="F82" s="7">
        <f>'FY27'!R82</f>
        <v>0</v>
      </c>
      <c r="G82" s="7">
        <f>'FY28'!R82</f>
        <v>0</v>
      </c>
    </row>
    <row r="83" spans="1:7" x14ac:dyDescent="0.25">
      <c r="A83" s="154" t="s">
        <v>78</v>
      </c>
      <c r="B83" s="7">
        <f>'FY23'!R83</f>
        <v>0</v>
      </c>
      <c r="C83" s="7">
        <f>'FY24'!R83</f>
        <v>0</v>
      </c>
      <c r="D83" s="7">
        <f>'FY25'!R83</f>
        <v>0</v>
      </c>
      <c r="E83" s="7">
        <f>'FY26'!R83</f>
        <v>0</v>
      </c>
      <c r="F83" s="7">
        <f>'FY27'!R83</f>
        <v>0</v>
      </c>
      <c r="G83" s="7">
        <f>'FY28'!R83</f>
        <v>0</v>
      </c>
    </row>
    <row r="84" spans="1:7" x14ac:dyDescent="0.25">
      <c r="A84" s="62" t="s">
        <v>77</v>
      </c>
      <c r="B84" s="7">
        <f>'FY23'!R84</f>
        <v>0</v>
      </c>
      <c r="C84" s="7">
        <f>'FY24'!R84</f>
        <v>0</v>
      </c>
      <c r="D84" s="7">
        <f>'FY25'!R84</f>
        <v>0</v>
      </c>
      <c r="E84" s="7">
        <f>'FY26'!R84</f>
        <v>0</v>
      </c>
      <c r="F84" s="7">
        <f>'FY27'!R84</f>
        <v>0</v>
      </c>
      <c r="G84" s="7">
        <f>'FY28'!R84</f>
        <v>0</v>
      </c>
    </row>
    <row r="85" spans="1:7" ht="15.75" thickBot="1" x14ac:dyDescent="0.3">
      <c r="A85" s="65" t="s">
        <v>79</v>
      </c>
      <c r="B85" s="7">
        <f>'FY23'!R85</f>
        <v>18399.2</v>
      </c>
      <c r="C85" s="7">
        <f>'FY24'!R85</f>
        <v>18399.2</v>
      </c>
      <c r="D85" s="7">
        <f>'FY25'!R85</f>
        <v>18159.2</v>
      </c>
      <c r="E85" s="7">
        <f>'FY26'!R85</f>
        <v>18159.2</v>
      </c>
      <c r="F85" s="7">
        <f>'FY27'!R85</f>
        <v>18399.2</v>
      </c>
      <c r="G85" s="7">
        <f>'FY28'!R85</f>
        <v>18159.2</v>
      </c>
    </row>
    <row r="86" spans="1:7" ht="15.75" thickBot="1" x14ac:dyDescent="0.3">
      <c r="A86" s="67" t="s">
        <v>80</v>
      </c>
      <c r="B86" s="68">
        <f>SUM(B74:B85)</f>
        <v>8008510.6639999999</v>
      </c>
      <c r="C86" s="68">
        <f>SUM(C74:C85)</f>
        <v>8098256.1439999994</v>
      </c>
      <c r="D86" s="68">
        <f>SUM(D74:D85)</f>
        <v>8195594.3252719995</v>
      </c>
      <c r="E86" s="68">
        <f t="shared" ref="E86:G86" si="17">SUM(E74:E85)</f>
        <v>8298141.0229005339</v>
      </c>
      <c r="F86" s="68">
        <f t="shared" si="17"/>
        <v>8398512.7275982406</v>
      </c>
      <c r="G86" s="68">
        <f t="shared" si="17"/>
        <v>8512926.1444570161</v>
      </c>
    </row>
    <row r="87" spans="1:7" x14ac:dyDescent="0.25">
      <c r="A87" s="60" t="s">
        <v>69</v>
      </c>
      <c r="B87" s="7">
        <f>'FY23'!R87</f>
        <v>7409688</v>
      </c>
      <c r="C87" s="7">
        <f>'FY24'!R87</f>
        <v>7506013.9439999992</v>
      </c>
      <c r="D87" s="7">
        <f>'FY25'!R87</f>
        <v>7603592.1252719993</v>
      </c>
      <c r="E87" s="7">
        <f>'FY26'!R87</f>
        <v>7702438.8229005337</v>
      </c>
      <c r="F87" s="7">
        <f>'FY27'!R87</f>
        <v>7802570.5275982404</v>
      </c>
      <c r="G87" s="7">
        <f>'FY28'!R87</f>
        <v>7904003.9444570169</v>
      </c>
    </row>
    <row r="88" spans="1:7" x14ac:dyDescent="0.25">
      <c r="A88" s="62" t="s">
        <v>201</v>
      </c>
      <c r="B88" s="7">
        <f>'FY23'!R88</f>
        <v>0</v>
      </c>
      <c r="C88" s="7">
        <f>'FY24'!R88</f>
        <v>0</v>
      </c>
      <c r="D88" s="7">
        <f>'FY25'!R88</f>
        <v>0</v>
      </c>
      <c r="E88" s="7">
        <f>'FY26'!R88</f>
        <v>0</v>
      </c>
      <c r="F88" s="7">
        <f>'FY27'!R88</f>
        <v>0</v>
      </c>
      <c r="G88" s="7">
        <f>'FY28'!R88</f>
        <v>0</v>
      </c>
    </row>
    <row r="89" spans="1:7" x14ac:dyDescent="0.25">
      <c r="A89" s="62" t="s">
        <v>71</v>
      </c>
      <c r="B89" s="7">
        <f>'FY23'!R89</f>
        <v>179734.46400000001</v>
      </c>
      <c r="C89" s="7">
        <f>'FY24'!R89</f>
        <v>192024</v>
      </c>
      <c r="D89" s="7">
        <f>'FY25'!R89</f>
        <v>192024</v>
      </c>
      <c r="E89" s="7">
        <f>'FY26'!R89</f>
        <v>192024</v>
      </c>
      <c r="F89" s="7">
        <f>'FY27'!R89</f>
        <v>192024</v>
      </c>
      <c r="G89" s="7">
        <f>'FY28'!R89</f>
        <v>192024</v>
      </c>
    </row>
    <row r="90" spans="1:7" x14ac:dyDescent="0.25">
      <c r="A90" s="62" t="s">
        <v>72</v>
      </c>
      <c r="B90" s="7">
        <f>'FY23'!R90</f>
        <v>70300</v>
      </c>
      <c r="C90" s="7">
        <f>'FY24'!R90</f>
        <v>70300</v>
      </c>
      <c r="D90" s="7">
        <f>'FY25'!R90</f>
        <v>70300</v>
      </c>
      <c r="E90" s="7">
        <f>'FY26'!R90</f>
        <v>70300</v>
      </c>
      <c r="F90" s="7">
        <f>'FY27'!R90</f>
        <v>70300</v>
      </c>
      <c r="G90" s="7">
        <f>'FY28'!R90</f>
        <v>70300</v>
      </c>
    </row>
    <row r="91" spans="1:7" x14ac:dyDescent="0.25">
      <c r="A91" s="141" t="s">
        <v>73</v>
      </c>
      <c r="B91" s="7">
        <f>'FY23'!R91</f>
        <v>203870</v>
      </c>
      <c r="C91" s="7">
        <f>'FY24'!R91</f>
        <v>185000</v>
      </c>
      <c r="D91" s="7">
        <f>'FY25'!R91</f>
        <v>185000</v>
      </c>
      <c r="E91" s="7">
        <f>'FY26'!R91</f>
        <v>188700</v>
      </c>
      <c r="F91" s="7">
        <f>'FY27'!R91</f>
        <v>188700</v>
      </c>
      <c r="G91" s="7">
        <f>'FY28'!R91</f>
        <v>188700</v>
      </c>
    </row>
    <row r="92" spans="1:7" x14ac:dyDescent="0.25">
      <c r="A92" s="62" t="s">
        <v>74</v>
      </c>
      <c r="B92" s="7">
        <f>'FY23'!R92</f>
        <v>29430</v>
      </c>
      <c r="C92" s="7">
        <f>'FY24'!R92</f>
        <v>29430</v>
      </c>
      <c r="D92" s="7">
        <f>'FY25'!R92</f>
        <v>29430</v>
      </c>
      <c r="E92" s="7">
        <f>'FY26'!R92</f>
        <v>29430</v>
      </c>
      <c r="F92" s="7">
        <f>'FY27'!R92</f>
        <v>29430</v>
      </c>
      <c r="G92" s="7">
        <f>'FY28'!R92</f>
        <v>32292</v>
      </c>
    </row>
    <row r="93" spans="1:7" x14ac:dyDescent="0.25">
      <c r="A93" s="62" t="s">
        <v>75</v>
      </c>
      <c r="B93" s="7">
        <f>'FY23'!R93</f>
        <v>39008</v>
      </c>
      <c r="C93" s="7">
        <f>'FY24'!R93</f>
        <v>39008</v>
      </c>
      <c r="D93" s="7">
        <f>'FY25'!R93</f>
        <v>39008</v>
      </c>
      <c r="E93" s="7">
        <f>'FY26'!R93</f>
        <v>39008</v>
      </c>
      <c r="F93" s="7">
        <f>'FY27'!R93</f>
        <v>39008</v>
      </c>
      <c r="G93" s="7">
        <f>'FY28'!R93</f>
        <v>42136</v>
      </c>
    </row>
    <row r="94" spans="1:7" x14ac:dyDescent="0.25">
      <c r="A94" s="62" t="s">
        <v>76</v>
      </c>
      <c r="B94" s="7">
        <f>'FY23'!R94</f>
        <v>58081</v>
      </c>
      <c r="C94" s="7">
        <f>'FY24'!R94</f>
        <v>58081</v>
      </c>
      <c r="D94" s="7">
        <f>'FY25'!R94</f>
        <v>58081</v>
      </c>
      <c r="E94" s="7">
        <f>'FY26'!R94</f>
        <v>58081</v>
      </c>
      <c r="F94" s="7">
        <f>'FY27'!R94</f>
        <v>58081</v>
      </c>
      <c r="G94" s="7">
        <f>'FY28'!R94</f>
        <v>65311</v>
      </c>
    </row>
    <row r="95" spans="1:7" x14ac:dyDescent="0.25">
      <c r="A95" s="62" t="s">
        <v>202</v>
      </c>
      <c r="B95" s="7">
        <f>'FY23'!R95</f>
        <v>0</v>
      </c>
      <c r="C95" s="7">
        <f>'FY24'!R95</f>
        <v>0</v>
      </c>
      <c r="D95" s="7">
        <f>'FY25'!R95</f>
        <v>0</v>
      </c>
      <c r="E95" s="7">
        <f>'FY26'!R95</f>
        <v>0</v>
      </c>
      <c r="F95" s="7">
        <f>'FY27'!R95</f>
        <v>0</v>
      </c>
      <c r="G95" s="7">
        <f>'FY28'!R95</f>
        <v>0</v>
      </c>
    </row>
    <row r="96" spans="1:7" x14ac:dyDescent="0.25">
      <c r="A96" s="62" t="s">
        <v>203</v>
      </c>
      <c r="B96" s="7">
        <f>'FY23'!R96</f>
        <v>0</v>
      </c>
      <c r="C96" s="7">
        <f>'FY24'!R96</f>
        <v>0</v>
      </c>
      <c r="D96" s="7">
        <f>'FY25'!R96</f>
        <v>0</v>
      </c>
      <c r="E96" s="7">
        <f>'FY26'!R96</f>
        <v>0</v>
      </c>
      <c r="F96" s="7">
        <f>'FY27'!R96</f>
        <v>0</v>
      </c>
      <c r="G96" s="7">
        <f>'FY28'!R96</f>
        <v>0</v>
      </c>
    </row>
    <row r="97" spans="1:7" x14ac:dyDescent="0.25">
      <c r="A97" s="62" t="s">
        <v>77</v>
      </c>
      <c r="B97" s="7">
        <f>'FY23'!R97</f>
        <v>0</v>
      </c>
      <c r="C97" s="7">
        <f>'FY24'!R97</f>
        <v>0</v>
      </c>
      <c r="D97" s="7">
        <f>'FY25'!R97</f>
        <v>0</v>
      </c>
      <c r="E97" s="7">
        <f>'FY26'!R97</f>
        <v>0</v>
      </c>
      <c r="F97" s="7">
        <f>'FY27'!R97</f>
        <v>0</v>
      </c>
      <c r="G97" s="7">
        <f>'FY28'!R97</f>
        <v>0</v>
      </c>
    </row>
    <row r="98" spans="1:7" ht="15.75" thickBot="1" x14ac:dyDescent="0.3">
      <c r="A98" s="65" t="s">
        <v>204</v>
      </c>
      <c r="B98" s="7">
        <f>'FY23'!R98</f>
        <v>18399.2</v>
      </c>
      <c r="C98" s="7">
        <f>'FY24'!R98</f>
        <v>18399.2</v>
      </c>
      <c r="D98" s="7">
        <f>'FY25'!R98</f>
        <v>18159.2</v>
      </c>
      <c r="E98" s="7">
        <f>'FY26'!R98</f>
        <v>18159.2</v>
      </c>
      <c r="F98" s="7">
        <f>'FY27'!R98</f>
        <v>18399.2</v>
      </c>
      <c r="G98" s="7">
        <f>'FY28'!R98</f>
        <v>18159.2</v>
      </c>
    </row>
    <row r="99" spans="1:7" ht="15.75" thickBot="1" x14ac:dyDescent="0.3">
      <c r="A99" s="67" t="s">
        <v>81</v>
      </c>
      <c r="B99" s="68">
        <f>SUM(B87:B98)</f>
        <v>8008510.6639999999</v>
      </c>
      <c r="C99" s="68">
        <f>SUM(C87:C98)</f>
        <v>8098256.1439999994</v>
      </c>
      <c r="D99" s="68">
        <f>SUM(D87:D98)</f>
        <v>8195594.3252719995</v>
      </c>
      <c r="E99" s="68">
        <f t="shared" ref="E99:G99" si="18">SUM(E87:E98)</f>
        <v>8298141.0229005339</v>
      </c>
      <c r="F99" s="68">
        <f t="shared" si="18"/>
        <v>8398512.7275982406</v>
      </c>
      <c r="G99" s="68">
        <f t="shared" si="18"/>
        <v>8512926.1444570161</v>
      </c>
    </row>
    <row r="100" spans="1:7" x14ac:dyDescent="0.25">
      <c r="A100" s="70"/>
      <c r="B100" s="55"/>
      <c r="C100" s="55"/>
      <c r="D100" s="55"/>
      <c r="E100" s="55"/>
      <c r="F100" s="55"/>
      <c r="G100" s="55"/>
    </row>
    <row r="101" spans="1:7" ht="15.75" thickBot="1" x14ac:dyDescent="0.3">
      <c r="A101" s="73" t="s">
        <v>82</v>
      </c>
      <c r="B101" s="74" t="str">
        <f>B1</f>
        <v xml:space="preserve"> FY 23</v>
      </c>
      <c r="C101" s="74" t="str">
        <f>C1</f>
        <v xml:space="preserve"> FY 24</v>
      </c>
      <c r="D101" s="74" t="str">
        <f>D1</f>
        <v xml:space="preserve"> FY 25</v>
      </c>
      <c r="E101" s="74" t="str">
        <f t="shared" ref="E101:G101" si="19">E1</f>
        <v xml:space="preserve"> FY 26</v>
      </c>
      <c r="F101" s="74" t="str">
        <f t="shared" si="19"/>
        <v xml:space="preserve"> FY 27</v>
      </c>
      <c r="G101" s="74" t="str">
        <f t="shared" si="19"/>
        <v xml:space="preserve"> FY 28</v>
      </c>
    </row>
    <row r="102" spans="1:7" x14ac:dyDescent="0.25">
      <c r="A102" s="76" t="s">
        <v>83</v>
      </c>
      <c r="B102" s="77"/>
      <c r="C102" s="77"/>
      <c r="D102" s="77"/>
      <c r="E102" s="77"/>
      <c r="F102" s="77"/>
      <c r="G102" s="77"/>
    </row>
    <row r="103" spans="1:7" x14ac:dyDescent="0.25">
      <c r="A103" s="62" t="s">
        <v>41</v>
      </c>
      <c r="B103" s="7">
        <f>'FY23'!R103</f>
        <v>114240</v>
      </c>
      <c r="C103" s="7">
        <f>'FY24'!R103</f>
        <v>116524.8</v>
      </c>
      <c r="D103" s="7">
        <f>'FY25'!R103</f>
        <v>118855.296</v>
      </c>
      <c r="E103" s="7">
        <f>'FY26'!R103</f>
        <v>121232.40192</v>
      </c>
      <c r="F103" s="7">
        <f>'FY27'!R103</f>
        <v>123657.04995840001</v>
      </c>
      <c r="G103" s="7">
        <f>'FY28'!R103</f>
        <v>126130.190957568</v>
      </c>
    </row>
    <row r="104" spans="1:7" x14ac:dyDescent="0.25">
      <c r="A104" s="62" t="s">
        <v>84</v>
      </c>
      <c r="B104" s="7">
        <f>'FY23'!R104</f>
        <v>162302.39999999999</v>
      </c>
      <c r="C104" s="7">
        <f>'FY24'!R104</f>
        <v>165548.448</v>
      </c>
      <c r="D104" s="7">
        <f>'FY25'!R104</f>
        <v>168859.41696</v>
      </c>
      <c r="E104" s="7">
        <f>'FY26'!R104</f>
        <v>172236.60529920002</v>
      </c>
      <c r="F104" s="7">
        <f>'FY27'!R104</f>
        <v>175681.33740518402</v>
      </c>
      <c r="G104" s="7">
        <f>'FY28'!R104</f>
        <v>179194.9641532877</v>
      </c>
    </row>
    <row r="105" spans="1:7" x14ac:dyDescent="0.25">
      <c r="A105" s="62" t="s">
        <v>45</v>
      </c>
      <c r="B105" s="7">
        <f>'FY23'!R105</f>
        <v>0</v>
      </c>
      <c r="C105" s="7">
        <f>'FY24'!R105</f>
        <v>0</v>
      </c>
      <c r="D105" s="7">
        <f>'FY25'!R105</f>
        <v>0</v>
      </c>
      <c r="E105" s="7">
        <f>'FY26'!R105</f>
        <v>0</v>
      </c>
      <c r="F105" s="7">
        <f>'FY27'!R105</f>
        <v>0</v>
      </c>
      <c r="G105" s="7">
        <f>'FY28'!R105</f>
        <v>0</v>
      </c>
    </row>
    <row r="106" spans="1:7" x14ac:dyDescent="0.25">
      <c r="A106" s="62" t="s">
        <v>210</v>
      </c>
      <c r="B106" s="7">
        <f>'FY23'!R106</f>
        <v>57222</v>
      </c>
      <c r="C106" s="7">
        <f>'FY24'!R106</f>
        <v>58366.44</v>
      </c>
      <c r="D106" s="7">
        <f>'FY25'!R106</f>
        <v>59533.768800000005</v>
      </c>
      <c r="E106" s="7">
        <f>'FY26'!R106</f>
        <v>60724.444176000005</v>
      </c>
      <c r="F106" s="7">
        <f>'FY27'!R106</f>
        <v>61938.933059520008</v>
      </c>
      <c r="G106" s="7">
        <f>'FY28'!R106</f>
        <v>63177.711720710409</v>
      </c>
    </row>
    <row r="107" spans="1:7" x14ac:dyDescent="0.25">
      <c r="A107" s="62" t="s">
        <v>87</v>
      </c>
      <c r="B107" s="7">
        <f>'FY23'!R107</f>
        <v>57222</v>
      </c>
      <c r="C107" s="7">
        <f>'FY24'!R107</f>
        <v>58366.44</v>
      </c>
      <c r="D107" s="7">
        <f>'FY25'!R107</f>
        <v>59533.768800000005</v>
      </c>
      <c r="E107" s="7">
        <f>'FY26'!R107</f>
        <v>60724.444176000005</v>
      </c>
      <c r="F107" s="7">
        <f>'FY27'!R107</f>
        <v>61938.933059520008</v>
      </c>
      <c r="G107" s="7">
        <f>'FY28'!R107</f>
        <v>63177.711720710409</v>
      </c>
    </row>
    <row r="108" spans="1:7" x14ac:dyDescent="0.25">
      <c r="A108" s="62" t="s">
        <v>89</v>
      </c>
      <c r="B108" s="7">
        <f>'FY23'!R108</f>
        <v>2052175</v>
      </c>
      <c r="C108" s="7">
        <f>'FY24'!R108</f>
        <v>2094100</v>
      </c>
      <c r="D108" s="7">
        <f>'FY25'!R108</f>
        <v>2137100</v>
      </c>
      <c r="E108" s="7">
        <f>'FY26'!R108</f>
        <v>2180100</v>
      </c>
      <c r="F108" s="7">
        <f>'FY27'!R108</f>
        <v>2225250</v>
      </c>
      <c r="G108" s="7">
        <f>'FY28'!R108</f>
        <v>2270400</v>
      </c>
    </row>
    <row r="109" spans="1:7" x14ac:dyDescent="0.25">
      <c r="A109" s="62" t="s">
        <v>90</v>
      </c>
      <c r="B109" s="7">
        <f>'FY23'!R109</f>
        <v>0</v>
      </c>
      <c r="C109" s="7">
        <f>'FY24'!R109</f>
        <v>0</v>
      </c>
      <c r="D109" s="7">
        <f>'FY25'!R109</f>
        <v>0</v>
      </c>
      <c r="E109" s="7">
        <f>'FY26'!R109</f>
        <v>0</v>
      </c>
      <c r="F109" s="7">
        <f>'FY27'!R109</f>
        <v>0</v>
      </c>
      <c r="G109" s="7">
        <f>'FY28'!R109</f>
        <v>0</v>
      </c>
    </row>
    <row r="110" spans="1:7" x14ac:dyDescent="0.25">
      <c r="A110" s="62" t="s">
        <v>30</v>
      </c>
      <c r="B110" s="7">
        <f>'FY23'!R110</f>
        <v>190900</v>
      </c>
      <c r="C110" s="7">
        <f>'FY24'!R110</f>
        <v>194800</v>
      </c>
      <c r="D110" s="7">
        <f>'FY25'!R110</f>
        <v>198800</v>
      </c>
      <c r="E110" s="7">
        <f>'FY26'!R110</f>
        <v>202800</v>
      </c>
      <c r="F110" s="7">
        <f>'FY27'!R110</f>
        <v>207000</v>
      </c>
      <c r="G110" s="7">
        <f>'FY28'!R110</f>
        <v>211200</v>
      </c>
    </row>
    <row r="111" spans="1:7" x14ac:dyDescent="0.25">
      <c r="A111" s="62" t="s">
        <v>91</v>
      </c>
      <c r="B111" s="7">
        <f>'FY23'!R111</f>
        <v>100003.76819999999</v>
      </c>
      <c r="C111" s="7">
        <f>'FY24'!R111</f>
        <v>102003.843564</v>
      </c>
      <c r="D111" s="7">
        <f>'FY25'!R111</f>
        <v>104043.92043528</v>
      </c>
      <c r="E111" s="7">
        <f>'FY26'!R111</f>
        <v>106124.7988439856</v>
      </c>
      <c r="F111" s="7">
        <f>'FY27'!R111</f>
        <v>108247.29482086531</v>
      </c>
      <c r="G111" s="7">
        <f>'FY28'!R111</f>
        <v>110412.24071728262</v>
      </c>
    </row>
    <row r="112" spans="1:7" x14ac:dyDescent="0.25">
      <c r="A112" s="62" t="s">
        <v>92</v>
      </c>
      <c r="B112" s="7">
        <f>'FY23'!R112</f>
        <v>51680</v>
      </c>
      <c r="C112" s="7">
        <f>'FY24'!R112</f>
        <v>51680</v>
      </c>
      <c r="D112" s="7">
        <f>'FY25'!R112</f>
        <v>51680</v>
      </c>
      <c r="E112" s="7">
        <f>'FY26'!R112</f>
        <v>51680</v>
      </c>
      <c r="F112" s="7">
        <f>'FY27'!R112</f>
        <v>51680</v>
      </c>
      <c r="G112" s="7">
        <f>'FY28'!R112</f>
        <v>52440</v>
      </c>
    </row>
    <row r="113" spans="1:7" x14ac:dyDescent="0.25">
      <c r="A113" s="62" t="s">
        <v>93</v>
      </c>
      <c r="B113" s="7">
        <f>'FY23'!R113</f>
        <v>171360</v>
      </c>
      <c r="C113" s="7">
        <f>'FY24'!R113</f>
        <v>180540</v>
      </c>
      <c r="D113" s="7">
        <f>'FY25'!R113</f>
        <v>183600</v>
      </c>
      <c r="E113" s="7">
        <f>'FY26'!R113</f>
        <v>186660</v>
      </c>
      <c r="F113" s="7">
        <f>'FY27'!R113</f>
        <v>189720</v>
      </c>
      <c r="G113" s="7">
        <f>'FY28'!R113</f>
        <v>192780</v>
      </c>
    </row>
    <row r="114" spans="1:7" x14ac:dyDescent="0.25">
      <c r="A114" s="62" t="s">
        <v>94</v>
      </c>
      <c r="B114" s="7">
        <f>'FY23'!R114</f>
        <v>59520</v>
      </c>
      <c r="C114" s="7">
        <f>'FY24'!R114</f>
        <v>60480</v>
      </c>
      <c r="D114" s="7">
        <f>'FY25'!R114</f>
        <v>61440</v>
      </c>
      <c r="E114" s="7">
        <f>'FY26'!R114</f>
        <v>62400</v>
      </c>
      <c r="F114" s="7">
        <f>'FY27'!R114</f>
        <v>63360</v>
      </c>
      <c r="G114" s="7">
        <f>'FY28'!R114</f>
        <v>64320</v>
      </c>
    </row>
    <row r="115" spans="1:7" x14ac:dyDescent="0.25">
      <c r="A115" s="62" t="s">
        <v>248</v>
      </c>
      <c r="B115" s="7">
        <f>'FY23'!R115</f>
        <v>0</v>
      </c>
      <c r="C115" s="7">
        <f>'FY24'!R115</f>
        <v>0</v>
      </c>
      <c r="D115" s="7">
        <f>'FY25'!R115</f>
        <v>0</v>
      </c>
      <c r="E115" s="7">
        <f>'FY26'!R115</f>
        <v>0</v>
      </c>
      <c r="F115" s="7">
        <f>'FY27'!R115</f>
        <v>0</v>
      </c>
      <c r="G115" s="7">
        <f>'FY28'!R115</f>
        <v>0</v>
      </c>
    </row>
    <row r="116" spans="1:7" ht="15.75" thickBot="1" x14ac:dyDescent="0.3">
      <c r="A116" s="82" t="s">
        <v>95</v>
      </c>
      <c r="B116" s="83">
        <f>SUM(B103:B115)</f>
        <v>3016625.1681999997</v>
      </c>
      <c r="C116" s="83">
        <f>SUM(C103:C115)</f>
        <v>3082409.971564</v>
      </c>
      <c r="D116" s="83">
        <f t="shared" ref="D116:G116" si="20">SUM(D103:D115)</f>
        <v>3143446.1709952801</v>
      </c>
      <c r="E116" s="83">
        <f t="shared" si="20"/>
        <v>3204682.6944151856</v>
      </c>
      <c r="F116" s="83">
        <f t="shared" si="20"/>
        <v>3268473.5483034891</v>
      </c>
      <c r="G116" s="83">
        <f t="shared" si="20"/>
        <v>3333232.8192695589</v>
      </c>
    </row>
    <row r="117" spans="1:7" x14ac:dyDescent="0.25">
      <c r="A117" s="84" t="s">
        <v>96</v>
      </c>
      <c r="B117" s="150" t="str">
        <f>B1</f>
        <v xml:space="preserve"> FY 23</v>
      </c>
      <c r="C117" s="150" t="str">
        <f>C1</f>
        <v xml:space="preserve"> FY 24</v>
      </c>
      <c r="D117" s="150" t="str">
        <f>D1</f>
        <v xml:space="preserve"> FY 25</v>
      </c>
      <c r="E117" s="150" t="str">
        <f t="shared" ref="E117:G117" si="21">E1</f>
        <v xml:space="preserve"> FY 26</v>
      </c>
      <c r="F117" s="150" t="str">
        <f t="shared" si="21"/>
        <v xml:space="preserve"> FY 27</v>
      </c>
      <c r="G117" s="150" t="str">
        <f t="shared" si="21"/>
        <v xml:space="preserve"> FY 28</v>
      </c>
    </row>
    <row r="118" spans="1:7" x14ac:dyDescent="0.25">
      <c r="A118" s="62"/>
      <c r="B118" s="7">
        <f>'FY23'!R118</f>
        <v>0</v>
      </c>
      <c r="C118" s="7">
        <f>'FY24'!R118</f>
        <v>0</v>
      </c>
      <c r="D118" s="7">
        <f>'FY25'!R118</f>
        <v>0</v>
      </c>
      <c r="E118" s="7">
        <f>'FY26'!R118</f>
        <v>0</v>
      </c>
      <c r="F118" s="7">
        <f>'FY27'!R118</f>
        <v>0</v>
      </c>
      <c r="G118" s="7">
        <f>'FY28'!R118</f>
        <v>0</v>
      </c>
    </row>
    <row r="119" spans="1:7" x14ac:dyDescent="0.25">
      <c r="A119" s="62" t="s">
        <v>54</v>
      </c>
      <c r="B119" s="7">
        <f>'FY23'!R119</f>
        <v>61000</v>
      </c>
      <c r="C119" s="7">
        <f>'FY24'!R119</f>
        <v>62220</v>
      </c>
      <c r="D119" s="7">
        <f>'FY25'!R119</f>
        <v>63464.4</v>
      </c>
      <c r="E119" s="7">
        <f>'FY26'!R119</f>
        <v>64733.688000000002</v>
      </c>
      <c r="F119" s="7">
        <f>'FY27'!R119</f>
        <v>66028.36176</v>
      </c>
      <c r="G119" s="7">
        <f>'FY28'!R119</f>
        <v>67348.928995199996</v>
      </c>
    </row>
    <row r="120" spans="1:7" x14ac:dyDescent="0.25">
      <c r="A120" s="62" t="s">
        <v>55</v>
      </c>
      <c r="B120" s="7">
        <f>'FY23'!R120</f>
        <v>0</v>
      </c>
      <c r="C120" s="7">
        <f>'FY24'!R120</f>
        <v>0</v>
      </c>
      <c r="D120" s="7">
        <f>'FY25'!R120</f>
        <v>0</v>
      </c>
      <c r="E120" s="7">
        <f>'FY26'!R120</f>
        <v>0</v>
      </c>
      <c r="F120" s="7">
        <f>'FY27'!R120</f>
        <v>0</v>
      </c>
      <c r="G120" s="7">
        <f>'FY28'!R120</f>
        <v>0</v>
      </c>
    </row>
    <row r="121" spans="1:7" x14ac:dyDescent="0.25">
      <c r="A121" s="62" t="s">
        <v>56</v>
      </c>
      <c r="B121" s="7">
        <f>'FY23'!R121</f>
        <v>35000</v>
      </c>
      <c r="C121" s="7">
        <f>'FY24'!R121</f>
        <v>35700</v>
      </c>
      <c r="D121" s="7">
        <f>'FY25'!R121</f>
        <v>36414</v>
      </c>
      <c r="E121" s="7">
        <f>'FY26'!R121</f>
        <v>37142.28</v>
      </c>
      <c r="F121" s="7">
        <f>'FY27'!R121</f>
        <v>37885.125599999999</v>
      </c>
      <c r="G121" s="7">
        <f>'FY28'!R121</f>
        <v>38642.828112000003</v>
      </c>
    </row>
    <row r="122" spans="1:7" x14ac:dyDescent="0.25">
      <c r="A122" s="62" t="s">
        <v>97</v>
      </c>
      <c r="B122" s="7">
        <f>'FY23'!R122</f>
        <v>0</v>
      </c>
      <c r="C122" s="7">
        <f>'FY24'!R122</f>
        <v>0</v>
      </c>
      <c r="D122" s="7">
        <f>'FY25'!R122</f>
        <v>0</v>
      </c>
      <c r="E122" s="7">
        <f>'FY26'!R122</f>
        <v>0</v>
      </c>
      <c r="F122" s="7">
        <f>'FY27'!R122</f>
        <v>0</v>
      </c>
      <c r="G122" s="7">
        <f>'FY28'!R122</f>
        <v>0</v>
      </c>
    </row>
    <row r="123" spans="1:7" x14ac:dyDescent="0.25">
      <c r="A123" s="62" t="s">
        <v>58</v>
      </c>
      <c r="B123" s="7">
        <f>'FY23'!R123</f>
        <v>0</v>
      </c>
      <c r="C123" s="7">
        <f>'FY24'!R123</f>
        <v>0</v>
      </c>
      <c r="D123" s="7">
        <f>'FY25'!R123</f>
        <v>0</v>
      </c>
      <c r="E123" s="7">
        <f>'FY26'!R123</f>
        <v>0</v>
      </c>
      <c r="F123" s="7">
        <f>'FY27'!R123</f>
        <v>0</v>
      </c>
      <c r="G123" s="7">
        <f>'FY28'!R123</f>
        <v>0</v>
      </c>
    </row>
    <row r="124" spans="1:7" x14ac:dyDescent="0.25">
      <c r="A124" s="62" t="s">
        <v>98</v>
      </c>
      <c r="B124" s="7">
        <f>'FY23'!R124</f>
        <v>24288.137999999999</v>
      </c>
      <c r="C124" s="7">
        <f>'FY24'!R124</f>
        <v>24773.90076</v>
      </c>
      <c r="D124" s="7">
        <f>'FY25'!R124</f>
        <v>25269.378775200003</v>
      </c>
      <c r="E124" s="7">
        <f>'FY26'!R124</f>
        <v>25774.766350704002</v>
      </c>
      <c r="F124" s="7">
        <f>'FY27'!R124</f>
        <v>26290.261677718081</v>
      </c>
      <c r="G124" s="7">
        <f>'FY28'!R124</f>
        <v>26816.066911272443</v>
      </c>
    </row>
    <row r="125" spans="1:7" x14ac:dyDescent="0.25">
      <c r="A125" s="62" t="s">
        <v>99</v>
      </c>
      <c r="B125" s="7">
        <f>'FY23'!R125</f>
        <v>0</v>
      </c>
      <c r="C125" s="7">
        <f>'FY24'!R125</f>
        <v>0</v>
      </c>
      <c r="D125" s="7">
        <f>'FY25'!R125</f>
        <v>0</v>
      </c>
      <c r="E125" s="7">
        <f>'FY26'!R125</f>
        <v>0</v>
      </c>
      <c r="F125" s="7">
        <f>'FY27'!R125</f>
        <v>0</v>
      </c>
      <c r="G125" s="7">
        <f>'FY28'!R125</f>
        <v>0</v>
      </c>
    </row>
    <row r="126" spans="1:7" x14ac:dyDescent="0.25">
      <c r="A126" s="62" t="s">
        <v>100</v>
      </c>
      <c r="B126" s="7">
        <f>'FY23'!R126</f>
        <v>17640</v>
      </c>
      <c r="C126" s="7">
        <f>'FY24'!R126</f>
        <v>20880</v>
      </c>
      <c r="D126" s="7">
        <f>'FY25'!R126</f>
        <v>21240</v>
      </c>
      <c r="E126" s="7">
        <f>'FY26'!R126</f>
        <v>21600</v>
      </c>
      <c r="F126" s="7">
        <f>'FY27'!R126</f>
        <v>21960</v>
      </c>
      <c r="G126" s="7">
        <f>'FY28'!R126</f>
        <v>22320</v>
      </c>
    </row>
    <row r="127" spans="1:7" x14ac:dyDescent="0.25">
      <c r="A127" s="62" t="s">
        <v>101</v>
      </c>
      <c r="B127" s="7">
        <f>'FY23'!R127</f>
        <v>22500</v>
      </c>
      <c r="C127" s="7">
        <f>'FY24'!R127</f>
        <v>22500</v>
      </c>
      <c r="D127" s="7">
        <f>'FY25'!R127</f>
        <v>22500</v>
      </c>
      <c r="E127" s="7">
        <f>'FY26'!R127</f>
        <v>22500</v>
      </c>
      <c r="F127" s="7">
        <f>'FY27'!R127</f>
        <v>22500</v>
      </c>
      <c r="G127" s="7">
        <f>'FY28'!R127</f>
        <v>22500</v>
      </c>
    </row>
    <row r="128" spans="1:7" ht="15.75" thickBot="1" x14ac:dyDescent="0.3">
      <c r="A128" s="82" t="s">
        <v>102</v>
      </c>
      <c r="B128" s="87">
        <f>SUM(B118:B127)</f>
        <v>160428.13800000001</v>
      </c>
      <c r="C128" s="87">
        <f>SUM(C118:C127)</f>
        <v>166073.90075999999</v>
      </c>
      <c r="D128" s="87">
        <f>SUM(D118:D127)</f>
        <v>168887.77877520001</v>
      </c>
      <c r="E128" s="87">
        <f t="shared" ref="E128:G128" si="22">SUM(E118:E127)</f>
        <v>171750.73435070401</v>
      </c>
      <c r="F128" s="87">
        <f t="shared" si="22"/>
        <v>174663.74903771808</v>
      </c>
      <c r="G128" s="87">
        <f t="shared" si="22"/>
        <v>177627.82401847246</v>
      </c>
    </row>
    <row r="129" spans="1:7" ht="15.75" thickBot="1" x14ac:dyDescent="0.3">
      <c r="A129" s="89" t="s">
        <v>103</v>
      </c>
      <c r="B129" s="90">
        <f>B116+B128</f>
        <v>3177053.3061999995</v>
      </c>
      <c r="C129" s="90">
        <f>C116+C128</f>
        <v>3248483.8723240001</v>
      </c>
      <c r="D129" s="90">
        <f>D116+D128</f>
        <v>3312333.9497704804</v>
      </c>
      <c r="E129" s="90">
        <f t="shared" ref="E129" si="23">E116+E128</f>
        <v>3376433.4287658897</v>
      </c>
      <c r="F129" s="90">
        <f>F116+F128</f>
        <v>3443137.297341207</v>
      </c>
      <c r="G129" s="90">
        <f>G116+G128</f>
        <v>3510860.6432880312</v>
      </c>
    </row>
    <row r="130" spans="1:7" x14ac:dyDescent="0.25">
      <c r="A130" s="62" t="s">
        <v>104</v>
      </c>
      <c r="B130" s="7">
        <f>'FY23'!R130</f>
        <v>945173.35859449988</v>
      </c>
      <c r="C130" s="7">
        <f>'FY24'!R130</f>
        <v>966423.95201639016</v>
      </c>
      <c r="D130" s="7">
        <f>'FY25'!R130</f>
        <v>985419.35005671787</v>
      </c>
      <c r="E130" s="7">
        <f>'FY26'!R130</f>
        <v>1004488.9450578522</v>
      </c>
      <c r="F130" s="7">
        <f>'FY27'!R130</f>
        <v>1024333.345959009</v>
      </c>
      <c r="G130" s="7">
        <f>'FY28'!R130</f>
        <v>1044481.0413781893</v>
      </c>
    </row>
    <row r="131" spans="1:7" x14ac:dyDescent="0.25">
      <c r="A131" s="62" t="s">
        <v>105</v>
      </c>
      <c r="B131" s="7">
        <f>'FY23'!R131</f>
        <v>556089.45410999993</v>
      </c>
      <c r="C131" s="7">
        <f>'FY24'!R131</f>
        <v>584727.09701832</v>
      </c>
      <c r="D131" s="7">
        <f>'FY25'!R131</f>
        <v>604500.94583311258</v>
      </c>
      <c r="E131" s="7">
        <f>'FY26'!R131</f>
        <v>624640.18432168965</v>
      </c>
      <c r="F131" s="7">
        <f>'FY27'!R131</f>
        <v>645588.24325147632</v>
      </c>
      <c r="G131" s="7">
        <f>'FY28'!R131</f>
        <v>667063.52222472592</v>
      </c>
    </row>
    <row r="132" spans="1:7" x14ac:dyDescent="0.25">
      <c r="A132" s="62" t="s">
        <v>249</v>
      </c>
      <c r="B132" s="7">
        <f>'FY23'!R132</f>
        <v>55152</v>
      </c>
      <c r="C132" s="7">
        <f>'FY24'!R132</f>
        <v>55152</v>
      </c>
      <c r="D132" s="7">
        <f>'FY25'!R132</f>
        <v>55152</v>
      </c>
      <c r="E132" s="7">
        <f>'FY26'!R132</f>
        <v>55152</v>
      </c>
      <c r="F132" s="7">
        <f>'FY27'!R132</f>
        <v>55152</v>
      </c>
      <c r="G132" s="7">
        <f>'FY28'!R132</f>
        <v>55152</v>
      </c>
    </row>
    <row r="133" spans="1:7" x14ac:dyDescent="0.25">
      <c r="A133" s="62" t="s">
        <v>250</v>
      </c>
      <c r="B133" s="7">
        <f>'FY23'!R133</f>
        <v>11041.25</v>
      </c>
      <c r="C133" s="7">
        <f>'FY24'!R133</f>
        <v>11041.25</v>
      </c>
      <c r="D133" s="7">
        <f>'FY25'!R133</f>
        <v>11041.25</v>
      </c>
      <c r="E133" s="7">
        <f>'FY26'!R133</f>
        <v>11041.25</v>
      </c>
      <c r="F133" s="7">
        <f>'FY27'!R133</f>
        <v>11041.25</v>
      </c>
      <c r="G133" s="7">
        <f>'FY28'!R133</f>
        <v>11041.25</v>
      </c>
    </row>
    <row r="134" spans="1:7" x14ac:dyDescent="0.25">
      <c r="A134" s="62" t="s">
        <v>107</v>
      </c>
      <c r="B134" s="7">
        <f>'FY23'!R134</f>
        <v>2500</v>
      </c>
      <c r="C134" s="7">
        <f>'FY24'!R134</f>
        <v>2500</v>
      </c>
      <c r="D134" s="7">
        <f>'FY25'!R134</f>
        <v>2500</v>
      </c>
      <c r="E134" s="7">
        <f>'FY26'!R134</f>
        <v>2500</v>
      </c>
      <c r="F134" s="7">
        <f>'FY27'!R134</f>
        <v>2500</v>
      </c>
      <c r="G134" s="7">
        <f>'FY28'!R134</f>
        <v>2500</v>
      </c>
    </row>
    <row r="135" spans="1:7" x14ac:dyDescent="0.25">
      <c r="A135" s="62" t="s">
        <v>251</v>
      </c>
      <c r="B135" s="7">
        <f>'FY23'!R135</f>
        <v>30790</v>
      </c>
      <c r="C135" s="7">
        <f>'FY24'!R135</f>
        <v>30790</v>
      </c>
      <c r="D135" s="7">
        <f>'FY25'!R135</f>
        <v>30790</v>
      </c>
      <c r="E135" s="7">
        <f>'FY26'!R135</f>
        <v>30790</v>
      </c>
      <c r="F135" s="7">
        <f>'FY27'!R135</f>
        <v>30790</v>
      </c>
      <c r="G135" s="7">
        <f>'FY28'!R135</f>
        <v>30790</v>
      </c>
    </row>
    <row r="136" spans="1:7" x14ac:dyDescent="0.25">
      <c r="A136" s="62" t="s">
        <v>108</v>
      </c>
      <c r="B136" s="7">
        <f>'FY23'!R136</f>
        <v>7500</v>
      </c>
      <c r="C136" s="7">
        <f>'FY24'!R136</f>
        <v>12000</v>
      </c>
      <c r="D136" s="7">
        <f>'FY25'!R136</f>
        <v>12000</v>
      </c>
      <c r="E136" s="7">
        <f>'FY26'!R136</f>
        <v>12000</v>
      </c>
      <c r="F136" s="7">
        <f>'FY27'!R136</f>
        <v>12000</v>
      </c>
      <c r="G136" s="7">
        <f>'FY28'!R136</f>
        <v>12000</v>
      </c>
    </row>
    <row r="137" spans="1:7" x14ac:dyDescent="0.25">
      <c r="A137" s="62" t="s">
        <v>109</v>
      </c>
      <c r="B137" s="7">
        <f>'FY23'!R137</f>
        <v>61250</v>
      </c>
      <c r="C137" s="7">
        <f>'FY24'!R137</f>
        <v>59750</v>
      </c>
      <c r="D137" s="7">
        <f>'FY25'!R137</f>
        <v>59750</v>
      </c>
      <c r="E137" s="7">
        <f>'FY26'!R137</f>
        <v>59750</v>
      </c>
      <c r="F137" s="7">
        <f>'FY27'!R137</f>
        <v>59750</v>
      </c>
      <c r="G137" s="7">
        <f>'FY28'!R137</f>
        <v>59750</v>
      </c>
    </row>
    <row r="138" spans="1:7" ht="15.75" thickBot="1" x14ac:dyDescent="0.3">
      <c r="A138" s="91" t="s">
        <v>110</v>
      </c>
      <c r="B138" s="87">
        <f>SUM(B130:B137)</f>
        <v>1669496.0627044998</v>
      </c>
      <c r="C138" s="87">
        <f>SUM(C130:C137)</f>
        <v>1722384.29903471</v>
      </c>
      <c r="D138" s="87">
        <f>SUM(D130:D137)</f>
        <v>1761153.5458898304</v>
      </c>
      <c r="E138" s="87">
        <f t="shared" ref="E138:G138" si="24">SUM(E130:E137)</f>
        <v>1800362.3793795418</v>
      </c>
      <c r="F138" s="87">
        <f t="shared" si="24"/>
        <v>1841154.8392104853</v>
      </c>
      <c r="G138" s="87">
        <f t="shared" si="24"/>
        <v>1882777.8136029153</v>
      </c>
    </row>
    <row r="139" spans="1:7" ht="15.75" thickBot="1" x14ac:dyDescent="0.3">
      <c r="A139" s="95" t="s">
        <v>111</v>
      </c>
      <c r="B139" s="90">
        <f>B129+B138</f>
        <v>4846549.3689044993</v>
      </c>
      <c r="C139" s="90">
        <f>C129+C138</f>
        <v>4970868.1713587102</v>
      </c>
      <c r="D139" s="90">
        <f>D129+D138</f>
        <v>5073487.4956603106</v>
      </c>
      <c r="E139" s="90">
        <f t="shared" ref="E139:G139" si="25">E129+E138</f>
        <v>5176795.8081454318</v>
      </c>
      <c r="F139" s="90">
        <f t="shared" si="25"/>
        <v>5284292.1365516922</v>
      </c>
      <c r="G139" s="90">
        <f t="shared" si="25"/>
        <v>5393638.4568909463</v>
      </c>
    </row>
    <row r="140" spans="1:7" x14ac:dyDescent="0.25">
      <c r="A140" s="97" t="s">
        <v>112</v>
      </c>
      <c r="B140" s="149" t="str">
        <f>B1</f>
        <v xml:space="preserve"> FY 23</v>
      </c>
      <c r="C140" s="149" t="str">
        <f>C1</f>
        <v xml:space="preserve"> FY 24</v>
      </c>
      <c r="D140" s="149" t="str">
        <f>D1</f>
        <v xml:space="preserve"> FY 25</v>
      </c>
      <c r="E140" s="149" t="str">
        <f t="shared" ref="E140:G140" si="26">E1</f>
        <v xml:space="preserve"> FY 26</v>
      </c>
      <c r="F140" s="149" t="str">
        <f t="shared" si="26"/>
        <v xml:space="preserve"> FY 27</v>
      </c>
      <c r="G140" s="149" t="str">
        <f t="shared" si="26"/>
        <v xml:space="preserve"> FY 28</v>
      </c>
    </row>
    <row r="141" spans="1:7" x14ac:dyDescent="0.25">
      <c r="A141" s="98" t="s">
        <v>113</v>
      </c>
      <c r="B141" s="7">
        <f>'FY23'!R141</f>
        <v>142240</v>
      </c>
      <c r="C141" s="7">
        <f>'FY24'!R141</f>
        <v>152400</v>
      </c>
      <c r="D141" s="7">
        <f>'FY25'!R141</f>
        <v>152400</v>
      </c>
      <c r="E141" s="7">
        <f>'FY26'!R141</f>
        <v>152400</v>
      </c>
      <c r="F141" s="7">
        <f>'FY27'!R141</f>
        <v>152400</v>
      </c>
      <c r="G141" s="7">
        <f>'FY28'!R141</f>
        <v>152400</v>
      </c>
    </row>
    <row r="142" spans="1:7" x14ac:dyDescent="0.25">
      <c r="A142" s="99" t="s">
        <v>252</v>
      </c>
      <c r="B142" s="7">
        <f>'FY23'!R142</f>
        <v>0</v>
      </c>
      <c r="C142" s="7">
        <f>'FY24'!R142</f>
        <v>0</v>
      </c>
      <c r="D142" s="7">
        <f>'FY25'!R142</f>
        <v>0</v>
      </c>
      <c r="E142" s="7">
        <f>'FY26'!R142</f>
        <v>0</v>
      </c>
      <c r="F142" s="7">
        <f>'FY27'!R142</f>
        <v>0</v>
      </c>
      <c r="G142" s="7">
        <f>'FY28'!R142</f>
        <v>0</v>
      </c>
    </row>
    <row r="143" spans="1:7" x14ac:dyDescent="0.25">
      <c r="A143" s="62" t="s">
        <v>115</v>
      </c>
      <c r="B143" s="7">
        <f>'FY23'!R143</f>
        <v>0</v>
      </c>
      <c r="C143" s="7">
        <f>'FY24'!R143</f>
        <v>0</v>
      </c>
      <c r="D143" s="7">
        <f>'FY25'!R143</f>
        <v>0</v>
      </c>
      <c r="E143" s="7">
        <f>'FY26'!R143</f>
        <v>0</v>
      </c>
      <c r="F143" s="7">
        <f>'FY27'!R143</f>
        <v>0</v>
      </c>
      <c r="G143" s="7">
        <f>'FY28'!R143</f>
        <v>0</v>
      </c>
    </row>
    <row r="144" spans="1:7" x14ac:dyDescent="0.25">
      <c r="A144" s="62" t="s">
        <v>116</v>
      </c>
      <c r="B144" s="7">
        <f>'FY23'!R144</f>
        <v>0</v>
      </c>
      <c r="C144" s="7">
        <f>'FY24'!R144</f>
        <v>0</v>
      </c>
      <c r="D144" s="7">
        <f>'FY25'!R144</f>
        <v>0</v>
      </c>
      <c r="E144" s="7">
        <f>'FY26'!R144</f>
        <v>0</v>
      </c>
      <c r="F144" s="7">
        <f>'FY27'!R144</f>
        <v>0</v>
      </c>
      <c r="G144" s="7">
        <f>'FY28'!R144</f>
        <v>0</v>
      </c>
    </row>
    <row r="145" spans="1:7" x14ac:dyDescent="0.25">
      <c r="A145" s="62" t="s">
        <v>117</v>
      </c>
      <c r="B145" s="7">
        <f>'FY23'!R145</f>
        <v>14224</v>
      </c>
      <c r="C145" s="7">
        <f>'FY24'!R145</f>
        <v>14224</v>
      </c>
      <c r="D145" s="7">
        <f>'FY25'!R145</f>
        <v>14224</v>
      </c>
      <c r="E145" s="7">
        <f>'FY26'!R145</f>
        <v>14224</v>
      </c>
      <c r="F145" s="7">
        <f>'FY27'!R145</f>
        <v>14224</v>
      </c>
      <c r="G145" s="7">
        <f>'FY28'!R145</f>
        <v>14224</v>
      </c>
    </row>
    <row r="146" spans="1:7" x14ac:dyDescent="0.25">
      <c r="A146" s="62" t="s">
        <v>118</v>
      </c>
      <c r="B146" s="7">
        <f>'FY23'!R146</f>
        <v>29464</v>
      </c>
      <c r="C146" s="7">
        <f>'FY24'!R146</f>
        <v>29464</v>
      </c>
      <c r="D146" s="7">
        <f>'FY25'!R146</f>
        <v>29464</v>
      </c>
      <c r="E146" s="7">
        <f>'FY26'!R146</f>
        <v>29464</v>
      </c>
      <c r="F146" s="7">
        <f>'FY27'!R146</f>
        <v>29464</v>
      </c>
      <c r="G146" s="7">
        <f>'FY28'!R146</f>
        <v>29464</v>
      </c>
    </row>
    <row r="147" spans="1:7" x14ac:dyDescent="0.25">
      <c r="A147" s="62" t="s">
        <v>119</v>
      </c>
      <c r="B147" s="7">
        <f>'FY23'!R147</f>
        <v>4318</v>
      </c>
      <c r="C147" s="7">
        <f>'FY24'!R147</f>
        <v>4318</v>
      </c>
      <c r="D147" s="7">
        <f>'FY25'!R147</f>
        <v>4318</v>
      </c>
      <c r="E147" s="7">
        <f>'FY26'!R147</f>
        <v>4318</v>
      </c>
      <c r="F147" s="7">
        <f>'FY27'!R147</f>
        <v>4318</v>
      </c>
      <c r="G147" s="7">
        <f>'FY28'!R147</f>
        <v>4318</v>
      </c>
    </row>
    <row r="148" spans="1:7" x14ac:dyDescent="0.25">
      <c r="A148" s="62" t="s">
        <v>120</v>
      </c>
      <c r="B148" s="7">
        <f>'FY23'!R148</f>
        <v>3302</v>
      </c>
      <c r="C148" s="7">
        <f>'FY24'!R148</f>
        <v>3302</v>
      </c>
      <c r="D148" s="7">
        <f>'FY25'!R148</f>
        <v>3302</v>
      </c>
      <c r="E148" s="7">
        <f>'FY26'!R148</f>
        <v>3302</v>
      </c>
      <c r="F148" s="7">
        <f>'FY27'!R148</f>
        <v>3302</v>
      </c>
      <c r="G148" s="7">
        <f>'FY28'!R148</f>
        <v>3302</v>
      </c>
    </row>
    <row r="149" spans="1:7" x14ac:dyDescent="0.25">
      <c r="A149" s="62" t="s">
        <v>121</v>
      </c>
      <c r="B149" s="7">
        <f>'FY23'!R149</f>
        <v>9546</v>
      </c>
      <c r="C149" s="7">
        <f>'FY24'!R149</f>
        <v>9546</v>
      </c>
      <c r="D149" s="7">
        <f>'FY25'!R149</f>
        <v>9546</v>
      </c>
      <c r="E149" s="7">
        <f>'FY26'!R149</f>
        <v>9546</v>
      </c>
      <c r="F149" s="7">
        <f>'FY27'!R149</f>
        <v>9546</v>
      </c>
      <c r="G149" s="7">
        <f>'FY28'!R149</f>
        <v>9546</v>
      </c>
    </row>
    <row r="150" spans="1:7" ht="15.75" thickBot="1" x14ac:dyDescent="0.3">
      <c r="A150" s="62" t="s">
        <v>122</v>
      </c>
      <c r="B150" s="7">
        <f>'FY23'!R150</f>
        <v>0</v>
      </c>
      <c r="C150" s="7">
        <f>'FY24'!R150</f>
        <v>0</v>
      </c>
      <c r="D150" s="7">
        <f>'FY25'!R150</f>
        <v>0</v>
      </c>
      <c r="E150" s="7">
        <f>'FY26'!R150</f>
        <v>0</v>
      </c>
      <c r="F150" s="7">
        <f>'FY27'!R150</f>
        <v>0</v>
      </c>
      <c r="G150" s="7">
        <f>'FY28'!R150</f>
        <v>0</v>
      </c>
    </row>
    <row r="151" spans="1:7" ht="15.75" thickBot="1" x14ac:dyDescent="0.3">
      <c r="A151" s="95" t="s">
        <v>123</v>
      </c>
      <c r="B151" s="92">
        <f t="shared" ref="B151:G151" si="27">SUM(B141:B150)</f>
        <v>203094</v>
      </c>
      <c r="C151" s="92">
        <f t="shared" si="27"/>
        <v>213254</v>
      </c>
      <c r="D151" s="92">
        <f t="shared" si="27"/>
        <v>213254</v>
      </c>
      <c r="E151" s="92">
        <f t="shared" si="27"/>
        <v>213254</v>
      </c>
      <c r="F151" s="92">
        <f t="shared" si="27"/>
        <v>213254</v>
      </c>
      <c r="G151" s="92">
        <f t="shared" si="27"/>
        <v>213254</v>
      </c>
    </row>
    <row r="152" spans="1:7" x14ac:dyDescent="0.25">
      <c r="A152" s="101" t="s">
        <v>124</v>
      </c>
      <c r="B152" s="149" t="str">
        <f t="shared" ref="B152:G152" si="28">B1</f>
        <v xml:space="preserve"> FY 23</v>
      </c>
      <c r="C152" s="149" t="str">
        <f t="shared" si="28"/>
        <v xml:space="preserve"> FY 24</v>
      </c>
      <c r="D152" s="149" t="str">
        <f t="shared" si="28"/>
        <v xml:space="preserve"> FY 25</v>
      </c>
      <c r="E152" s="149" t="str">
        <f t="shared" si="28"/>
        <v xml:space="preserve"> FY 26</v>
      </c>
      <c r="F152" s="149" t="str">
        <f t="shared" si="28"/>
        <v xml:space="preserve"> FY 27</v>
      </c>
      <c r="G152" s="149" t="str">
        <f t="shared" si="28"/>
        <v xml:space="preserve"> FY 28</v>
      </c>
    </row>
    <row r="153" spans="1:7" x14ac:dyDescent="0.25">
      <c r="A153" s="62" t="s">
        <v>125</v>
      </c>
      <c r="B153" s="7">
        <f>'FY23'!R153</f>
        <v>12000</v>
      </c>
      <c r="C153" s="7">
        <f>'FY24'!R153</f>
        <v>12360</v>
      </c>
      <c r="D153" s="7">
        <f>'FY25'!R153</f>
        <v>12730.800000000001</v>
      </c>
      <c r="E153" s="7">
        <f>'FY26'!R153</f>
        <v>13112.724000000002</v>
      </c>
      <c r="F153" s="7">
        <f>'FY27'!R153</f>
        <v>13506.105720000003</v>
      </c>
      <c r="G153" s="7">
        <f>'FY28'!R153</f>
        <v>13506.105720000003</v>
      </c>
    </row>
    <row r="154" spans="1:7" x14ac:dyDescent="0.25">
      <c r="A154" s="62" t="s">
        <v>126</v>
      </c>
      <c r="B154" s="7">
        <f>'FY23'!R154</f>
        <v>189992</v>
      </c>
      <c r="C154" s="7">
        <f>'FY24'!R154</f>
        <v>162560</v>
      </c>
      <c r="D154" s="7">
        <f>'FY25'!R154</f>
        <v>167640</v>
      </c>
      <c r="E154" s="7">
        <f>'FY26'!R154</f>
        <v>167640</v>
      </c>
      <c r="F154" s="7">
        <f>'FY27'!R154</f>
        <v>172720</v>
      </c>
      <c r="G154" s="7">
        <f>'FY28'!R154</f>
        <v>172720</v>
      </c>
    </row>
    <row r="155" spans="1:7" x14ac:dyDescent="0.25">
      <c r="A155" s="62" t="s">
        <v>253</v>
      </c>
      <c r="B155" s="7">
        <f>'FY23'!R155</f>
        <v>0</v>
      </c>
      <c r="C155" s="7">
        <f>'FY24'!R155</f>
        <v>0</v>
      </c>
      <c r="D155" s="7">
        <f>'FY25'!R155</f>
        <v>0</v>
      </c>
      <c r="E155" s="7">
        <f>'FY26'!R155</f>
        <v>0</v>
      </c>
      <c r="F155" s="7">
        <f>'FY27'!R155</f>
        <v>0</v>
      </c>
      <c r="G155" s="7">
        <f>'FY28'!R155</f>
        <v>0</v>
      </c>
    </row>
    <row r="156" spans="1:7" x14ac:dyDescent="0.25">
      <c r="A156" s="62" t="s">
        <v>254</v>
      </c>
      <c r="B156" s="7">
        <f>'FY23'!R156</f>
        <v>0</v>
      </c>
      <c r="C156" s="7">
        <f>'FY24'!R156</f>
        <v>0</v>
      </c>
      <c r="D156" s="7">
        <f>'FY25'!R156</f>
        <v>0</v>
      </c>
      <c r="E156" s="7">
        <f>'FY26'!R156</f>
        <v>0</v>
      </c>
      <c r="F156" s="7">
        <f>'FY27'!R156</f>
        <v>0</v>
      </c>
      <c r="G156" s="7">
        <f>'FY28'!R156</f>
        <v>0</v>
      </c>
    </row>
    <row r="157" spans="1:7" x14ac:dyDescent="0.25">
      <c r="A157" s="62" t="s">
        <v>128</v>
      </c>
      <c r="B157" s="7">
        <f>'FY23'!R157</f>
        <v>457200</v>
      </c>
      <c r="C157" s="7">
        <f>'FY24'!R157</f>
        <v>457200</v>
      </c>
      <c r="D157" s="7">
        <f>'FY25'!R157</f>
        <v>457200</v>
      </c>
      <c r="E157" s="7">
        <f>'FY26'!R157</f>
        <v>457200</v>
      </c>
      <c r="F157" s="7">
        <f>'FY27'!R157</f>
        <v>457200</v>
      </c>
      <c r="G157" s="7">
        <f>'FY28'!R157</f>
        <v>457200</v>
      </c>
    </row>
    <row r="158" spans="1:7" x14ac:dyDescent="0.25">
      <c r="A158" s="62" t="s">
        <v>129</v>
      </c>
      <c r="B158" s="7">
        <f>'FY23'!R158</f>
        <v>18399.2</v>
      </c>
      <c r="C158" s="7">
        <f>'FY24'!R158</f>
        <v>18399.2</v>
      </c>
      <c r="D158" s="7">
        <f>'FY25'!R158</f>
        <v>18399.2</v>
      </c>
      <c r="E158" s="7">
        <f>'FY26'!R158</f>
        <v>18399.2</v>
      </c>
      <c r="F158" s="7">
        <f>'FY27'!R158</f>
        <v>18399.2</v>
      </c>
      <c r="G158" s="7">
        <f>'FY28'!R158</f>
        <v>18399.2</v>
      </c>
    </row>
    <row r="159" spans="1:7" s="212" customFormat="1" x14ac:dyDescent="0.25">
      <c r="A159" s="62" t="s">
        <v>130</v>
      </c>
      <c r="B159" s="7">
        <f>'FY23'!R159</f>
        <v>11500</v>
      </c>
      <c r="C159" s="7">
        <f>'FY24'!R159</f>
        <v>11845</v>
      </c>
      <c r="D159" s="7">
        <f>'FY25'!R159</f>
        <v>12200.35</v>
      </c>
      <c r="E159" s="7">
        <f>'FY26'!R159</f>
        <v>12566.360500000001</v>
      </c>
      <c r="F159" s="7">
        <f>'FY27'!R159</f>
        <v>12943.351315000002</v>
      </c>
      <c r="G159" s="7">
        <f>'FY28'!R159</f>
        <v>13331.651854450001</v>
      </c>
    </row>
    <row r="160" spans="1:7" x14ac:dyDescent="0.25">
      <c r="A160" s="62" t="s">
        <v>131</v>
      </c>
      <c r="B160" s="7">
        <f>'FY23'!R160</f>
        <v>5250</v>
      </c>
      <c r="C160" s="7">
        <f>'FY24'!R160</f>
        <v>6000</v>
      </c>
      <c r="D160" s="7">
        <f>'FY25'!R160</f>
        <v>6000</v>
      </c>
      <c r="E160" s="7">
        <f>'FY26'!R160</f>
        <v>6000</v>
      </c>
      <c r="F160" s="7">
        <f>'FY27'!R160</f>
        <v>6000</v>
      </c>
      <c r="G160" s="7">
        <f>'FY28'!R160</f>
        <v>6000</v>
      </c>
    </row>
    <row r="161" spans="1:7" x14ac:dyDescent="0.25">
      <c r="A161" s="62" t="s">
        <v>132</v>
      </c>
      <c r="B161" s="7">
        <f>'FY23'!R161</f>
        <v>45720</v>
      </c>
      <c r="C161" s="7">
        <f>'FY24'!R161</f>
        <v>45720</v>
      </c>
      <c r="D161" s="7">
        <f>'FY25'!R161</f>
        <v>45720</v>
      </c>
      <c r="E161" s="7">
        <f>'FY26'!R161</f>
        <v>45720</v>
      </c>
      <c r="F161" s="7">
        <f>'FY27'!R161</f>
        <v>45720</v>
      </c>
      <c r="G161" s="7">
        <f>'FY28'!R161</f>
        <v>45720</v>
      </c>
    </row>
    <row r="162" spans="1:7" x14ac:dyDescent="0.25">
      <c r="A162" s="62" t="s">
        <v>133</v>
      </c>
      <c r="B162" s="7">
        <f>'FY23'!R162</f>
        <v>6000</v>
      </c>
      <c r="C162" s="7">
        <f>'FY24'!R162</f>
        <v>7500</v>
      </c>
      <c r="D162" s="7">
        <f>'FY25'!R162</f>
        <v>7500</v>
      </c>
      <c r="E162" s="7">
        <f>'FY26'!R162</f>
        <v>7500</v>
      </c>
      <c r="F162" s="7">
        <f>'FY27'!R162</f>
        <v>7500</v>
      </c>
      <c r="G162" s="7">
        <f>'FY28'!R162</f>
        <v>7500</v>
      </c>
    </row>
    <row r="163" spans="1:7" x14ac:dyDescent="0.25">
      <c r="A163" s="62" t="s">
        <v>134</v>
      </c>
      <c r="B163" s="7">
        <f>'FY23'!R163</f>
        <v>94202.587500000009</v>
      </c>
      <c r="C163" s="7">
        <f>'FY24'!R163</f>
        <v>93825.174299999999</v>
      </c>
      <c r="D163" s="7">
        <f>'FY25'!R163</f>
        <v>95044.9015659</v>
      </c>
      <c r="E163" s="7">
        <f>'FY26'!R163</f>
        <v>96280.485286256677</v>
      </c>
      <c r="F163" s="7">
        <f>'FY27'!R163</f>
        <v>97532.131594978011</v>
      </c>
      <c r="G163" s="7">
        <f>'FY28'!R163</f>
        <v>98800.049305712717</v>
      </c>
    </row>
    <row r="164" spans="1:7" x14ac:dyDescent="0.25">
      <c r="A164" s="62" t="s">
        <v>135</v>
      </c>
      <c r="B164" s="7">
        <f>'FY23'!R164</f>
        <v>37048.44</v>
      </c>
      <c r="C164" s="7">
        <f>'FY24'!R164</f>
        <v>37530.06972</v>
      </c>
      <c r="D164" s="7">
        <f>'FY25'!R164</f>
        <v>38017.96062636</v>
      </c>
      <c r="E164" s="7">
        <f>'FY26'!R164</f>
        <v>38512.194114502672</v>
      </c>
      <c r="F164" s="7">
        <f>'FY27'!R164</f>
        <v>39012.8526379912</v>
      </c>
      <c r="G164" s="7">
        <f>'FY28'!R164</f>
        <v>39520.019722285084</v>
      </c>
    </row>
    <row r="165" spans="1:7" x14ac:dyDescent="0.25">
      <c r="A165" s="62" t="s">
        <v>136</v>
      </c>
      <c r="B165" s="7">
        <f>'FY23'!R165</f>
        <v>37048.44</v>
      </c>
      <c r="C165" s="7">
        <f>'FY24'!R165</f>
        <v>37530.06972</v>
      </c>
      <c r="D165" s="7">
        <f>'FY25'!R165</f>
        <v>38017.96062636</v>
      </c>
      <c r="E165" s="7">
        <f>'FY26'!R165</f>
        <v>38512.194114502672</v>
      </c>
      <c r="F165" s="7">
        <f>'FY27'!R165</f>
        <v>39012.8526379912</v>
      </c>
      <c r="G165" s="7">
        <f>'FY28'!R165</f>
        <v>39520.019722285084</v>
      </c>
    </row>
    <row r="166" spans="1:7" ht="15.75" thickBot="1" x14ac:dyDescent="0.3">
      <c r="A166" s="62" t="s">
        <v>137</v>
      </c>
      <c r="B166" s="7">
        <f>'FY23'!R166</f>
        <v>0</v>
      </c>
      <c r="C166" s="7">
        <f>'FY24'!R166</f>
        <v>0</v>
      </c>
      <c r="D166" s="7">
        <f>'FY25'!R166</f>
        <v>0</v>
      </c>
      <c r="E166" s="7">
        <f>'FY26'!R166</f>
        <v>0</v>
      </c>
      <c r="F166" s="7">
        <f>'FY27'!R166</f>
        <v>0</v>
      </c>
      <c r="G166" s="7">
        <f>'FY28'!R166</f>
        <v>0</v>
      </c>
    </row>
    <row r="167" spans="1:7" ht="15.75" thickBot="1" x14ac:dyDescent="0.3">
      <c r="A167" s="95" t="s">
        <v>138</v>
      </c>
      <c r="B167" s="92">
        <f>SUM(B153:B166)</f>
        <v>914360.66749999998</v>
      </c>
      <c r="C167" s="92">
        <f>SUM(C153:C166)</f>
        <v>890469.51373999997</v>
      </c>
      <c r="D167" s="92">
        <f>SUM(D153:D166)</f>
        <v>898471.17281861999</v>
      </c>
      <c r="E167" s="92">
        <f t="shared" ref="E167:G167" si="29">SUM(E153:E166)</f>
        <v>901443.15801526175</v>
      </c>
      <c r="F167" s="92">
        <f t="shared" si="29"/>
        <v>909546.49390596035</v>
      </c>
      <c r="G167" s="92">
        <f t="shared" si="29"/>
        <v>912217.04632473283</v>
      </c>
    </row>
    <row r="168" spans="1:7" x14ac:dyDescent="0.25">
      <c r="A168" s="101" t="s">
        <v>139</v>
      </c>
      <c r="B168" s="149" t="str">
        <f>B152</f>
        <v xml:space="preserve"> FY 23</v>
      </c>
      <c r="C168" s="149" t="str">
        <f>C152</f>
        <v xml:space="preserve"> FY 24</v>
      </c>
      <c r="D168" s="149" t="str">
        <f>D152</f>
        <v xml:space="preserve"> FY 25</v>
      </c>
      <c r="E168" s="149" t="str">
        <f t="shared" ref="E168:G168" si="30">E152</f>
        <v xml:space="preserve"> FY 26</v>
      </c>
      <c r="F168" s="149" t="str">
        <f t="shared" si="30"/>
        <v xml:space="preserve"> FY 27</v>
      </c>
      <c r="G168" s="149" t="str">
        <f t="shared" si="30"/>
        <v xml:space="preserve"> FY 28</v>
      </c>
    </row>
    <row r="169" spans="1:7" x14ac:dyDescent="0.25">
      <c r="A169" s="62" t="s">
        <v>140</v>
      </c>
      <c r="B169" s="7">
        <f>'FY23'!R169</f>
        <v>3750</v>
      </c>
      <c r="C169" s="7">
        <f>'FY24'!R169</f>
        <v>3862.5</v>
      </c>
      <c r="D169" s="7">
        <f>'FY25'!R169</f>
        <v>3978.375</v>
      </c>
      <c r="E169" s="7">
        <f>'FY26'!R169</f>
        <v>4097.7262499999997</v>
      </c>
      <c r="F169" s="7">
        <f>'FY27'!R169</f>
        <v>4220.6580374999994</v>
      </c>
      <c r="G169" s="7">
        <f>'FY28'!R169</f>
        <v>4347.2777786249999</v>
      </c>
    </row>
    <row r="170" spans="1:7" x14ac:dyDescent="0.25">
      <c r="A170" s="62" t="s">
        <v>141</v>
      </c>
      <c r="B170" s="7">
        <f>'FY23'!R170</f>
        <v>14596</v>
      </c>
      <c r="C170" s="7">
        <f>'FY24'!R170</f>
        <v>15033.880000000001</v>
      </c>
      <c r="D170" s="7">
        <f>'FY25'!R170</f>
        <v>15484.896400000001</v>
      </c>
      <c r="E170" s="7">
        <f>'FY26'!R170</f>
        <v>15949.443292000002</v>
      </c>
      <c r="F170" s="7">
        <f>'FY27'!R170</f>
        <v>16427.926590760002</v>
      </c>
      <c r="G170" s="7">
        <f>'FY28'!R170</f>
        <v>16920.764388482803</v>
      </c>
    </row>
    <row r="171" spans="1:7" x14ac:dyDescent="0.25">
      <c r="A171" s="62" t="s">
        <v>142</v>
      </c>
      <c r="B171" s="7">
        <f>'FY23'!R171</f>
        <v>0</v>
      </c>
      <c r="C171" s="7">
        <f>'FY24'!R171</f>
        <v>0</v>
      </c>
      <c r="D171" s="7">
        <f>'FY25'!R171</f>
        <v>0</v>
      </c>
      <c r="E171" s="7">
        <f>'FY26'!R171</f>
        <v>0</v>
      </c>
      <c r="F171" s="7">
        <f>'FY27'!R171</f>
        <v>0</v>
      </c>
      <c r="G171" s="7">
        <f>'FY28'!R171</f>
        <v>0</v>
      </c>
    </row>
    <row r="172" spans="1:7" x14ac:dyDescent="0.25">
      <c r="A172" s="62" t="s">
        <v>143</v>
      </c>
      <c r="B172" s="7">
        <f>'FY23'!R172</f>
        <v>1000</v>
      </c>
      <c r="C172" s="7">
        <f>'FY24'!R172</f>
        <v>1000</v>
      </c>
      <c r="D172" s="7">
        <f>'FY25'!R172</f>
        <v>1000</v>
      </c>
      <c r="E172" s="7">
        <f>'FY26'!R172</f>
        <v>1000</v>
      </c>
      <c r="F172" s="7">
        <f>'FY27'!R172</f>
        <v>1000</v>
      </c>
      <c r="G172" s="7">
        <f>'FY28'!R172</f>
        <v>1000</v>
      </c>
    </row>
    <row r="173" spans="1:7" x14ac:dyDescent="0.25">
      <c r="A173" s="62" t="s">
        <v>144</v>
      </c>
      <c r="B173" s="7">
        <f>'FY23'!R173</f>
        <v>5000</v>
      </c>
      <c r="C173" s="7">
        <f>'FY24'!R173</f>
        <v>5150</v>
      </c>
      <c r="D173" s="7">
        <f>'FY25'!R173</f>
        <v>5304.5</v>
      </c>
      <c r="E173" s="7">
        <f>'FY26'!R173</f>
        <v>5463.6350000000002</v>
      </c>
      <c r="F173" s="7">
        <f>'FY27'!R173</f>
        <v>5627.5440500000004</v>
      </c>
      <c r="G173" s="7">
        <f>'FY28'!R173</f>
        <v>5796.3703715000001</v>
      </c>
    </row>
    <row r="174" spans="1:7" x14ac:dyDescent="0.25">
      <c r="A174" s="62" t="s">
        <v>145</v>
      </c>
      <c r="B174" s="7">
        <f>'FY23'!R174</f>
        <v>32000</v>
      </c>
      <c r="C174" s="7">
        <f>'FY24'!R174</f>
        <v>33280</v>
      </c>
      <c r="D174" s="7">
        <f>'FY25'!R174</f>
        <v>34611.200000000004</v>
      </c>
      <c r="E174" s="7">
        <f>'FY26'!R174</f>
        <v>35995.648000000008</v>
      </c>
      <c r="F174" s="7">
        <f>'FY27'!R174</f>
        <v>37435.473920000011</v>
      </c>
      <c r="G174" s="7">
        <f>'FY28'!R174</f>
        <v>38932.892876800011</v>
      </c>
    </row>
    <row r="175" spans="1:7" ht="15.75" thickBot="1" x14ac:dyDescent="0.3">
      <c r="A175" s="62" t="s">
        <v>146</v>
      </c>
      <c r="B175" s="7">
        <f>'FY23'!R175</f>
        <v>2500</v>
      </c>
      <c r="C175" s="7">
        <f>'FY24'!R175</f>
        <v>4532</v>
      </c>
      <c r="D175" s="7">
        <f>'FY25'!R175</f>
        <v>4532</v>
      </c>
      <c r="E175" s="7">
        <f>'FY26'!R175</f>
        <v>4532</v>
      </c>
      <c r="F175" s="7">
        <f>'FY27'!R175</f>
        <v>4532</v>
      </c>
      <c r="G175" s="7">
        <f>'FY28'!R175</f>
        <v>4532</v>
      </c>
    </row>
    <row r="176" spans="1:7" ht="15.75" thickBot="1" x14ac:dyDescent="0.3">
      <c r="A176" s="95" t="s">
        <v>147</v>
      </c>
      <c r="B176" s="92">
        <f>SUM(B169:B175)</f>
        <v>58846</v>
      </c>
      <c r="C176" s="92">
        <f>SUM(C169:C175)</f>
        <v>62858.380000000005</v>
      </c>
      <c r="D176" s="92">
        <f t="shared" ref="D176:G176" si="31">SUM(D169:D175)</f>
        <v>64910.971400000009</v>
      </c>
      <c r="E176" s="92">
        <f t="shared" si="31"/>
        <v>67038.452542000014</v>
      </c>
      <c r="F176" s="92">
        <f t="shared" si="31"/>
        <v>69243.602598260011</v>
      </c>
      <c r="G176" s="92">
        <f t="shared" si="31"/>
        <v>71529.305415407813</v>
      </c>
    </row>
    <row r="177" spans="1:7" x14ac:dyDescent="0.25">
      <c r="A177" s="101" t="s">
        <v>148</v>
      </c>
      <c r="B177" s="96"/>
      <c r="C177" s="96"/>
      <c r="D177" s="96"/>
      <c r="E177" s="96"/>
      <c r="F177" s="96"/>
      <c r="G177" s="96"/>
    </row>
    <row r="178" spans="1:7" x14ac:dyDescent="0.25">
      <c r="A178" s="62" t="s">
        <v>149</v>
      </c>
      <c r="B178" s="7">
        <f>'FY23'!R178</f>
        <v>11550.000000000002</v>
      </c>
      <c r="C178" s="7">
        <f>'FY24'!R178</f>
        <v>12243.000000000002</v>
      </c>
      <c r="D178" s="7">
        <f>'FY25'!R178</f>
        <v>12977.580000000002</v>
      </c>
      <c r="E178" s="7">
        <f>'FY26'!R178</f>
        <v>13756.234800000002</v>
      </c>
      <c r="F178" s="7">
        <f>'FY27'!R178</f>
        <v>14581.608888000002</v>
      </c>
      <c r="G178" s="7">
        <f>'FY28'!R178</f>
        <v>15456.505421280004</v>
      </c>
    </row>
    <row r="179" spans="1:7" x14ac:dyDescent="0.25">
      <c r="A179" s="62" t="s">
        <v>150</v>
      </c>
      <c r="B179" s="7">
        <f>'FY23'!R179</f>
        <v>7700.0000000000009</v>
      </c>
      <c r="C179" s="7">
        <f>'FY24'!R179</f>
        <v>8162.0000000000018</v>
      </c>
      <c r="D179" s="7">
        <f>'FY25'!R179</f>
        <v>8651.720000000003</v>
      </c>
      <c r="E179" s="7">
        <f>'FY26'!R179</f>
        <v>9170.8232000000044</v>
      </c>
      <c r="F179" s="7">
        <f>'FY27'!R179</f>
        <v>9721.0725920000059</v>
      </c>
      <c r="G179" s="7">
        <f>'FY28'!R179</f>
        <v>10304.336947520007</v>
      </c>
    </row>
    <row r="180" spans="1:7" ht="15.75" thickBot="1" x14ac:dyDescent="0.3">
      <c r="A180" s="62" t="s">
        <v>151</v>
      </c>
      <c r="B180" s="7">
        <f>'FY23'!R180</f>
        <v>17600</v>
      </c>
      <c r="C180" s="7">
        <f>'FY24'!R180</f>
        <v>18656</v>
      </c>
      <c r="D180" s="7">
        <f>'FY25'!R180</f>
        <v>19775.36</v>
      </c>
      <c r="E180" s="7">
        <f>'FY26'!R180</f>
        <v>20961.881600000001</v>
      </c>
      <c r="F180" s="7">
        <f>'FY27'!R180</f>
        <v>22219.594496000002</v>
      </c>
      <c r="G180" s="7">
        <f>'FY28'!R180</f>
        <v>23552.770165760005</v>
      </c>
    </row>
    <row r="181" spans="1:7" ht="15.75" thickBot="1" x14ac:dyDescent="0.3">
      <c r="A181" s="95" t="s">
        <v>152</v>
      </c>
      <c r="B181" s="92">
        <f>SUM(B178:B180)</f>
        <v>36850</v>
      </c>
      <c r="C181" s="92">
        <f>SUM(C178:C180)</f>
        <v>39061</v>
      </c>
      <c r="D181" s="92">
        <f t="shared" ref="D181:G181" si="32">SUM(D178:D180)</f>
        <v>41404.660000000003</v>
      </c>
      <c r="E181" s="92">
        <f t="shared" si="32"/>
        <v>43888.939600000005</v>
      </c>
      <c r="F181" s="92">
        <f t="shared" si="32"/>
        <v>46522.275976000004</v>
      </c>
      <c r="G181" s="92">
        <f t="shared" si="32"/>
        <v>49313.612534560016</v>
      </c>
    </row>
    <row r="182" spans="1:7" x14ac:dyDescent="0.25">
      <c r="A182" s="101" t="s">
        <v>153</v>
      </c>
      <c r="B182" s="96" t="str">
        <f t="shared" ref="B182:G182" si="33">B1</f>
        <v xml:space="preserve"> FY 23</v>
      </c>
      <c r="C182" s="96" t="str">
        <f t="shared" si="33"/>
        <v xml:space="preserve"> FY 24</v>
      </c>
      <c r="D182" s="96" t="str">
        <f t="shared" si="33"/>
        <v xml:space="preserve"> FY 25</v>
      </c>
      <c r="E182" s="96" t="str">
        <f t="shared" si="33"/>
        <v xml:space="preserve"> FY 26</v>
      </c>
      <c r="F182" s="96" t="str">
        <f t="shared" si="33"/>
        <v xml:space="preserve"> FY 27</v>
      </c>
      <c r="G182" s="96" t="str">
        <f t="shared" si="33"/>
        <v xml:space="preserve"> FY 28</v>
      </c>
    </row>
    <row r="183" spans="1:7" x14ac:dyDescent="0.25">
      <c r="A183" s="62" t="s">
        <v>154</v>
      </c>
      <c r="B183" s="7">
        <f>'FY23'!R183</f>
        <v>167896.288</v>
      </c>
      <c r="C183" s="7">
        <f>'FY24'!R183</f>
        <v>171278.40000000002</v>
      </c>
      <c r="D183" s="7">
        <f>'FY25'!R183</f>
        <v>171278.40000000002</v>
      </c>
      <c r="E183" s="7">
        <f>'FY26'!R183</f>
        <v>171278.40000000002</v>
      </c>
      <c r="F183" s="7">
        <f>'FY27'!R183</f>
        <v>171278.40000000002</v>
      </c>
      <c r="G183" s="7">
        <f>'FY28'!R183</f>
        <v>171278.40000000002</v>
      </c>
    </row>
    <row r="184" spans="1:7" x14ac:dyDescent="0.25">
      <c r="A184" s="62" t="s">
        <v>155</v>
      </c>
      <c r="B184" s="7">
        <f>'FY23'!R184</f>
        <v>5000</v>
      </c>
      <c r="C184" s="7">
        <f>'FY24'!R184</f>
        <v>5000</v>
      </c>
      <c r="D184" s="7">
        <f>'FY25'!R184</f>
        <v>5000</v>
      </c>
      <c r="E184" s="7">
        <f>'FY26'!R184</f>
        <v>5000</v>
      </c>
      <c r="F184" s="7">
        <f>'FY27'!R184</f>
        <v>5000</v>
      </c>
      <c r="G184" s="7">
        <f>'FY28'!R184</f>
        <v>5000</v>
      </c>
    </row>
    <row r="185" spans="1:7" x14ac:dyDescent="0.25">
      <c r="A185" s="62" t="s">
        <v>156</v>
      </c>
      <c r="B185" s="7">
        <f>'FY23'!R185</f>
        <v>2200</v>
      </c>
      <c r="C185" s="7">
        <f>'FY24'!R185</f>
        <v>2100</v>
      </c>
      <c r="D185" s="7">
        <f>'FY25'!R185</f>
        <v>2100</v>
      </c>
      <c r="E185" s="7">
        <f>'FY26'!R185</f>
        <v>2100</v>
      </c>
      <c r="F185" s="7">
        <f>'FY27'!R185</f>
        <v>2100</v>
      </c>
      <c r="G185" s="7">
        <f>'FY28'!R185</f>
        <v>2100</v>
      </c>
    </row>
    <row r="186" spans="1:7" x14ac:dyDescent="0.25">
      <c r="A186" s="62" t="s">
        <v>157</v>
      </c>
      <c r="B186" s="7">
        <f>'FY23'!R186</f>
        <v>1200</v>
      </c>
      <c r="C186" s="7">
        <f>'FY24'!R186</f>
        <v>900</v>
      </c>
      <c r="D186" s="7">
        <f>'FY25'!R186</f>
        <v>900</v>
      </c>
      <c r="E186" s="7">
        <f>'FY26'!R186</f>
        <v>900</v>
      </c>
      <c r="F186" s="7">
        <f>'FY27'!R186</f>
        <v>900</v>
      </c>
      <c r="G186" s="7">
        <f>'FY28'!R186</f>
        <v>900</v>
      </c>
    </row>
    <row r="187" spans="1:7" x14ac:dyDescent="0.25">
      <c r="A187" s="62" t="s">
        <v>158</v>
      </c>
      <c r="B187" s="7">
        <f>'FY23'!R187</f>
        <v>12200</v>
      </c>
      <c r="C187" s="7">
        <f>'FY24'!R187</f>
        <v>12000</v>
      </c>
      <c r="D187" s="7">
        <f>'FY25'!R187</f>
        <v>12000</v>
      </c>
      <c r="E187" s="7">
        <f>'FY26'!R187</f>
        <v>12000</v>
      </c>
      <c r="F187" s="7">
        <f>'FY27'!R187</f>
        <v>12000</v>
      </c>
      <c r="G187" s="7">
        <f>'FY28'!R187</f>
        <v>12000</v>
      </c>
    </row>
    <row r="188" spans="1:7" x14ac:dyDescent="0.25">
      <c r="A188" s="62" t="s">
        <v>159</v>
      </c>
      <c r="B188" s="7">
        <f>'FY23'!R188</f>
        <v>0</v>
      </c>
      <c r="C188" s="7">
        <f>'FY24'!R188</f>
        <v>0</v>
      </c>
      <c r="D188" s="7">
        <f>'FY25'!R188</f>
        <v>0</v>
      </c>
      <c r="E188" s="7">
        <f>'FY26'!R188</f>
        <v>0</v>
      </c>
      <c r="F188" s="7">
        <f>'FY27'!R188</f>
        <v>0</v>
      </c>
      <c r="G188" s="7">
        <f>'FY28'!R188</f>
        <v>0</v>
      </c>
    </row>
    <row r="189" spans="1:7" x14ac:dyDescent="0.25">
      <c r="A189" s="62" t="s">
        <v>160</v>
      </c>
      <c r="B189" s="7">
        <f>'FY23'!R189</f>
        <v>0</v>
      </c>
      <c r="C189" s="7">
        <f>'FY24'!R189</f>
        <v>0</v>
      </c>
      <c r="D189" s="7">
        <f>'FY25'!R189</f>
        <v>0</v>
      </c>
      <c r="E189" s="7">
        <f>'FY26'!R189</f>
        <v>0</v>
      </c>
      <c r="F189" s="7">
        <f>'FY27'!R189</f>
        <v>0</v>
      </c>
      <c r="G189" s="7">
        <f>'FY28'!R189</f>
        <v>0</v>
      </c>
    </row>
    <row r="190" spans="1:7" x14ac:dyDescent="0.25">
      <c r="A190" s="62" t="s">
        <v>161</v>
      </c>
      <c r="B190" s="7">
        <f>'FY23'!R190</f>
        <v>0</v>
      </c>
      <c r="C190" s="7">
        <f>'FY24'!R190</f>
        <v>0</v>
      </c>
      <c r="D190" s="7">
        <f>'FY25'!R190</f>
        <v>0</v>
      </c>
      <c r="E190" s="7">
        <f>'FY26'!R190</f>
        <v>0</v>
      </c>
      <c r="F190" s="7">
        <f>'FY27'!R190</f>
        <v>0</v>
      </c>
      <c r="G190" s="7">
        <f>'FY28'!R190</f>
        <v>0</v>
      </c>
    </row>
    <row r="191" spans="1:7" ht="15.75" thickBot="1" x14ac:dyDescent="0.3">
      <c r="A191" s="62" t="s">
        <v>162</v>
      </c>
      <c r="B191" s="7">
        <f>'FY23'!R191</f>
        <v>1500</v>
      </c>
      <c r="C191" s="7">
        <f>'FY24'!R191</f>
        <v>2000</v>
      </c>
      <c r="D191" s="7">
        <f>'FY25'!R191</f>
        <v>2000</v>
      </c>
      <c r="E191" s="7">
        <f>'FY26'!R191</f>
        <v>2000</v>
      </c>
      <c r="F191" s="7">
        <f>'FY27'!R191</f>
        <v>2000</v>
      </c>
      <c r="G191" s="7">
        <f>'FY28'!R191</f>
        <v>2000</v>
      </c>
    </row>
    <row r="192" spans="1:7" ht="15.75" thickBot="1" x14ac:dyDescent="0.3">
      <c r="A192" s="95" t="s">
        <v>163</v>
      </c>
      <c r="B192" s="92">
        <f>SUM(B183:B191)</f>
        <v>189996.288</v>
      </c>
      <c r="C192" s="92">
        <f>SUM(C183:C191)</f>
        <v>193278.40000000002</v>
      </c>
      <c r="D192" s="92">
        <f t="shared" ref="D192:G192" si="34">SUM(D183:D191)</f>
        <v>193278.40000000002</v>
      </c>
      <c r="E192" s="92">
        <f t="shared" si="34"/>
        <v>193278.40000000002</v>
      </c>
      <c r="F192" s="92">
        <f t="shared" si="34"/>
        <v>193278.40000000002</v>
      </c>
      <c r="G192" s="92">
        <f t="shared" si="34"/>
        <v>193278.40000000002</v>
      </c>
    </row>
    <row r="193" spans="1:7" x14ac:dyDescent="0.25">
      <c r="A193" s="101" t="s">
        <v>164</v>
      </c>
      <c r="B193" s="77" t="str">
        <f>B182</f>
        <v xml:space="preserve"> FY 23</v>
      </c>
      <c r="C193" s="77" t="str">
        <f>C182</f>
        <v xml:space="preserve"> FY 24</v>
      </c>
      <c r="D193" s="77" t="str">
        <f>D182</f>
        <v xml:space="preserve"> FY 25</v>
      </c>
      <c r="E193" s="77" t="str">
        <f t="shared" ref="E193:G193" si="35">E182</f>
        <v xml:space="preserve"> FY 26</v>
      </c>
      <c r="F193" s="77" t="str">
        <f t="shared" si="35"/>
        <v xml:space="preserve"> FY 27</v>
      </c>
      <c r="G193" s="77" t="str">
        <f t="shared" si="35"/>
        <v xml:space="preserve"> FY 28</v>
      </c>
    </row>
    <row r="194" spans="1:7" x14ac:dyDescent="0.25">
      <c r="A194" s="62" t="s">
        <v>165</v>
      </c>
      <c r="B194" s="7">
        <f>'FY23'!R194</f>
        <v>61200</v>
      </c>
      <c r="C194" s="7">
        <f>'FY24'!R194</f>
        <v>63036</v>
      </c>
      <c r="D194" s="7">
        <f>'FY25'!R194</f>
        <v>64927.08</v>
      </c>
      <c r="E194" s="7">
        <f>'FY26'!R194</f>
        <v>66874.892399999997</v>
      </c>
      <c r="F194" s="7">
        <f>'FY27'!R194</f>
        <v>68881.139171999996</v>
      </c>
      <c r="G194" s="7">
        <f>'FY28'!R194</f>
        <v>70947.573347159996</v>
      </c>
    </row>
    <row r="195" spans="1:7" x14ac:dyDescent="0.25">
      <c r="A195" s="62" t="s">
        <v>166</v>
      </c>
      <c r="B195" s="7">
        <f>'FY23'!R195</f>
        <v>0</v>
      </c>
      <c r="C195" s="7">
        <f>'FY24'!R195</f>
        <v>0</v>
      </c>
      <c r="D195" s="7">
        <f>'FY25'!R195</f>
        <v>0</v>
      </c>
      <c r="E195" s="7">
        <f>'FY26'!R195</f>
        <v>0</v>
      </c>
      <c r="F195" s="7">
        <f>'FY27'!R195</f>
        <v>0</v>
      </c>
      <c r="G195" s="7">
        <f>'FY28'!R195</f>
        <v>0</v>
      </c>
    </row>
    <row r="196" spans="1:7" x14ac:dyDescent="0.25">
      <c r="A196" s="62" t="s">
        <v>167</v>
      </c>
      <c r="B196" s="7">
        <f>'FY23'!R196</f>
        <v>18000</v>
      </c>
      <c r="C196" s="7">
        <f>'FY24'!R196</f>
        <v>18540</v>
      </c>
      <c r="D196" s="7">
        <f>'FY25'!R196</f>
        <v>19096.2</v>
      </c>
      <c r="E196" s="7">
        <f>'FY26'!R196</f>
        <v>19669.086000000003</v>
      </c>
      <c r="F196" s="7">
        <f>'FY27'!R196</f>
        <v>20259.158580000003</v>
      </c>
      <c r="G196" s="7">
        <f>'FY28'!R196</f>
        <v>20866.933337400005</v>
      </c>
    </row>
    <row r="197" spans="1:7" x14ac:dyDescent="0.25">
      <c r="A197" s="62" t="s">
        <v>168</v>
      </c>
      <c r="B197" s="7">
        <f>'FY23'!R197</f>
        <v>14400</v>
      </c>
      <c r="C197" s="7">
        <f>'FY24'!R197</f>
        <v>14832</v>
      </c>
      <c r="D197" s="7">
        <f>'FY25'!R197</f>
        <v>15276.960000000001</v>
      </c>
      <c r="E197" s="7">
        <f>'FY26'!R197</f>
        <v>15735.268800000002</v>
      </c>
      <c r="F197" s="7">
        <f>'FY27'!R197</f>
        <v>16207.326864000002</v>
      </c>
      <c r="G197" s="7">
        <f>'FY28'!R197</f>
        <v>16693.546669920004</v>
      </c>
    </row>
    <row r="198" spans="1:7" x14ac:dyDescent="0.25">
      <c r="A198" s="62" t="s">
        <v>169</v>
      </c>
      <c r="B198" s="7">
        <f>'FY23'!R198</f>
        <v>7000</v>
      </c>
      <c r="C198" s="7">
        <f>'FY24'!R198</f>
        <v>7210</v>
      </c>
      <c r="D198" s="7">
        <f>'FY25'!R198</f>
        <v>7426.3</v>
      </c>
      <c r="E198" s="7">
        <f>'FY26'!R198</f>
        <v>7649.0889999999999</v>
      </c>
      <c r="F198" s="7">
        <f>'FY27'!R198</f>
        <v>7878.56167</v>
      </c>
      <c r="G198" s="7">
        <f>'FY28'!R198</f>
        <v>8114.9185201</v>
      </c>
    </row>
    <row r="199" spans="1:7" x14ac:dyDescent="0.25">
      <c r="A199" s="62" t="s">
        <v>170</v>
      </c>
      <c r="B199" s="7">
        <f>'FY23'!R199</f>
        <v>97599.71</v>
      </c>
      <c r="C199" s="7">
        <f>'FY24'!R199</f>
        <v>100527.70130000002</v>
      </c>
      <c r="D199" s="7">
        <f>'FY25'!R199</f>
        <v>103543.53233900001</v>
      </c>
      <c r="E199" s="7">
        <f>'FY26'!R199</f>
        <v>106649.83830917001</v>
      </c>
      <c r="F199" s="7">
        <f>'FY27'!R199</f>
        <v>109849.33345844511</v>
      </c>
      <c r="G199" s="7">
        <f>'FY28'!R199</f>
        <v>109849.33345844511</v>
      </c>
    </row>
    <row r="200" spans="1:7" x14ac:dyDescent="0.25">
      <c r="A200" s="62" t="s">
        <v>171</v>
      </c>
      <c r="B200" s="7">
        <f>'FY23'!R200</f>
        <v>32512</v>
      </c>
      <c r="C200" s="7">
        <f>'FY24'!R200</f>
        <v>32512</v>
      </c>
      <c r="D200" s="7">
        <f>'FY25'!R200</f>
        <v>32512</v>
      </c>
      <c r="E200" s="7">
        <f>'FY26'!R200</f>
        <v>32512</v>
      </c>
      <c r="F200" s="7">
        <f>'FY27'!R200</f>
        <v>32512</v>
      </c>
      <c r="G200" s="7">
        <f>'FY28'!R200</f>
        <v>32512</v>
      </c>
    </row>
    <row r="201" spans="1:7" x14ac:dyDescent="0.25">
      <c r="A201" s="62" t="s">
        <v>173</v>
      </c>
      <c r="B201" s="7">
        <f>'FY23'!R201</f>
        <v>57500</v>
      </c>
      <c r="C201" s="7">
        <f>'FY24'!R201</f>
        <v>60000</v>
      </c>
      <c r="D201" s="7">
        <f>'FY25'!R201</f>
        <v>62500</v>
      </c>
      <c r="E201" s="7">
        <f>'FY26'!R201</f>
        <v>65000</v>
      </c>
      <c r="F201" s="7">
        <f>'FY27'!R201</f>
        <v>67500</v>
      </c>
      <c r="G201" s="7">
        <f>'FY28'!R201</f>
        <v>70000</v>
      </c>
    </row>
    <row r="202" spans="1:7" x14ac:dyDescent="0.25">
      <c r="A202" s="62" t="s">
        <v>174</v>
      </c>
      <c r="B202" s="7">
        <f>'FY23'!R202</f>
        <v>16590</v>
      </c>
      <c r="C202" s="7">
        <f>'FY24'!R202</f>
        <v>17087.7</v>
      </c>
      <c r="D202" s="7">
        <f>'FY25'!R202</f>
        <v>17600.331000000002</v>
      </c>
      <c r="E202" s="7">
        <f>'FY26'!R202</f>
        <v>18128.340930000002</v>
      </c>
      <c r="F202" s="7">
        <f>'FY27'!R202</f>
        <v>18672.191157900004</v>
      </c>
      <c r="G202" s="7">
        <f>'FY28'!R202</f>
        <v>19232.356892637006</v>
      </c>
    </row>
    <row r="203" spans="1:7" x14ac:dyDescent="0.25">
      <c r="A203" s="62" t="s">
        <v>175</v>
      </c>
      <c r="B203" s="7">
        <f>'FY23'!R203</f>
        <v>0</v>
      </c>
      <c r="C203" s="7">
        <f>'FY24'!R203</f>
        <v>0</v>
      </c>
      <c r="D203" s="7">
        <f>'FY25'!R203</f>
        <v>0</v>
      </c>
      <c r="E203" s="7">
        <f>'FY26'!R203</f>
        <v>0</v>
      </c>
      <c r="F203" s="7">
        <f>'FY27'!R203</f>
        <v>0</v>
      </c>
      <c r="G203" s="7">
        <f>'FY28'!R203</f>
        <v>0</v>
      </c>
    </row>
    <row r="204" spans="1:7" ht="15.75" thickBot="1" x14ac:dyDescent="0.3">
      <c r="A204" s="62" t="s">
        <v>176</v>
      </c>
      <c r="B204" s="7">
        <f>'FY23'!R204</f>
        <v>15120</v>
      </c>
      <c r="C204" s="7">
        <f>'FY24'!R204</f>
        <v>15573.6</v>
      </c>
      <c r="D204" s="7">
        <f>'FY25'!R204</f>
        <v>16040.808000000001</v>
      </c>
      <c r="E204" s="7">
        <f>'FY26'!R204</f>
        <v>16522.03224</v>
      </c>
      <c r="F204" s="7">
        <f>'FY27'!R204</f>
        <v>17017.693207200002</v>
      </c>
      <c r="G204" s="7">
        <f>'FY28'!R204</f>
        <v>17528.224003416002</v>
      </c>
    </row>
    <row r="205" spans="1:7" ht="15.75" thickBot="1" x14ac:dyDescent="0.3">
      <c r="A205" s="95" t="s">
        <v>177</v>
      </c>
      <c r="B205" s="90">
        <f>SUM(B194:B204)</f>
        <v>319921.71000000002</v>
      </c>
      <c r="C205" s="90">
        <f>SUM(C194:C204)</f>
        <v>329319.0013</v>
      </c>
      <c r="D205" s="90">
        <f>SUM(D194:D204)</f>
        <v>338923.21133900003</v>
      </c>
      <c r="E205" s="90">
        <f t="shared" ref="E205:G205" si="36">SUM(E194:E204)</f>
        <v>348740.54767917003</v>
      </c>
      <c r="F205" s="90">
        <f t="shared" si="36"/>
        <v>358777.40410954511</v>
      </c>
      <c r="G205" s="90">
        <f t="shared" si="36"/>
        <v>365744.88622907817</v>
      </c>
    </row>
    <row r="206" spans="1:7" ht="15.75" thickBot="1" x14ac:dyDescent="0.3">
      <c r="A206" s="102"/>
      <c r="B206" s="103"/>
      <c r="C206" s="103"/>
      <c r="D206" s="103"/>
      <c r="E206" s="103"/>
      <c r="F206" s="103"/>
      <c r="G206" s="103"/>
    </row>
    <row r="207" spans="1:7" ht="15.75" thickBot="1" x14ac:dyDescent="0.3">
      <c r="A207" s="95" t="s">
        <v>178</v>
      </c>
      <c r="B207" s="104">
        <f t="shared" ref="B207:G207" si="37">B139+B151+B167+B176+B181+B192+B205</f>
        <v>6569618.0344044995</v>
      </c>
      <c r="C207" s="104">
        <f t="shared" si="37"/>
        <v>6699108.4663987104</v>
      </c>
      <c r="D207" s="104">
        <f t="shared" si="37"/>
        <v>6823729.9112179307</v>
      </c>
      <c r="E207" s="104">
        <f t="shared" si="37"/>
        <v>6944439.3059818642</v>
      </c>
      <c r="F207" s="104">
        <f t="shared" si="37"/>
        <v>7074914.3131414587</v>
      </c>
      <c r="G207" s="104">
        <f t="shared" si="37"/>
        <v>7198975.7073947256</v>
      </c>
    </row>
    <row r="208" spans="1:7" x14ac:dyDescent="0.25">
      <c r="A208" s="105"/>
      <c r="B208" s="61"/>
      <c r="C208" s="61"/>
      <c r="D208" s="61"/>
      <c r="E208" s="61"/>
      <c r="F208" s="61"/>
      <c r="G208" s="61"/>
    </row>
    <row r="209" spans="1:7" x14ac:dyDescent="0.25">
      <c r="A209" s="106" t="s">
        <v>179</v>
      </c>
      <c r="B209" s="7">
        <f>'FY23'!R209</f>
        <v>0</v>
      </c>
      <c r="C209" s="7">
        <f>'FY24'!R209</f>
        <v>0</v>
      </c>
      <c r="D209" s="7">
        <f>'FY25'!R209</f>
        <v>0</v>
      </c>
      <c r="E209" s="7">
        <f>'FY26'!R209</f>
        <v>0</v>
      </c>
      <c r="F209" s="7">
        <f>'FY27'!R209</f>
        <v>0</v>
      </c>
      <c r="G209" s="7">
        <f>'FY28'!R209</f>
        <v>0</v>
      </c>
    </row>
    <row r="210" spans="1:7" s="212" customFormat="1" x14ac:dyDescent="0.25">
      <c r="A210" s="210" t="s">
        <v>180</v>
      </c>
      <c r="B210" s="7">
        <f>'FY23'!R210</f>
        <v>957200</v>
      </c>
      <c r="C210" s="7">
        <f>'FY24'!R210</f>
        <v>966667</v>
      </c>
      <c r="D210" s="7">
        <f>'FY25'!R210</f>
        <v>969206</v>
      </c>
      <c r="E210" s="7">
        <f>'FY26'!R210</f>
        <v>970635</v>
      </c>
      <c r="F210" s="7">
        <f>'FY27'!R210</f>
        <v>970000</v>
      </c>
      <c r="G210" s="7">
        <f>'FY28'!R210</f>
        <v>970250</v>
      </c>
    </row>
    <row r="211" spans="1:7" x14ac:dyDescent="0.25">
      <c r="A211" s="210" t="s">
        <v>180</v>
      </c>
      <c r="B211" s="7">
        <f>'FY23'!R211</f>
        <v>0</v>
      </c>
      <c r="C211" s="7">
        <f>'FY24'!R211</f>
        <v>0</v>
      </c>
      <c r="D211" s="7">
        <f>'FY25'!R211</f>
        <v>0</v>
      </c>
      <c r="E211" s="7">
        <f>'FY26'!R211</f>
        <v>0</v>
      </c>
      <c r="F211" s="7">
        <f>'FY27'!R211</f>
        <v>0</v>
      </c>
      <c r="G211" s="7">
        <f>'FY28'!R211</f>
        <v>0</v>
      </c>
    </row>
    <row r="212" spans="1:7" hidden="1" x14ac:dyDescent="0.25">
      <c r="A212" s="210"/>
      <c r="B212" s="7">
        <f>'FY23'!R212</f>
        <v>0</v>
      </c>
      <c r="C212" s="7">
        <f>'FY24'!R212</f>
        <v>0</v>
      </c>
      <c r="D212" s="7">
        <f>'FY25'!R212</f>
        <v>0</v>
      </c>
      <c r="E212" s="7">
        <f>'FY26'!R212</f>
        <v>0</v>
      </c>
      <c r="F212" s="7">
        <f>'FY27'!R212</f>
        <v>0</v>
      </c>
      <c r="G212" s="7">
        <f>'FY28'!R212</f>
        <v>0</v>
      </c>
    </row>
    <row r="213" spans="1:7" hidden="1" x14ac:dyDescent="0.25">
      <c r="A213" s="106"/>
      <c r="B213" s="7">
        <f>'FY23'!R213</f>
        <v>0</v>
      </c>
      <c r="C213" s="7">
        <f>'FY24'!R213</f>
        <v>0</v>
      </c>
      <c r="D213" s="7">
        <f>'FY25'!R213</f>
        <v>0</v>
      </c>
      <c r="E213" s="7">
        <f>'FY26'!R213</f>
        <v>0</v>
      </c>
      <c r="F213" s="7">
        <f>'FY27'!R213</f>
        <v>0</v>
      </c>
      <c r="G213" s="7">
        <f>'FY28'!R213</f>
        <v>0</v>
      </c>
    </row>
    <row r="214" spans="1:7" hidden="1" x14ac:dyDescent="0.25">
      <c r="A214" s="106"/>
      <c r="B214" s="7">
        <f>'FY23'!R214</f>
        <v>0</v>
      </c>
      <c r="C214" s="7">
        <f>'FY24'!R214</f>
        <v>0</v>
      </c>
      <c r="D214" s="7">
        <f>'FY25'!R214</f>
        <v>0</v>
      </c>
      <c r="E214" s="7">
        <f>'FY26'!R214</f>
        <v>0</v>
      </c>
      <c r="F214" s="7">
        <f>'FY27'!R214</f>
        <v>0</v>
      </c>
      <c r="G214" s="7">
        <f>'FY28'!R214</f>
        <v>0</v>
      </c>
    </row>
    <row r="215" spans="1:7" hidden="1" x14ac:dyDescent="0.25">
      <c r="A215" s="106"/>
      <c r="B215" s="7">
        <f>'FY23'!R215</f>
        <v>0</v>
      </c>
      <c r="C215" s="7">
        <f>'FY24'!R215</f>
        <v>0</v>
      </c>
      <c r="D215" s="7">
        <f>'FY25'!R215</f>
        <v>0</v>
      </c>
      <c r="E215" s="7">
        <f>'FY26'!R215</f>
        <v>0</v>
      </c>
      <c r="F215" s="7">
        <f>'FY27'!R215</f>
        <v>0</v>
      </c>
      <c r="G215" s="7">
        <f>'FY28'!R215</f>
        <v>0</v>
      </c>
    </row>
    <row r="216" spans="1:7" x14ac:dyDescent="0.25">
      <c r="A216" s="106" t="s">
        <v>180</v>
      </c>
      <c r="B216" s="7">
        <f>'FY23'!R216</f>
        <v>0</v>
      </c>
      <c r="C216" s="7">
        <f>'FY24'!R216</f>
        <v>0</v>
      </c>
      <c r="D216" s="7">
        <f>'FY25'!R216</f>
        <v>0</v>
      </c>
      <c r="E216" s="7">
        <f>'FY26'!R216</f>
        <v>0</v>
      </c>
      <c r="F216" s="7">
        <f>'FY27'!R216</f>
        <v>0</v>
      </c>
      <c r="G216" s="7">
        <f>'FY28'!R216</f>
        <v>0</v>
      </c>
    </row>
    <row r="217" spans="1:7" x14ac:dyDescent="0.25">
      <c r="A217" s="107" t="s">
        <v>181</v>
      </c>
      <c r="B217" s="7">
        <f>'FY23'!R217</f>
        <v>0</v>
      </c>
      <c r="C217" s="7">
        <f>'FY24'!R217</f>
        <v>0</v>
      </c>
      <c r="D217" s="7">
        <f>'FY25'!R217</f>
        <v>0</v>
      </c>
      <c r="E217" s="7">
        <f>'FY26'!R217</f>
        <v>0</v>
      </c>
      <c r="F217" s="7">
        <f>'FY27'!R217</f>
        <v>0</v>
      </c>
      <c r="G217" s="7">
        <f>'FY28'!R217</f>
        <v>0</v>
      </c>
    </row>
    <row r="218" spans="1:7" x14ac:dyDescent="0.25">
      <c r="A218" s="146"/>
      <c r="B218" s="7">
        <f>'FY23'!R218</f>
        <v>0</v>
      </c>
      <c r="C218" s="7">
        <f>'FY24'!R218</f>
        <v>0</v>
      </c>
      <c r="D218" s="7">
        <f>'FY25'!R218</f>
        <v>0</v>
      </c>
      <c r="E218" s="7">
        <f>'FY26'!R218</f>
        <v>0</v>
      </c>
      <c r="F218" s="7">
        <f>'FY27'!R218</f>
        <v>0</v>
      </c>
      <c r="G218" s="7">
        <f>'FY28'!R218</f>
        <v>0</v>
      </c>
    </row>
    <row r="219" spans="1:7" x14ac:dyDescent="0.25">
      <c r="A219" s="147"/>
      <c r="B219" s="7"/>
      <c r="C219" s="7"/>
      <c r="D219" s="7"/>
      <c r="E219" s="7"/>
      <c r="F219" s="7"/>
      <c r="G219" s="7"/>
    </row>
    <row r="220" spans="1:7" ht="15.75" thickBot="1" x14ac:dyDescent="0.3">
      <c r="A220" s="144" t="s">
        <v>183</v>
      </c>
      <c r="B220" s="145">
        <f>B86-B207-B210-B211-B216-B217</f>
        <v>481692.62959550042</v>
      </c>
      <c r="C220" s="145">
        <f>C86-C207-C209-C210-C211-C216-C217</f>
        <v>432480.677601289</v>
      </c>
      <c r="D220" s="145">
        <f t="shared" ref="D220:G220" si="38">D86-D207-D209-D210-D211-D216-D217</f>
        <v>402658.41405406874</v>
      </c>
      <c r="E220" s="145">
        <f t="shared" si="38"/>
        <v>383066.71691866964</v>
      </c>
      <c r="F220" s="145">
        <f t="shared" si="38"/>
        <v>353598.41445678193</v>
      </c>
      <c r="G220" s="145">
        <f t="shared" si="38"/>
        <v>343700.4370622905</v>
      </c>
    </row>
    <row r="221" spans="1:7" ht="15.75" thickBot="1" x14ac:dyDescent="0.3">
      <c r="A221" s="108"/>
      <c r="B221" s="110">
        <f>B220/(B86-B76)</f>
        <v>6.1528471026608272E-2</v>
      </c>
      <c r="C221" s="110">
        <f>C220/(C86-C76)</f>
        <v>5.4701236913400834E-2</v>
      </c>
      <c r="D221" s="110">
        <f>D220/(D86-D76)</f>
        <v>5.0309848941120471E-2</v>
      </c>
      <c r="E221" s="110">
        <f>E220/(E86)</f>
        <v>4.6162955758586567E-2</v>
      </c>
      <c r="F221" s="110">
        <f>F220/(F86-F76)</f>
        <v>4.3087662238252791E-2</v>
      </c>
      <c r="G221" s="110">
        <f>G220/(G86-G76)</f>
        <v>4.1305669877544124E-2</v>
      </c>
    </row>
    <row r="222" spans="1:7" x14ac:dyDescent="0.25">
      <c r="B222" s="111"/>
      <c r="C222" s="111"/>
      <c r="D222" s="111"/>
      <c r="E222" s="111"/>
      <c r="F222" s="111"/>
      <c r="G222" s="111"/>
    </row>
    <row r="223" spans="1:7" x14ac:dyDescent="0.25">
      <c r="A223" s="112" t="str">
        <f>A1</f>
        <v>Pinecrest Academy of Nevada - St. Rose</v>
      </c>
      <c r="B223" s="112" t="str">
        <f>B1</f>
        <v xml:space="preserve"> FY 23</v>
      </c>
      <c r="C223" s="112" t="str">
        <f>C1</f>
        <v xml:space="preserve"> FY 24</v>
      </c>
      <c r="D223" s="112" t="str">
        <f>D1</f>
        <v xml:space="preserve"> FY 25</v>
      </c>
      <c r="E223" s="112" t="str">
        <f t="shared" ref="E223:G223" si="39">E1</f>
        <v xml:space="preserve"> FY 26</v>
      </c>
      <c r="F223" s="112" t="str">
        <f t="shared" si="39"/>
        <v xml:space="preserve"> FY 27</v>
      </c>
      <c r="G223" s="112" t="str">
        <f t="shared" si="39"/>
        <v xml:space="preserve"> FY 28</v>
      </c>
    </row>
    <row r="224" spans="1:7" x14ac:dyDescent="0.25">
      <c r="B224" s="109"/>
      <c r="C224" s="109"/>
      <c r="D224" s="109"/>
      <c r="E224" s="109"/>
      <c r="F224" s="109"/>
      <c r="G224" s="109"/>
    </row>
    <row r="225" spans="1:7" x14ac:dyDescent="0.25">
      <c r="A225" s="112"/>
      <c r="B225" s="71" t="b">
        <f>B220='FY23'!R220</f>
        <v>1</v>
      </c>
      <c r="C225" s="71" t="b">
        <f>C220='FY24'!R220</f>
        <v>1</v>
      </c>
      <c r="D225" s="71" t="b">
        <f>D220='FY25'!R220</f>
        <v>1</v>
      </c>
      <c r="E225" s="71" t="b">
        <f>E220='FY26'!R220</f>
        <v>1</v>
      </c>
      <c r="F225" s="71" t="b">
        <f>F220='FY27'!R220</f>
        <v>1</v>
      </c>
      <c r="G225" s="71" t="b">
        <f>G220='FY28'!R220</f>
        <v>1</v>
      </c>
    </row>
    <row r="226" spans="1:7" x14ac:dyDescent="0.25">
      <c r="B226" s="109"/>
      <c r="C226" s="109"/>
      <c r="D226" s="109"/>
      <c r="E226" s="109"/>
      <c r="F226" s="109"/>
      <c r="G226" s="109"/>
    </row>
    <row r="228" spans="1:7" x14ac:dyDescent="0.25">
      <c r="A228" s="266" t="s">
        <v>187</v>
      </c>
      <c r="B228" s="267">
        <f>B86-B207</f>
        <v>1438892.6295955004</v>
      </c>
      <c r="C228" s="267">
        <f t="shared" ref="C228:G228" si="40">C86-C207</f>
        <v>1399147.677601289</v>
      </c>
      <c r="D228" s="267">
        <f t="shared" si="40"/>
        <v>1371864.4140540687</v>
      </c>
      <c r="E228" s="267">
        <f t="shared" si="40"/>
        <v>1353701.7169186696</v>
      </c>
      <c r="F228" s="267">
        <f t="shared" si="40"/>
        <v>1323598.4144567819</v>
      </c>
      <c r="G228" s="267">
        <f t="shared" si="40"/>
        <v>1313950.4370622905</v>
      </c>
    </row>
    <row r="229" spans="1:7" x14ac:dyDescent="0.25">
      <c r="B229" s="268"/>
      <c r="C229" s="268"/>
      <c r="D229" s="268"/>
      <c r="E229" s="268"/>
      <c r="F229" s="268"/>
      <c r="G229" s="268"/>
    </row>
    <row r="230" spans="1:7" x14ac:dyDescent="0.25">
      <c r="A230" t="str">
        <f>A209</f>
        <v>Scheduled Lease Payment</v>
      </c>
      <c r="B230" s="269">
        <f t="shared" ref="B230:G234" si="41">B213</f>
        <v>0</v>
      </c>
      <c r="C230" s="269">
        <f t="shared" ref="C230:G232" si="42">C209</f>
        <v>0</v>
      </c>
      <c r="D230" s="269">
        <f t="shared" si="42"/>
        <v>0</v>
      </c>
      <c r="E230" s="269">
        <f t="shared" si="42"/>
        <v>0</v>
      </c>
      <c r="F230" s="269">
        <f t="shared" si="42"/>
        <v>0</v>
      </c>
      <c r="G230" s="269">
        <f t="shared" si="42"/>
        <v>0</v>
      </c>
    </row>
    <row r="231" spans="1:7" x14ac:dyDescent="0.25">
      <c r="A231" t="s">
        <v>180</v>
      </c>
      <c r="B231" s="269">
        <f>B210</f>
        <v>957200</v>
      </c>
      <c r="C231" s="269">
        <f t="shared" si="42"/>
        <v>966667</v>
      </c>
      <c r="D231" s="269">
        <f t="shared" si="42"/>
        <v>969206</v>
      </c>
      <c r="E231" s="269">
        <f t="shared" si="42"/>
        <v>970635</v>
      </c>
      <c r="F231" s="269">
        <f t="shared" si="42"/>
        <v>970000</v>
      </c>
      <c r="G231" s="269">
        <f t="shared" si="42"/>
        <v>970250</v>
      </c>
    </row>
    <row r="232" spans="1:7" x14ac:dyDescent="0.25">
      <c r="A232" t="s">
        <v>180</v>
      </c>
      <c r="B232" s="269">
        <f>B211</f>
        <v>0</v>
      </c>
      <c r="C232" s="269">
        <f t="shared" si="42"/>
        <v>0</v>
      </c>
      <c r="D232" s="269">
        <f t="shared" si="42"/>
        <v>0</v>
      </c>
      <c r="E232" s="269">
        <f t="shared" si="42"/>
        <v>0</v>
      </c>
      <c r="F232" s="269">
        <f t="shared" si="42"/>
        <v>0</v>
      </c>
      <c r="G232" s="269">
        <f t="shared" si="42"/>
        <v>0</v>
      </c>
    </row>
    <row r="233" spans="1:7" x14ac:dyDescent="0.25">
      <c r="A233" t="s">
        <v>180</v>
      </c>
      <c r="B233" s="269">
        <f t="shared" si="41"/>
        <v>0</v>
      </c>
      <c r="C233" s="269">
        <f t="shared" si="41"/>
        <v>0</v>
      </c>
      <c r="D233" s="269">
        <f t="shared" si="41"/>
        <v>0</v>
      </c>
      <c r="E233" s="269">
        <f t="shared" si="41"/>
        <v>0</v>
      </c>
      <c r="F233" s="269">
        <f t="shared" si="41"/>
        <v>0</v>
      </c>
      <c r="G233" s="269">
        <f t="shared" si="41"/>
        <v>0</v>
      </c>
    </row>
    <row r="234" spans="1:7" x14ac:dyDescent="0.25">
      <c r="B234" s="269">
        <f>B217</f>
        <v>0</v>
      </c>
      <c r="C234" s="269">
        <f t="shared" si="41"/>
        <v>0</v>
      </c>
      <c r="D234" s="269">
        <f t="shared" si="41"/>
        <v>0</v>
      </c>
      <c r="E234" s="269">
        <f t="shared" si="41"/>
        <v>0</v>
      </c>
      <c r="F234" s="269">
        <f t="shared" si="41"/>
        <v>0</v>
      </c>
      <c r="G234" s="269">
        <f t="shared" si="41"/>
        <v>0</v>
      </c>
    </row>
    <row r="235" spans="1:7" x14ac:dyDescent="0.25">
      <c r="A235" s="270" t="s">
        <v>188</v>
      </c>
      <c r="B235" s="271">
        <f t="shared" ref="B235:G235" si="43">SUM(B230:B234)</f>
        <v>957200</v>
      </c>
      <c r="C235" s="271">
        <f t="shared" si="43"/>
        <v>966667</v>
      </c>
      <c r="D235" s="271">
        <f t="shared" si="43"/>
        <v>969206</v>
      </c>
      <c r="E235" s="271">
        <f t="shared" si="43"/>
        <v>970635</v>
      </c>
      <c r="F235" s="271">
        <f t="shared" si="43"/>
        <v>970000</v>
      </c>
      <c r="G235" s="271">
        <f t="shared" si="43"/>
        <v>970250</v>
      </c>
    </row>
    <row r="236" spans="1:7" x14ac:dyDescent="0.25">
      <c r="B236" s="268"/>
      <c r="C236" s="268"/>
      <c r="D236" s="268"/>
      <c r="E236" s="268"/>
      <c r="F236" s="268"/>
      <c r="G236" s="268"/>
    </row>
    <row r="237" spans="1:7" x14ac:dyDescent="0.25">
      <c r="A237" s="266" t="s">
        <v>189</v>
      </c>
      <c r="B237" s="272">
        <f t="shared" ref="B237:G237" si="44">B228/B235</f>
        <v>1.5032309126572299</v>
      </c>
      <c r="C237" s="272">
        <f t="shared" si="44"/>
        <v>1.4473936501414542</v>
      </c>
      <c r="D237" s="272">
        <f t="shared" si="44"/>
        <v>1.4154518379519614</v>
      </c>
      <c r="E237" s="272">
        <f t="shared" si="44"/>
        <v>1.3946557840163085</v>
      </c>
      <c r="F237" s="272">
        <f t="shared" si="44"/>
        <v>1.3645344478935897</v>
      </c>
      <c r="G237" s="272">
        <f t="shared" si="44"/>
        <v>1.3542390487629894</v>
      </c>
    </row>
    <row r="238" spans="1:7" x14ac:dyDescent="0.25">
      <c r="B238" s="268"/>
      <c r="C238" s="268"/>
      <c r="D238" s="268"/>
      <c r="E238" s="268"/>
      <c r="F238" s="268"/>
      <c r="G238" s="268"/>
    </row>
    <row r="239" spans="1:7" x14ac:dyDescent="0.25">
      <c r="A239" s="273" t="s">
        <v>190</v>
      </c>
      <c r="B239" s="273"/>
      <c r="C239" s="273"/>
      <c r="D239" s="273"/>
      <c r="E239" s="273"/>
      <c r="F239" s="273"/>
      <c r="G239" s="273"/>
    </row>
    <row r="240" spans="1:7" x14ac:dyDescent="0.25">
      <c r="A240" t="s">
        <v>298</v>
      </c>
      <c r="B240" s="274">
        <v>15437921</v>
      </c>
      <c r="C240" s="274">
        <f t="shared" ref="C240:G240" si="45">B243</f>
        <v>15919613.629595499</v>
      </c>
      <c r="D240" s="274">
        <f t="shared" si="45"/>
        <v>16352094.307196788</v>
      </c>
      <c r="E240" s="274">
        <f t="shared" si="45"/>
        <v>16754752.721250858</v>
      </c>
      <c r="F240" s="274">
        <f t="shared" si="45"/>
        <v>17137819.438169528</v>
      </c>
      <c r="G240" s="274">
        <f t="shared" si="45"/>
        <v>17491417.852626309</v>
      </c>
    </row>
    <row r="241" spans="1:9" x14ac:dyDescent="0.25">
      <c r="A241" s="268" t="s">
        <v>192</v>
      </c>
      <c r="B241" s="275">
        <v>0</v>
      </c>
      <c r="C241" s="275">
        <v>0</v>
      </c>
      <c r="D241" s="275">
        <v>0</v>
      </c>
      <c r="E241" s="275">
        <v>0</v>
      </c>
      <c r="F241" s="275">
        <v>0</v>
      </c>
      <c r="G241" s="275">
        <v>0</v>
      </c>
    </row>
    <row r="242" spans="1:9" x14ac:dyDescent="0.25">
      <c r="A242" s="268" t="s">
        <v>193</v>
      </c>
      <c r="B242" s="275">
        <f t="shared" ref="B242:G242" si="46">B220</f>
        <v>481692.62959550042</v>
      </c>
      <c r="C242" s="275">
        <f t="shared" si="46"/>
        <v>432480.677601289</v>
      </c>
      <c r="D242" s="275">
        <f t="shared" si="46"/>
        <v>402658.41405406874</v>
      </c>
      <c r="E242" s="275">
        <f t="shared" si="46"/>
        <v>383066.71691866964</v>
      </c>
      <c r="F242" s="275">
        <f t="shared" si="46"/>
        <v>353598.41445678193</v>
      </c>
      <c r="G242" s="275">
        <f t="shared" si="46"/>
        <v>343700.4370622905</v>
      </c>
    </row>
    <row r="243" spans="1:9" x14ac:dyDescent="0.25">
      <c r="A243" s="276" t="s">
        <v>194</v>
      </c>
      <c r="B243" s="277">
        <f>B240+B241+B242</f>
        <v>15919613.629595499</v>
      </c>
      <c r="C243" s="277">
        <f t="shared" ref="C243:G243" si="47">C240+C241+C242</f>
        <v>16352094.307196788</v>
      </c>
      <c r="D243" s="277">
        <f t="shared" si="47"/>
        <v>16754752.721250858</v>
      </c>
      <c r="E243" s="277">
        <f t="shared" si="47"/>
        <v>17137819.438169528</v>
      </c>
      <c r="F243" s="277">
        <f t="shared" si="47"/>
        <v>17491417.852626309</v>
      </c>
      <c r="G243" s="277">
        <f t="shared" si="47"/>
        <v>17835118.289688598</v>
      </c>
    </row>
    <row r="244" spans="1:9" x14ac:dyDescent="0.25">
      <c r="A244" s="266" t="s">
        <v>195</v>
      </c>
      <c r="B244" s="272">
        <f t="shared" ref="B244:G244" si="48">B243/((SUM(B207:B218))/365)</f>
        <v>771.99408146208486</v>
      </c>
      <c r="C244" s="272">
        <f t="shared" si="48"/>
        <v>778.59238746145593</v>
      </c>
      <c r="D244" s="272">
        <f t="shared" si="48"/>
        <v>784.74721374948342</v>
      </c>
      <c r="E244" s="272">
        <f t="shared" si="48"/>
        <v>790.30263685640887</v>
      </c>
      <c r="F244" s="272">
        <f t="shared" si="48"/>
        <v>793.59049303728023</v>
      </c>
      <c r="G244" s="272">
        <f t="shared" si="48"/>
        <v>796.87089191864254</v>
      </c>
    </row>
    <row r="245" spans="1:9" x14ac:dyDescent="0.25">
      <c r="B245" s="109"/>
      <c r="C245" s="109"/>
      <c r="D245" s="109"/>
      <c r="E245" s="109"/>
      <c r="F245" s="109"/>
      <c r="G245" s="109"/>
    </row>
    <row r="246" spans="1:9" x14ac:dyDescent="0.25">
      <c r="B246" s="109"/>
      <c r="C246" s="278"/>
      <c r="D246" s="278"/>
      <c r="E246" s="278"/>
      <c r="F246" s="278"/>
      <c r="G246" s="278"/>
      <c r="I246" s="112" t="s">
        <v>265</v>
      </c>
    </row>
    <row r="247" spans="1:9" x14ac:dyDescent="0.25">
      <c r="A247" s="137" t="s">
        <v>266</v>
      </c>
      <c r="B247" s="278">
        <f>B129/SUM(B207:B217)</f>
        <v>0.42209779639655642</v>
      </c>
      <c r="C247" s="278">
        <f t="shared" ref="C247:G247" si="49">C129/SUM(C207:C217)</f>
        <v>0.42376454757421939</v>
      </c>
      <c r="D247" s="278">
        <f t="shared" si="49"/>
        <v>0.42504314003177879</v>
      </c>
      <c r="E247" s="278">
        <f t="shared" si="49"/>
        <v>0.42658265712226229</v>
      </c>
      <c r="F247" s="278">
        <f t="shared" si="49"/>
        <v>0.42798930645125743</v>
      </c>
      <c r="G247" s="278">
        <f t="shared" si="49"/>
        <v>0.42976663505698282</v>
      </c>
      <c r="I247" s="279">
        <f t="shared" ref="I247:I256" si="50">AVERAGE(B247:G247)</f>
        <v>0.42587401377217615</v>
      </c>
    </row>
    <row r="248" spans="1:9" x14ac:dyDescent="0.25">
      <c r="A248" s="137" t="s">
        <v>267</v>
      </c>
      <c r="B248" s="278">
        <f>SUM(B130:B134)/SUM(B207:B217)</f>
        <v>0.2085816417413511</v>
      </c>
      <c r="C248" s="278">
        <f t="shared" ref="C248:G248" si="51">SUM(C130:C134)/SUM(C207:C217)</f>
        <v>0.21130860225882581</v>
      </c>
      <c r="D248" s="278">
        <f t="shared" si="51"/>
        <v>0.21283551729230268</v>
      </c>
      <c r="E248" s="278">
        <f t="shared" si="51"/>
        <v>0.21450491982070244</v>
      </c>
      <c r="F248" s="278">
        <f t="shared" si="51"/>
        <v>0.21611353105034795</v>
      </c>
      <c r="G248" s="278">
        <f t="shared" si="51"/>
        <v>0.21792001804913488</v>
      </c>
      <c r="I248" s="279">
        <f t="shared" si="50"/>
        <v>0.21354403836877747</v>
      </c>
    </row>
    <row r="249" spans="1:9" x14ac:dyDescent="0.25">
      <c r="A249" s="137" t="s">
        <v>129</v>
      </c>
      <c r="B249" s="278">
        <f t="shared" ref="B249" si="52">B158/SUM(B207:B217)</f>
        <v>2.4444858260022615E-3</v>
      </c>
      <c r="C249" s="278">
        <f t="shared" ref="C249:G249" si="53">C158/SUM(C207:C217)</f>
        <v>2.4001746569083538E-3</v>
      </c>
      <c r="D249" s="278">
        <f t="shared" si="53"/>
        <v>2.3610100493081628E-3</v>
      </c>
      <c r="E249" s="278">
        <f t="shared" si="53"/>
        <v>2.3245770398004598E-3</v>
      </c>
      <c r="F249" s="278">
        <f t="shared" si="53"/>
        <v>2.2870597850799604E-3</v>
      </c>
      <c r="G249" s="278">
        <f t="shared" si="53"/>
        <v>2.2522575160758718E-3</v>
      </c>
      <c r="I249" s="279">
        <f t="shared" si="50"/>
        <v>2.3449274788625118E-3</v>
      </c>
    </row>
    <row r="250" spans="1:9" x14ac:dyDescent="0.25">
      <c r="A250" s="137" t="s">
        <v>268</v>
      </c>
      <c r="B250" s="278">
        <f>(B142+B155+B156+B157+B164+B165)/SUM(B207:B217)</f>
        <v>7.0587182733989756E-2</v>
      </c>
      <c r="C250" s="278">
        <f t="shared" ref="C250:G250" si="54">(C142+C155+C156+C157+C164+C165)/SUM(C207:C217)</f>
        <v>6.9433306750641036E-2</v>
      </c>
      <c r="D250" s="278">
        <f t="shared" si="54"/>
        <v>6.8425549411374853E-2</v>
      </c>
      <c r="E250" s="278">
        <f t="shared" si="54"/>
        <v>6.7494551229324795E-2</v>
      </c>
      <c r="F250" s="278">
        <f t="shared" si="54"/>
        <v>6.652969620840897E-2</v>
      </c>
      <c r="G250" s="278">
        <f t="shared" si="54"/>
        <v>6.5641476763112258E-2</v>
      </c>
      <c r="I250" s="279">
        <f t="shared" si="50"/>
        <v>6.8018627182808614E-2</v>
      </c>
    </row>
    <row r="251" spans="1:9" x14ac:dyDescent="0.25">
      <c r="A251" s="137" t="s">
        <v>269</v>
      </c>
      <c r="B251" s="278">
        <f>(B154+B153+B137)/SUM(B207:B217)</f>
        <v>3.4973875918979484E-2</v>
      </c>
      <c r="C251" s="278">
        <f t="shared" ref="C251:G251" si="55">(C154+C153+C137)/SUM(C207:C217)</f>
        <v>3.0612688961296326E-2</v>
      </c>
      <c r="D251" s="278">
        <f t="shared" si="55"/>
        <v>3.0812623475363902E-2</v>
      </c>
      <c r="E251" s="278">
        <f t="shared" si="55"/>
        <v>3.038540318165284E-2</v>
      </c>
      <c r="F251" s="278">
        <f t="shared" si="55"/>
        <v>3.0575354335122654E-2</v>
      </c>
      <c r="G251" s="278">
        <f t="shared" si="55"/>
        <v>3.0110088095294533E-2</v>
      </c>
      <c r="I251" s="279">
        <f t="shared" si="50"/>
        <v>3.1245005661284953E-2</v>
      </c>
    </row>
    <row r="252" spans="1:9" x14ac:dyDescent="0.25">
      <c r="A252" s="137" t="s">
        <v>270</v>
      </c>
      <c r="B252" s="278">
        <f>(B174+B143+B144)/SUM(B207:B217)</f>
        <v>4.2514645436797453E-3</v>
      </c>
      <c r="C252" s="278">
        <f t="shared" ref="C252:G252" si="56">(C174+C143+C144)/SUM(C207:C217)</f>
        <v>4.3413742218091009E-3</v>
      </c>
      <c r="D252" s="278">
        <f t="shared" si="56"/>
        <v>4.4413556577793979E-3</v>
      </c>
      <c r="E252" s="278">
        <f t="shared" si="56"/>
        <v>4.5477334271891903E-3</v>
      </c>
      <c r="F252" s="278">
        <f t="shared" si="56"/>
        <v>4.653309216587769E-3</v>
      </c>
      <c r="G252" s="278">
        <f t="shared" si="56"/>
        <v>4.7657996328291227E-3</v>
      </c>
      <c r="I252" s="279">
        <f t="shared" si="50"/>
        <v>4.5001727833123882E-3</v>
      </c>
    </row>
    <row r="253" spans="1:9" x14ac:dyDescent="0.25">
      <c r="A253" s="137" t="s">
        <v>112</v>
      </c>
      <c r="B253" s="278">
        <f>(B141+B145+B146+B147+B148+B149)/SUM(B207:B217)</f>
        <v>2.6982716876065443E-2</v>
      </c>
      <c r="C253" s="278">
        <f t="shared" ref="C253:G253" si="57">(C141+C145+C146+C147+C148+C149)/SUM(C207:C217)</f>
        <v>2.7818972905579269E-2</v>
      </c>
      <c r="D253" s="278">
        <f t="shared" si="57"/>
        <v>2.7365039624285999E-2</v>
      </c>
      <c r="E253" s="278">
        <f t="shared" si="57"/>
        <v>2.6942766644506677E-2</v>
      </c>
      <c r="F253" s="278">
        <f t="shared" si="57"/>
        <v>2.6507926834179848E-2</v>
      </c>
      <c r="G253" s="278">
        <f t="shared" si="57"/>
        <v>2.6104554781362446E-2</v>
      </c>
      <c r="I253" s="279">
        <f t="shared" si="50"/>
        <v>2.6953662944329947E-2</v>
      </c>
    </row>
    <row r="254" spans="1:9" x14ac:dyDescent="0.25">
      <c r="A254" s="137" t="s">
        <v>271</v>
      </c>
      <c r="B254" s="278">
        <f>(B181)/SUM(B207:B217)</f>
        <v>4.8958271385812066E-3</v>
      </c>
      <c r="C254" s="278">
        <f t="shared" ref="C254:G254" si="58">(C181)/SUM(C207:C217)</f>
        <v>5.0955053629232359E-3</v>
      </c>
      <c r="D254" s="278">
        <f t="shared" si="58"/>
        <v>5.3131015668174556E-3</v>
      </c>
      <c r="E254" s="278">
        <f t="shared" si="58"/>
        <v>5.5449813739374097E-3</v>
      </c>
      <c r="F254" s="278">
        <f t="shared" si="58"/>
        <v>5.7828180842156816E-3</v>
      </c>
      <c r="G254" s="278">
        <f t="shared" si="58"/>
        <v>6.0365099828153454E-3</v>
      </c>
      <c r="I254" s="279">
        <f t="shared" si="50"/>
        <v>5.4447905848817217E-3</v>
      </c>
    </row>
    <row r="255" spans="1:9" x14ac:dyDescent="0.25">
      <c r="A255" s="137" t="s">
        <v>272</v>
      </c>
      <c r="B255" s="278">
        <f>(B205+B210+B211+B216+B217)/SUM(B207:B217)</f>
        <v>0.16967617712589517</v>
      </c>
      <c r="C255" s="278">
        <f t="shared" ref="C255:G255" si="59">(C205+C210+C211+C216+C217)/SUM(C207:C217)</f>
        <v>0.16906130462347585</v>
      </c>
      <c r="D255" s="278">
        <f t="shared" si="59"/>
        <v>0.16786089687404565</v>
      </c>
      <c r="E255" s="278">
        <f t="shared" si="59"/>
        <v>0.16669149229364078</v>
      </c>
      <c r="F255" s="278">
        <f t="shared" si="59"/>
        <v>0.16516986413876056</v>
      </c>
      <c r="G255" s="278">
        <f t="shared" si="59"/>
        <v>0.16353996499567214</v>
      </c>
      <c r="I255" s="279">
        <f t="shared" si="50"/>
        <v>0.1669999500085817</v>
      </c>
    </row>
    <row r="256" spans="1:9" x14ac:dyDescent="0.25">
      <c r="A256" s="137" t="s">
        <v>4</v>
      </c>
      <c r="B256" s="278">
        <f t="shared" ref="B256" si="60">(B183)/SUM(B207:B217)</f>
        <v>2.2306409857732596E-2</v>
      </c>
      <c r="C256" s="278">
        <f t="shared" ref="C256:G256" si="61">(C183)/SUM(C207:C217)</f>
        <v>2.234325812838666E-2</v>
      </c>
      <c r="D256" s="278">
        <f t="shared" si="61"/>
        <v>2.1978674270045618E-2</v>
      </c>
      <c r="E256" s="278">
        <f t="shared" si="61"/>
        <v>2.1639518895047564E-2</v>
      </c>
      <c r="F256" s="278">
        <f t="shared" si="61"/>
        <v>2.1290270266796356E-2</v>
      </c>
      <c r="G256" s="278">
        <f t="shared" si="61"/>
        <v>2.0966295477056047E-2</v>
      </c>
      <c r="I256" s="279">
        <f t="shared" si="50"/>
        <v>2.1754071149177476E-2</v>
      </c>
    </row>
    <row r="257" spans="1:9" x14ac:dyDescent="0.25">
      <c r="A257" s="137" t="s">
        <v>273</v>
      </c>
      <c r="B257" s="278">
        <f>(B150)/SUM(B207:B217)</f>
        <v>0</v>
      </c>
      <c r="C257" s="278">
        <f t="shared" ref="C257:G257" si="62">(C150)/SUM(C207:C217)</f>
        <v>0</v>
      </c>
      <c r="D257" s="278">
        <f t="shared" si="62"/>
        <v>0</v>
      </c>
      <c r="E257" s="278">
        <f t="shared" si="62"/>
        <v>0</v>
      </c>
      <c r="F257" s="278">
        <f t="shared" si="62"/>
        <v>0</v>
      </c>
      <c r="G257" s="278">
        <f t="shared" si="62"/>
        <v>0</v>
      </c>
      <c r="I257" s="279">
        <f>AVERAGE(B257:G257)</f>
        <v>0</v>
      </c>
    </row>
    <row r="258" spans="1:9" x14ac:dyDescent="0.25">
      <c r="A258" s="137" t="s">
        <v>274</v>
      </c>
      <c r="B258" s="278">
        <f>B185/SUM(B207:B217)</f>
        <v>2.9228818737798246E-4</v>
      </c>
      <c r="C258" s="278">
        <f t="shared" ref="C258:G258" si="63">C185/SUM(C207:C217)</f>
        <v>2.7394488779444449E-4</v>
      </c>
      <c r="D258" s="278">
        <f t="shared" si="63"/>
        <v>2.6947481975015991E-4</v>
      </c>
      <c r="E258" s="278">
        <f t="shared" si="63"/>
        <v>2.6531652373912805E-4</v>
      </c>
      <c r="F258" s="278">
        <f t="shared" si="63"/>
        <v>2.610344769700811E-4</v>
      </c>
      <c r="G258" s="278">
        <f t="shared" si="63"/>
        <v>2.5706230617414508E-4</v>
      </c>
      <c r="I258" s="279">
        <f>AVERAGE(B258:G258)</f>
        <v>2.6985353363432354E-4</v>
      </c>
    </row>
    <row r="259" spans="1:9" x14ac:dyDescent="0.25">
      <c r="A259" s="137" t="s">
        <v>275</v>
      </c>
      <c r="B259" s="278">
        <f>(B159+B160)/SUM(B207:B217)</f>
        <v>2.2253759720823663E-3</v>
      </c>
      <c r="C259" s="278">
        <f t="shared" ref="C259:G259" si="64">(C159+C160)/SUM(C207:C217)</f>
        <v>2.3278792965199342E-3</v>
      </c>
      <c r="D259" s="278">
        <f t="shared" si="64"/>
        <v>2.3354933503046773E-3</v>
      </c>
      <c r="E259" s="278">
        <f t="shared" si="64"/>
        <v>2.3456962982606956E-3</v>
      </c>
      <c r="F259" s="278">
        <f t="shared" si="64"/>
        <v>2.3546989536054872E-3</v>
      </c>
      <c r="G259" s="278">
        <f t="shared" si="64"/>
        <v>2.3663995275526695E-3</v>
      </c>
      <c r="I259" s="279">
        <f>AVERAGE(B259:G259)</f>
        <v>2.3259238997209715E-3</v>
      </c>
    </row>
    <row r="260" spans="1:9" x14ac:dyDescent="0.25">
      <c r="A260" s="137" t="s">
        <v>276</v>
      </c>
      <c r="B260" s="278">
        <f>(B161+B162+B169+B170+B171+B173+B175)/SUM(B207:B217)</f>
        <v>1.0305284337345722E-2</v>
      </c>
      <c r="C260" s="278">
        <f t="shared" ref="C260:G260" si="65">(C161+C162+C169+C170+C171+C173+C175)/SUM(C207:C217)</f>
        <v>1.0670594300413016E-2</v>
      </c>
      <c r="D260" s="278">
        <f t="shared" si="65"/>
        <v>1.0589047868494952E-2</v>
      </c>
      <c r="E260" s="278">
        <f t="shared" si="65"/>
        <v>1.051952278945425E-2</v>
      </c>
      <c r="F260" s="278">
        <f t="shared" si="65"/>
        <v>1.0444875533478224E-2</v>
      </c>
      <c r="G260" s="278">
        <f t="shared" si="65"/>
        <v>1.0382429813615333E-2</v>
      </c>
      <c r="I260" s="279">
        <f>AVERAGE(B260:G260)</f>
        <v>1.0485292440466915E-2</v>
      </c>
    </row>
    <row r="261" spans="1:9" x14ac:dyDescent="0.25">
      <c r="A261" s="137" t="s">
        <v>153</v>
      </c>
      <c r="B261" s="278">
        <f>(B163+B172+B184+B186+B187+B189+B191+B136+B190)/SUM(B207:B217)</f>
        <v>1.628876730373886E-2</v>
      </c>
      <c r="C261" s="278">
        <f t="shared" ref="C261:G261" si="66">(C163+C172+C184+C186+C187+C189+C191+C136+C190)/SUM(C207:C217)</f>
        <v>1.6531292216354722E-2</v>
      </c>
      <c r="D261" s="278">
        <f t="shared" si="66"/>
        <v>1.6418061565439453E-2</v>
      </c>
      <c r="E261" s="278">
        <f t="shared" si="66"/>
        <v>1.632081775765867E-2</v>
      </c>
      <c r="F261" s="278">
        <f t="shared" si="66"/>
        <v>1.6212992024279942E-2</v>
      </c>
      <c r="G261" s="278">
        <f t="shared" si="66"/>
        <v>1.6121484951321489E-2</v>
      </c>
      <c r="I261" s="279">
        <f>AVERAGE(B261:G261)</f>
        <v>1.6315569303132188E-2</v>
      </c>
    </row>
    <row r="263" spans="1:9" x14ac:dyDescent="0.25">
      <c r="B263" s="279">
        <f>SUM(B247:B262)</f>
        <v>0.99590929395937811</v>
      </c>
      <c r="C263" s="279">
        <f>SUM(C247:C262)</f>
        <v>0.99598344614514722</v>
      </c>
      <c r="D263" s="279">
        <f>SUM(D247:D262)</f>
        <v>0.99604898585709178</v>
      </c>
      <c r="E263" s="279">
        <f t="shared" ref="E263:G263" si="67">SUM(E247:E262)</f>
        <v>0.9961099543971772</v>
      </c>
      <c r="F263" s="279">
        <f t="shared" si="67"/>
        <v>0.99617273735909084</v>
      </c>
      <c r="G263" s="279">
        <f t="shared" si="67"/>
        <v>0.9962309769489992</v>
      </c>
      <c r="I263" s="279">
        <f t="shared" ref="I263" si="68">SUM(I247:I262)</f>
        <v>0.99607589911114724</v>
      </c>
    </row>
    <row r="266" spans="1:9" x14ac:dyDescent="0.25">
      <c r="B266" s="155"/>
    </row>
  </sheetData>
  <pageMargins left="0.7" right="0.7" top="0.75" bottom="0.75" header="0.3" footer="0.3"/>
  <pageSetup scale="59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266"/>
  <sheetViews>
    <sheetView topLeftCell="A173" zoomScale="75" zoomScaleNormal="75" workbookViewId="0">
      <pane xSplit="1" topLeftCell="B1" activePane="topRight" state="frozen"/>
      <selection pane="topRight" activeCell="D51" sqref="D51:G51"/>
    </sheetView>
  </sheetViews>
  <sheetFormatPr defaultRowHeight="15" x14ac:dyDescent="0.25"/>
  <cols>
    <col min="1" max="1" width="50.140625" bestFit="1" customWidth="1"/>
    <col min="2" max="2" width="16.42578125" customWidth="1"/>
    <col min="3" max="3" width="14.85546875" customWidth="1"/>
    <col min="4" max="4" width="16.42578125" customWidth="1"/>
    <col min="5" max="7" width="14.85546875" customWidth="1"/>
    <col min="10" max="10" width="9.5703125" customWidth="1"/>
  </cols>
  <sheetData>
    <row r="1" spans="1:14" x14ac:dyDescent="0.25">
      <c r="A1" s="1" t="s">
        <v>302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25">
      <c r="A2" s="6" t="s">
        <v>7</v>
      </c>
      <c r="B2" s="7">
        <f>'FY23'!AD2</f>
        <v>7293</v>
      </c>
      <c r="C2" s="7">
        <f>'FY24'!AD2</f>
        <v>7387.8089999999993</v>
      </c>
      <c r="D2" s="7">
        <f>'FY25'!AD2</f>
        <v>7483.8505169999989</v>
      </c>
      <c r="E2" s="7">
        <f>'FY26'!AD2</f>
        <v>7581.140573720998</v>
      </c>
      <c r="F2" s="7">
        <f>'FY27'!AD2</f>
        <v>7679.6954011793705</v>
      </c>
      <c r="G2" s="7">
        <f>'FY28'!AD2</f>
        <v>7779.5314413947017</v>
      </c>
      <c r="J2" s="157">
        <f>(C2-B2)/B2</f>
        <v>1.2999999999999902E-2</v>
      </c>
      <c r="K2" s="157">
        <f t="shared" ref="K2:N2" si="0">(D2-C2)/C2</f>
        <v>1.2999999999999954E-2</v>
      </c>
      <c r="L2" s="157">
        <f t="shared" si="0"/>
        <v>1.2999999999999871E-2</v>
      </c>
      <c r="M2" s="157">
        <f t="shared" si="0"/>
        <v>1.2999999999999942E-2</v>
      </c>
      <c r="N2" s="157">
        <f t="shared" si="0"/>
        <v>1.299999999999992E-2</v>
      </c>
    </row>
    <row r="3" spans="1:14" hidden="1" x14ac:dyDescent="0.25">
      <c r="A3" s="8"/>
      <c r="B3" s="7">
        <f>'FY23'!AV3</f>
        <v>0</v>
      </c>
      <c r="C3" s="7">
        <f>'FY24'!BB3</f>
        <v>0</v>
      </c>
      <c r="D3" s="7">
        <f>'FY25'!BB3</f>
        <v>0</v>
      </c>
      <c r="E3" s="7">
        <f>'FY26'!BB3</f>
        <v>0</v>
      </c>
      <c r="F3" s="7">
        <f>'FY27'!BB3</f>
        <v>0</v>
      </c>
      <c r="G3" s="7">
        <f>'FY27'!BC3</f>
        <v>0</v>
      </c>
    </row>
    <row r="4" spans="1:14" hidden="1" x14ac:dyDescent="0.25">
      <c r="A4" s="8"/>
      <c r="B4" s="7">
        <f>'FY23'!AV4</f>
        <v>0</v>
      </c>
      <c r="C4" s="7">
        <f>'FY24'!BB4</f>
        <v>0</v>
      </c>
      <c r="D4" s="7">
        <f>'FY25'!BB4</f>
        <v>0</v>
      </c>
      <c r="E4" s="7">
        <f>'FY26'!BB4</f>
        <v>0</v>
      </c>
      <c r="F4" s="7">
        <f>'FY27'!BB4</f>
        <v>0</v>
      </c>
      <c r="G4" s="7">
        <f>'FY27'!BC4</f>
        <v>0</v>
      </c>
    </row>
    <row r="5" spans="1:14" x14ac:dyDescent="0.25">
      <c r="A5" s="8" t="s">
        <v>8</v>
      </c>
      <c r="B5" s="9">
        <f>B6+B7+B8+B9+B10+B11+B12+B13+B14+B15+B16+B17+B18</f>
        <v>2090</v>
      </c>
      <c r="C5" s="9">
        <f t="shared" ref="C5:G5" si="1">C6+C7+C8+C9+C10+C11+C12+C13+C14+C15+C16+C17+C18</f>
        <v>2254</v>
      </c>
      <c r="D5" s="9">
        <f t="shared" si="1"/>
        <v>2375</v>
      </c>
      <c r="E5" s="9">
        <f t="shared" si="1"/>
        <v>2435</v>
      </c>
      <c r="F5" s="9">
        <f t="shared" si="1"/>
        <v>2429</v>
      </c>
      <c r="G5" s="9">
        <f t="shared" si="1"/>
        <v>2428</v>
      </c>
    </row>
    <row r="6" spans="1:14" x14ac:dyDescent="0.25">
      <c r="A6" s="10" t="s">
        <v>9</v>
      </c>
      <c r="B6" s="11">
        <f>'FY23'!AD6</f>
        <v>125</v>
      </c>
      <c r="C6" s="11">
        <f>'FY24'!AD6</f>
        <v>125</v>
      </c>
      <c r="D6" s="11">
        <f>'FY25'!AD6</f>
        <v>125</v>
      </c>
      <c r="E6" s="11">
        <f>'FY26'!AD6</f>
        <v>125</v>
      </c>
      <c r="F6" s="94">
        <f>'FY27'!AD6</f>
        <v>125</v>
      </c>
      <c r="G6" s="94">
        <f>'FY28'!AD6</f>
        <v>125</v>
      </c>
      <c r="I6" s="155">
        <f>'FY23'!AE6</f>
        <v>5</v>
      </c>
      <c r="J6" s="327">
        <f>'FY24'!AE6</f>
        <v>5</v>
      </c>
      <c r="K6" s="327">
        <f>'FY25'!AE6</f>
        <v>5</v>
      </c>
      <c r="L6" s="327">
        <f>'FY26'!AE6</f>
        <v>5</v>
      </c>
      <c r="M6" s="327">
        <f>'FY27'!AE6</f>
        <v>5</v>
      </c>
      <c r="N6" s="327">
        <f>'FY28'!AE6</f>
        <v>5</v>
      </c>
    </row>
    <row r="7" spans="1:14" x14ac:dyDescent="0.25">
      <c r="A7" s="12" t="s">
        <v>10</v>
      </c>
      <c r="B7" s="11">
        <f>'FY23'!AD7</f>
        <v>125</v>
      </c>
      <c r="C7" s="11">
        <f>'FY24'!AD7</f>
        <v>125</v>
      </c>
      <c r="D7" s="11">
        <f>'FY25'!AD7</f>
        <v>125</v>
      </c>
      <c r="E7" s="11">
        <f>'FY26'!AD7</f>
        <v>125</v>
      </c>
      <c r="F7" s="94">
        <f>'FY27'!AD7</f>
        <v>125</v>
      </c>
      <c r="G7" s="94">
        <f>'FY28'!AD7</f>
        <v>125</v>
      </c>
      <c r="I7" s="155">
        <f>'FY23'!AE7</f>
        <v>5</v>
      </c>
      <c r="J7" s="327">
        <f>'FY24'!AE7</f>
        <v>5</v>
      </c>
      <c r="K7" s="327">
        <f>'FY25'!AE7</f>
        <v>5</v>
      </c>
      <c r="L7" s="327">
        <f>'FY26'!AE7</f>
        <v>5</v>
      </c>
      <c r="M7" s="327">
        <f>'FY27'!AE7</f>
        <v>5</v>
      </c>
      <c r="N7" s="327">
        <f>'FY28'!AE7</f>
        <v>5</v>
      </c>
    </row>
    <row r="8" spans="1:14" x14ac:dyDescent="0.25">
      <c r="A8" s="12" t="s">
        <v>11</v>
      </c>
      <c r="B8" s="11">
        <f>'FY23'!AD8</f>
        <v>130</v>
      </c>
      <c r="C8" s="11">
        <f>'FY24'!AD8</f>
        <v>130</v>
      </c>
      <c r="D8" s="11">
        <f>'FY25'!AD8</f>
        <v>130</v>
      </c>
      <c r="E8" s="11">
        <f>'FY26'!AD8</f>
        <v>130</v>
      </c>
      <c r="F8" s="94">
        <f>'FY27'!AD8</f>
        <v>130</v>
      </c>
      <c r="G8" s="94">
        <f>'FY28'!AD8</f>
        <v>130</v>
      </c>
      <c r="I8" s="155">
        <f>'FY23'!AE8</f>
        <v>5</v>
      </c>
      <c r="J8" s="327">
        <f>'FY24'!AE8</f>
        <v>5</v>
      </c>
      <c r="K8" s="327">
        <f>'FY25'!AE8</f>
        <v>5</v>
      </c>
      <c r="L8" s="327">
        <f>'FY26'!AE8</f>
        <v>5</v>
      </c>
      <c r="M8" s="327">
        <f>'FY27'!AE8</f>
        <v>5</v>
      </c>
      <c r="N8" s="327">
        <f>'FY28'!AE8</f>
        <v>5</v>
      </c>
    </row>
    <row r="9" spans="1:14" x14ac:dyDescent="0.25">
      <c r="A9" s="13" t="s">
        <v>12</v>
      </c>
      <c r="B9" s="11">
        <f>'FY23'!AD9</f>
        <v>156</v>
      </c>
      <c r="C9" s="11">
        <f>'FY24'!AD9</f>
        <v>130</v>
      </c>
      <c r="D9" s="11">
        <f>'FY25'!AD9</f>
        <v>130</v>
      </c>
      <c r="E9" s="11">
        <f>'FY26'!AD9</f>
        <v>130</v>
      </c>
      <c r="F9" s="94">
        <f>'FY27'!AD9</f>
        <v>130</v>
      </c>
      <c r="G9" s="94">
        <f>'FY28'!AD9</f>
        <v>130</v>
      </c>
      <c r="I9" s="155">
        <f>'FY23'!AE9</f>
        <v>6</v>
      </c>
      <c r="J9" s="327">
        <f>'FY24'!AE9</f>
        <v>5</v>
      </c>
      <c r="K9" s="327">
        <f>'FY25'!AE9</f>
        <v>5</v>
      </c>
      <c r="L9" s="327">
        <f>'FY26'!AE9</f>
        <v>5</v>
      </c>
      <c r="M9" s="327">
        <f>'FY27'!AE9</f>
        <v>5</v>
      </c>
      <c r="N9" s="327">
        <f>'FY28'!AE9</f>
        <v>5</v>
      </c>
    </row>
    <row r="10" spans="1:14" x14ac:dyDescent="0.25">
      <c r="A10" s="13" t="s">
        <v>13</v>
      </c>
      <c r="B10" s="11">
        <f>'FY23'!AD10</f>
        <v>135</v>
      </c>
      <c r="C10" s="11">
        <f>'FY24'!AD10</f>
        <v>135</v>
      </c>
      <c r="D10" s="11">
        <f>'FY25'!AD10</f>
        <v>135</v>
      </c>
      <c r="E10" s="11">
        <f>'FY26'!AD10</f>
        <v>135</v>
      </c>
      <c r="F10" s="94">
        <f>'FY27'!AD10</f>
        <v>135</v>
      </c>
      <c r="G10" s="94">
        <f>'FY28'!AD10</f>
        <v>135</v>
      </c>
      <c r="I10" s="155">
        <f>'FY23'!AE10</f>
        <v>5</v>
      </c>
      <c r="J10" s="327">
        <f>'FY24'!AE10</f>
        <v>5</v>
      </c>
      <c r="K10" s="327">
        <f>'FY25'!AE10</f>
        <v>5</v>
      </c>
      <c r="L10" s="327">
        <f>'FY26'!AE10</f>
        <v>5</v>
      </c>
      <c r="M10" s="327">
        <f>'FY27'!AE10</f>
        <v>5</v>
      </c>
      <c r="N10" s="327">
        <f>'FY28'!AE10</f>
        <v>5</v>
      </c>
    </row>
    <row r="11" spans="1:14" x14ac:dyDescent="0.25">
      <c r="A11" s="13" t="s">
        <v>14</v>
      </c>
      <c r="B11" s="11">
        <f>'FY23'!AD11</f>
        <v>135</v>
      </c>
      <c r="C11" s="11">
        <f>'FY24'!AD11</f>
        <v>135</v>
      </c>
      <c r="D11" s="11">
        <f>'FY25'!AD11</f>
        <v>135</v>
      </c>
      <c r="E11" s="11">
        <f>'FY26'!AD11</f>
        <v>135</v>
      </c>
      <c r="F11" s="94">
        <f>'FY27'!AD11</f>
        <v>135</v>
      </c>
      <c r="G11" s="94">
        <f>'FY28'!AD11</f>
        <v>135</v>
      </c>
      <c r="I11" s="155">
        <f>'FY23'!AE11</f>
        <v>5</v>
      </c>
      <c r="J11" s="327">
        <f>'FY24'!AE11</f>
        <v>5</v>
      </c>
      <c r="K11" s="327">
        <f>'FY25'!AE11</f>
        <v>5</v>
      </c>
      <c r="L11" s="327">
        <f>'FY26'!AE11</f>
        <v>5</v>
      </c>
      <c r="M11" s="327">
        <f>'FY27'!AE11</f>
        <v>5</v>
      </c>
      <c r="N11" s="327">
        <f>'FY28'!AE11</f>
        <v>5</v>
      </c>
    </row>
    <row r="12" spans="1:14" x14ac:dyDescent="0.25">
      <c r="A12" s="13" t="s">
        <v>15</v>
      </c>
      <c r="B12" s="11">
        <f>'FY23'!AD12</f>
        <v>252</v>
      </c>
      <c r="C12" s="11">
        <f>'FY24'!AD12</f>
        <v>217</v>
      </c>
      <c r="D12" s="11">
        <f>'FY25'!AD12</f>
        <v>217</v>
      </c>
      <c r="E12" s="11">
        <f>'FY26'!AD12</f>
        <v>217</v>
      </c>
      <c r="F12" s="94">
        <f>'FY27'!AD12</f>
        <v>186</v>
      </c>
      <c r="G12" s="94">
        <f>'FY28'!AD12</f>
        <v>186</v>
      </c>
      <c r="I12" s="155">
        <f>'FY23'!AE12</f>
        <v>8</v>
      </c>
      <c r="J12" s="327">
        <f>'FY24'!AE12</f>
        <v>7</v>
      </c>
      <c r="K12" s="327">
        <f>'FY25'!AE12</f>
        <v>7</v>
      </c>
      <c r="L12" s="327">
        <f>'FY26'!AE12</f>
        <v>7</v>
      </c>
      <c r="M12" s="327">
        <f>'FY27'!AE12</f>
        <v>6</v>
      </c>
      <c r="N12" s="327">
        <f>'FY28'!AE12</f>
        <v>6</v>
      </c>
    </row>
    <row r="13" spans="1:14" x14ac:dyDescent="0.25">
      <c r="A13" s="13" t="s">
        <v>16</v>
      </c>
      <c r="B13" s="11">
        <f>'FY23'!AD13</f>
        <v>220</v>
      </c>
      <c r="C13" s="11">
        <f>'FY24'!AD13</f>
        <v>217</v>
      </c>
      <c r="D13" s="11">
        <f>'FY25'!AD13</f>
        <v>217</v>
      </c>
      <c r="E13" s="11">
        <f>'FY26'!AD13</f>
        <v>217</v>
      </c>
      <c r="F13" s="94">
        <f>'FY27'!AD13</f>
        <v>217</v>
      </c>
      <c r="G13" s="94">
        <f>'FY28'!AD13</f>
        <v>186</v>
      </c>
      <c r="I13" s="155">
        <f>'FY23'!AE13</f>
        <v>7</v>
      </c>
      <c r="J13" s="327">
        <f>'FY24'!AE13</f>
        <v>7</v>
      </c>
      <c r="K13" s="327">
        <f>'FY25'!AE13</f>
        <v>7</v>
      </c>
      <c r="L13" s="327">
        <f>'FY26'!AE13</f>
        <v>7</v>
      </c>
      <c r="M13" s="327">
        <f>'FY27'!AE13</f>
        <v>7</v>
      </c>
      <c r="N13" s="327">
        <f>'FY28'!AE13</f>
        <v>6</v>
      </c>
    </row>
    <row r="14" spans="1:14" x14ac:dyDescent="0.25">
      <c r="A14" s="13" t="s">
        <v>17</v>
      </c>
      <c r="B14" s="11">
        <f>'FY23'!AD14</f>
        <v>155</v>
      </c>
      <c r="C14" s="11">
        <f>'FY24'!AD14</f>
        <v>217</v>
      </c>
      <c r="D14" s="11">
        <f>'FY25'!AD14</f>
        <v>217</v>
      </c>
      <c r="E14" s="11">
        <f>'FY26'!AD14</f>
        <v>217</v>
      </c>
      <c r="F14" s="94">
        <f>'FY27'!AD14</f>
        <v>217</v>
      </c>
      <c r="G14" s="94">
        <f>'FY28'!AD14</f>
        <v>217</v>
      </c>
      <c r="I14" s="155">
        <f>'FY23'!AE14</f>
        <v>5</v>
      </c>
      <c r="J14" s="327">
        <f>'FY24'!AE14</f>
        <v>7</v>
      </c>
      <c r="K14" s="327">
        <f>'FY25'!AE14</f>
        <v>7</v>
      </c>
      <c r="L14" s="327">
        <f>'FY26'!AE14</f>
        <v>7</v>
      </c>
      <c r="M14" s="327">
        <f>'FY27'!AE14</f>
        <v>7</v>
      </c>
      <c r="N14" s="327">
        <f>'FY28'!AE14</f>
        <v>7</v>
      </c>
    </row>
    <row r="15" spans="1:14" x14ac:dyDescent="0.25">
      <c r="A15" s="13" t="s">
        <v>18</v>
      </c>
      <c r="B15" s="11">
        <f>'FY23'!AD15</f>
        <v>250</v>
      </c>
      <c r="C15" s="11">
        <f>'FY24'!AD15</f>
        <v>248</v>
      </c>
      <c r="D15" s="11">
        <f>'FY25'!AD15</f>
        <v>279</v>
      </c>
      <c r="E15" s="11">
        <f>'FY26'!AD15</f>
        <v>279</v>
      </c>
      <c r="F15" s="94">
        <f>'FY27'!AD15</f>
        <v>279</v>
      </c>
      <c r="G15" s="94">
        <f>'FY28'!AD15</f>
        <v>279</v>
      </c>
      <c r="I15" s="155">
        <f>'FY23'!AE15</f>
        <v>8</v>
      </c>
      <c r="J15" s="327">
        <f>'FY24'!AE15</f>
        <v>8</v>
      </c>
      <c r="K15" s="327">
        <f>'FY25'!AE15</f>
        <v>9</v>
      </c>
      <c r="L15" s="327">
        <f>'FY26'!AE15</f>
        <v>9</v>
      </c>
      <c r="M15" s="327">
        <f>'FY27'!AE15</f>
        <v>9</v>
      </c>
      <c r="N15" s="327">
        <f>'FY28'!AE15</f>
        <v>9</v>
      </c>
    </row>
    <row r="16" spans="1:14" x14ac:dyDescent="0.25">
      <c r="A16" s="13" t="s">
        <v>19</v>
      </c>
      <c r="B16" s="11">
        <f>'FY23'!AD16</f>
        <v>173</v>
      </c>
      <c r="C16" s="11">
        <f>'FY24'!AD16</f>
        <v>240</v>
      </c>
      <c r="D16" s="11">
        <f>'FY25'!AD16</f>
        <v>240</v>
      </c>
      <c r="E16" s="11">
        <f>'FY26'!AD16</f>
        <v>270</v>
      </c>
      <c r="F16" s="94">
        <f>'FY27'!AD16</f>
        <v>270</v>
      </c>
      <c r="G16" s="94">
        <f>'FY28'!AD16</f>
        <v>270</v>
      </c>
      <c r="I16" s="155">
        <f>'FY23'!AE16</f>
        <v>6</v>
      </c>
      <c r="J16" s="327">
        <f>'FY24'!AE16</f>
        <v>8</v>
      </c>
      <c r="K16" s="327">
        <f>'FY25'!AE16</f>
        <v>8</v>
      </c>
      <c r="L16" s="327">
        <f>'FY26'!AE16</f>
        <v>9</v>
      </c>
      <c r="M16" s="327">
        <f>'FY27'!AE16</f>
        <v>9</v>
      </c>
      <c r="N16" s="327">
        <f>'FY28'!AE16</f>
        <v>9</v>
      </c>
    </row>
    <row r="17" spans="1:14" x14ac:dyDescent="0.25">
      <c r="A17" s="13" t="s">
        <v>20</v>
      </c>
      <c r="B17" s="11">
        <f>'FY23'!AD17</f>
        <v>139</v>
      </c>
      <c r="C17" s="11">
        <f>'FY24'!AD17</f>
        <v>200</v>
      </c>
      <c r="D17" s="11">
        <f>'FY25'!AD17</f>
        <v>235</v>
      </c>
      <c r="E17" s="11">
        <f>'FY26'!AD17</f>
        <v>235</v>
      </c>
      <c r="F17" s="94">
        <f>'FY27'!AD17</f>
        <v>260</v>
      </c>
      <c r="G17" s="94">
        <f>'FY28'!AD17</f>
        <v>260</v>
      </c>
      <c r="I17" s="155">
        <f>'FY23'!AE17</f>
        <v>5</v>
      </c>
      <c r="J17" s="327">
        <f>'FY24'!AE17</f>
        <v>7</v>
      </c>
      <c r="K17" s="327">
        <f>'FY25'!AE17</f>
        <v>8</v>
      </c>
      <c r="L17" s="327">
        <f>'FY26'!AE17</f>
        <v>8</v>
      </c>
      <c r="M17" s="327">
        <f>'FY27'!AE17</f>
        <v>9</v>
      </c>
      <c r="N17" s="327">
        <f>'FY28'!AE17</f>
        <v>9</v>
      </c>
    </row>
    <row r="18" spans="1:14" x14ac:dyDescent="0.25">
      <c r="A18" s="13" t="s">
        <v>21</v>
      </c>
      <c r="B18" s="11">
        <f>'FY23'!AD18</f>
        <v>95</v>
      </c>
      <c r="C18" s="11">
        <f>'FY24'!AD18</f>
        <v>135</v>
      </c>
      <c r="D18" s="11">
        <f>'FY25'!AD18</f>
        <v>190</v>
      </c>
      <c r="E18" s="11">
        <f>'FY26'!AD18</f>
        <v>220</v>
      </c>
      <c r="F18" s="94">
        <f>'FY27'!AD18</f>
        <v>220</v>
      </c>
      <c r="G18" s="94">
        <f>'FY28'!AD18</f>
        <v>250</v>
      </c>
      <c r="I18" s="155">
        <f>'FY23'!AE18</f>
        <v>3</v>
      </c>
      <c r="J18" s="327">
        <f>'FY24'!AE18</f>
        <v>5</v>
      </c>
      <c r="K18" s="327">
        <f>'FY25'!AE18</f>
        <v>7</v>
      </c>
      <c r="L18" s="327">
        <f>'FY26'!AE18</f>
        <v>8</v>
      </c>
      <c r="M18" s="327">
        <f>'FY27'!AE18</f>
        <v>8</v>
      </c>
      <c r="N18" s="327">
        <f>'FY28'!AE18</f>
        <v>9</v>
      </c>
    </row>
    <row r="19" spans="1:14" x14ac:dyDescent="0.25">
      <c r="A19" s="13" t="s">
        <v>8</v>
      </c>
      <c r="B19" s="9">
        <f>SUM(B6:B18)</f>
        <v>2090</v>
      </c>
      <c r="C19" s="9">
        <f t="shared" ref="C19:G19" si="2">SUM(C6:C18)</f>
        <v>2254</v>
      </c>
      <c r="D19" s="9">
        <f t="shared" si="2"/>
        <v>2375</v>
      </c>
      <c r="E19" s="9">
        <f t="shared" si="2"/>
        <v>2435</v>
      </c>
      <c r="F19" s="9">
        <f t="shared" si="2"/>
        <v>2429</v>
      </c>
      <c r="G19" s="9">
        <f t="shared" si="2"/>
        <v>2428</v>
      </c>
      <c r="I19" s="155">
        <f>SUM(I6:I18)</f>
        <v>73</v>
      </c>
      <c r="J19" s="155">
        <f>SUM(J6:J18)</f>
        <v>79</v>
      </c>
      <c r="K19" s="155">
        <f>SUM(K6:K18)</f>
        <v>83</v>
      </c>
      <c r="L19" s="155">
        <f t="shared" ref="L19:N19" si="3">SUM(L6:L18)</f>
        <v>85</v>
      </c>
      <c r="M19" s="155">
        <f t="shared" si="3"/>
        <v>85</v>
      </c>
      <c r="N19" s="155">
        <f t="shared" si="3"/>
        <v>85</v>
      </c>
    </row>
    <row r="20" spans="1:14" x14ac:dyDescent="0.25">
      <c r="A20" s="16"/>
      <c r="B20" s="7"/>
      <c r="C20" s="7"/>
      <c r="D20" s="7"/>
      <c r="E20" s="7"/>
      <c r="F20" s="7"/>
      <c r="G20" s="7"/>
    </row>
    <row r="21" spans="1:14" x14ac:dyDescent="0.25">
      <c r="A21" s="17" t="s">
        <v>22</v>
      </c>
      <c r="B21" s="18"/>
      <c r="C21" s="18"/>
      <c r="D21" s="18"/>
      <c r="E21" s="18"/>
      <c r="F21" s="18"/>
      <c r="G21" s="18"/>
    </row>
    <row r="22" spans="1:14" x14ac:dyDescent="0.25">
      <c r="A22" s="140" t="s">
        <v>23</v>
      </c>
      <c r="B22" s="11">
        <f>'FY23'!AD22</f>
        <v>171</v>
      </c>
      <c r="C22" s="11">
        <f>'FY24'!AD22</f>
        <v>184.41818181818181</v>
      </c>
      <c r="D22" s="11">
        <f>'FY25'!AD22</f>
        <v>194.31818181818181</v>
      </c>
      <c r="E22" s="11">
        <f>'FY26'!AD22</f>
        <v>199.22727272727272</v>
      </c>
      <c r="F22" s="94">
        <f>'FY27'!AD22</f>
        <v>198.73636363636365</v>
      </c>
      <c r="G22" s="94">
        <f>'FY28'!AD22</f>
        <v>198.65454545454546</v>
      </c>
      <c r="J22" s="278">
        <f>C22/C19</f>
        <v>8.1818181818181818E-2</v>
      </c>
    </row>
    <row r="23" spans="1:14" x14ac:dyDescent="0.25">
      <c r="A23" s="140" t="s">
        <v>24</v>
      </c>
      <c r="B23" s="11">
        <f>'FY23'!AD23</f>
        <v>23</v>
      </c>
      <c r="C23" s="11">
        <f>'FY24'!AD23</f>
        <v>24.804784688995216</v>
      </c>
      <c r="D23" s="11">
        <f>'FY25'!AD23</f>
        <v>26.136363636363637</v>
      </c>
      <c r="E23" s="11">
        <f>'FY26'!AD23</f>
        <v>26.796650717703351</v>
      </c>
      <c r="F23" s="94">
        <f>'FY27'!AD23</f>
        <v>26.730622009569377</v>
      </c>
      <c r="G23" s="94">
        <f>'FY28'!AD23</f>
        <v>26.719617224880384</v>
      </c>
      <c r="J23" s="278">
        <f>C23/C19</f>
        <v>1.1004784688995215E-2</v>
      </c>
    </row>
    <row r="24" spans="1:14" x14ac:dyDescent="0.25">
      <c r="A24" s="140" t="s">
        <v>25</v>
      </c>
      <c r="B24" s="11">
        <f>'FY23'!AD24</f>
        <v>64</v>
      </c>
      <c r="C24" s="11">
        <f>'FY24'!AD24</f>
        <v>69.022009569377985</v>
      </c>
      <c r="D24" s="11">
        <f>'FY25'!AD24</f>
        <v>72.72727272727272</v>
      </c>
      <c r="E24" s="11">
        <f>'FY26'!AD24</f>
        <v>74.564593301435394</v>
      </c>
      <c r="F24" s="94">
        <f>'FY27'!AD24</f>
        <v>74.38086124401913</v>
      </c>
      <c r="G24" s="94">
        <f>'FY28'!AD24</f>
        <v>74.350239234449759</v>
      </c>
    </row>
    <row r="25" spans="1:14" x14ac:dyDescent="0.25">
      <c r="A25" s="140" t="s">
        <v>26</v>
      </c>
      <c r="B25" s="354">
        <f>'FY23'!AD25</f>
        <v>0.17349999999999999</v>
      </c>
      <c r="C25" s="354">
        <f>'FY24'!AD25</f>
        <v>0.24</v>
      </c>
      <c r="D25" s="354">
        <f>'FY25'!AD25</f>
        <v>0.24</v>
      </c>
      <c r="E25" s="354">
        <f>'FY26'!AD25</f>
        <v>0.24</v>
      </c>
      <c r="F25" s="355">
        <f>'FY27'!AD25</f>
        <v>0.24</v>
      </c>
      <c r="G25" s="355">
        <f>'FY28'!AD25</f>
        <v>0.24</v>
      </c>
    </row>
    <row r="26" spans="1:14" x14ac:dyDescent="0.25">
      <c r="A26" s="140" t="s">
        <v>27</v>
      </c>
      <c r="B26" s="11">
        <f>'FY23'!AD26</f>
        <v>245</v>
      </c>
      <c r="C26" s="11">
        <f>'FY24'!AD26</f>
        <v>264.2248803827751</v>
      </c>
      <c r="D26" s="11">
        <f>'FY25'!AD26</f>
        <v>278.40909090909088</v>
      </c>
      <c r="E26" s="11">
        <f>'FY26'!AD26</f>
        <v>285.44258373205736</v>
      </c>
      <c r="F26" s="94">
        <f>'FY27'!AD26</f>
        <v>284.73923444976072</v>
      </c>
      <c r="G26" s="94">
        <f>'FY28'!AD26</f>
        <v>284.62200956937795</v>
      </c>
    </row>
    <row r="27" spans="1:14" x14ac:dyDescent="0.25">
      <c r="A27" s="20"/>
      <c r="B27" s="7"/>
      <c r="C27" s="7"/>
      <c r="D27" s="7"/>
      <c r="E27" s="7"/>
      <c r="F27" s="7">
        <f t="shared" ref="F27:G27" si="4">SUM(B27:E27)</f>
        <v>0</v>
      </c>
      <c r="G27" s="7">
        <f t="shared" si="4"/>
        <v>0</v>
      </c>
    </row>
    <row r="28" spans="1:14" x14ac:dyDescent="0.25">
      <c r="A28" s="17" t="s">
        <v>28</v>
      </c>
      <c r="B28" s="18"/>
      <c r="C28" s="18"/>
      <c r="D28" s="18"/>
      <c r="E28" s="18"/>
      <c r="F28" s="18"/>
      <c r="G28" s="18"/>
    </row>
    <row r="29" spans="1:14" x14ac:dyDescent="0.25">
      <c r="A29" s="21" t="s">
        <v>29</v>
      </c>
      <c r="B29" s="152">
        <f>'FY23'!AD29</f>
        <v>73</v>
      </c>
      <c r="C29" s="152">
        <f>'FY24'!AD29</f>
        <v>79</v>
      </c>
      <c r="D29" s="152">
        <f>'FY25'!AD29</f>
        <v>83</v>
      </c>
      <c r="E29" s="152">
        <f>'FY26'!AD29</f>
        <v>85</v>
      </c>
      <c r="F29" s="356">
        <f>'FY27'!AD29</f>
        <v>85</v>
      </c>
      <c r="G29" s="356">
        <f>'FY28'!AD29</f>
        <v>85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25">
      <c r="A30" s="21" t="s">
        <v>30</v>
      </c>
      <c r="B30" s="152">
        <f>'FY23'!AD30</f>
        <v>10</v>
      </c>
      <c r="C30" s="152">
        <f>'FY24'!AD30</f>
        <v>10</v>
      </c>
      <c r="D30" s="152">
        <f>'FY25'!AD30</f>
        <v>10</v>
      </c>
      <c r="E30" s="152">
        <f>'FY26'!AD30</f>
        <v>10</v>
      </c>
      <c r="F30" s="356">
        <f>'FY27'!AD30</f>
        <v>10</v>
      </c>
      <c r="G30" s="356">
        <f>'FY28'!AD30</f>
        <v>10</v>
      </c>
    </row>
    <row r="31" spans="1:14" x14ac:dyDescent="0.25">
      <c r="A31" s="21" t="s">
        <v>31</v>
      </c>
      <c r="B31" s="152">
        <f>'FY23'!AD31</f>
        <v>2</v>
      </c>
      <c r="C31" s="152">
        <f>'FY24'!AD31</f>
        <v>2</v>
      </c>
      <c r="D31" s="152">
        <f>'FY25'!AD31</f>
        <v>2</v>
      </c>
      <c r="E31" s="152">
        <f>'FY26'!AD31</f>
        <v>2</v>
      </c>
      <c r="F31" s="356">
        <f>'FY27'!AD31</f>
        <v>2</v>
      </c>
      <c r="G31" s="356">
        <f>'FY28'!AD31</f>
        <v>2</v>
      </c>
    </row>
    <row r="32" spans="1:14" x14ac:dyDescent="0.25">
      <c r="A32" s="21" t="s">
        <v>32</v>
      </c>
      <c r="B32" s="152">
        <f>'FY23'!AD32</f>
        <v>2</v>
      </c>
      <c r="C32" s="152">
        <f>'FY24'!AD32</f>
        <v>2</v>
      </c>
      <c r="D32" s="152">
        <f>'FY25'!AD32</f>
        <v>2</v>
      </c>
      <c r="E32" s="152">
        <f>'FY26'!AD32</f>
        <v>2</v>
      </c>
      <c r="F32" s="356">
        <f>'FY27'!AD32</f>
        <v>2</v>
      </c>
      <c r="G32" s="356">
        <f>'FY28'!AD32</f>
        <v>2</v>
      </c>
    </row>
    <row r="33" spans="1:7" x14ac:dyDescent="0.25">
      <c r="A33" s="21" t="s">
        <v>33</v>
      </c>
      <c r="B33" s="152">
        <f>'FY23'!AD33</f>
        <v>2</v>
      </c>
      <c r="C33" s="152">
        <f>'FY24'!AD33</f>
        <v>2</v>
      </c>
      <c r="D33" s="152">
        <f>'FY25'!AD33</f>
        <v>2</v>
      </c>
      <c r="E33" s="152">
        <f>'FY26'!AD33</f>
        <v>2</v>
      </c>
      <c r="F33" s="356">
        <f>'FY27'!AD33</f>
        <v>2</v>
      </c>
      <c r="G33" s="356">
        <f>'FY28'!AD33</f>
        <v>2</v>
      </c>
    </row>
    <row r="34" spans="1:7" x14ac:dyDescent="0.25">
      <c r="A34" s="24" t="s">
        <v>34</v>
      </c>
      <c r="B34" s="152">
        <f>'FY23'!AD34</f>
        <v>0</v>
      </c>
      <c r="C34" s="152">
        <f>'FY24'!AD34</f>
        <v>0</v>
      </c>
      <c r="D34" s="152">
        <f>'FY25'!AD34</f>
        <v>0</v>
      </c>
      <c r="E34" s="152">
        <f>'FY26'!AD34</f>
        <v>0</v>
      </c>
      <c r="F34" s="356">
        <f>'FY27'!AD34</f>
        <v>0</v>
      </c>
      <c r="G34" s="356">
        <f>'FY28'!AD34</f>
        <v>0</v>
      </c>
    </row>
    <row r="35" spans="1:7" x14ac:dyDescent="0.25">
      <c r="A35" s="27" t="s">
        <v>35</v>
      </c>
      <c r="B35" s="152">
        <f>'FY23'!AD35</f>
        <v>0</v>
      </c>
      <c r="C35" s="152">
        <f>'FY24'!AD35</f>
        <v>2</v>
      </c>
      <c r="D35" s="152">
        <f>'FY25'!AD35</f>
        <v>2</v>
      </c>
      <c r="E35" s="152">
        <f>'FY26'!AD35</f>
        <v>2</v>
      </c>
      <c r="F35" s="356">
        <f>'FY27'!AD35</f>
        <v>2</v>
      </c>
      <c r="G35" s="356">
        <f>'FY28'!AD35</f>
        <v>2</v>
      </c>
    </row>
    <row r="36" spans="1:7" x14ac:dyDescent="0.25">
      <c r="A36" s="28" t="s">
        <v>36</v>
      </c>
      <c r="B36" s="152">
        <f>'FY23'!AD36</f>
        <v>0</v>
      </c>
      <c r="C36" s="152">
        <f>'FY24'!AD36</f>
        <v>0</v>
      </c>
      <c r="D36" s="152">
        <f>'FY25'!AD36</f>
        <v>0</v>
      </c>
      <c r="E36" s="152">
        <f>'FY26'!AD36</f>
        <v>0</v>
      </c>
      <c r="F36" s="356">
        <f>'FY27'!AD36</f>
        <v>0</v>
      </c>
      <c r="G36" s="356">
        <f>'FY28'!AD36</f>
        <v>0</v>
      </c>
    </row>
    <row r="37" spans="1:7" x14ac:dyDescent="0.25">
      <c r="A37" s="27" t="s">
        <v>37</v>
      </c>
      <c r="B37" s="152">
        <f>'FY23'!AD37</f>
        <v>2</v>
      </c>
      <c r="C37" s="152">
        <f>'FY24'!AD37</f>
        <v>1</v>
      </c>
      <c r="D37" s="152">
        <f>'FY25'!AD37</f>
        <v>1</v>
      </c>
      <c r="E37" s="152">
        <f>'FY26'!AD37</f>
        <v>1</v>
      </c>
      <c r="F37" s="356">
        <f>'FY27'!AD37</f>
        <v>1</v>
      </c>
      <c r="G37" s="356">
        <f>'FY28'!AD37</f>
        <v>1</v>
      </c>
    </row>
    <row r="38" spans="1:7" x14ac:dyDescent="0.25">
      <c r="A38" s="27" t="s">
        <v>38</v>
      </c>
      <c r="B38" s="152">
        <f>'FY23'!AD38</f>
        <v>4</v>
      </c>
      <c r="C38" s="152">
        <f>'FY24'!AD38</f>
        <v>3.5</v>
      </c>
      <c r="D38" s="152">
        <f>'FY25'!AD38</f>
        <v>3.5</v>
      </c>
      <c r="E38" s="152">
        <f>'FY26'!AD38</f>
        <v>3.5</v>
      </c>
      <c r="F38" s="356">
        <f>'FY27'!AD38</f>
        <v>3.5</v>
      </c>
      <c r="G38" s="356">
        <f>'FY28'!AD38</f>
        <v>3.5</v>
      </c>
    </row>
    <row r="39" spans="1:7" x14ac:dyDescent="0.25">
      <c r="A39" s="29" t="s">
        <v>39</v>
      </c>
      <c r="B39" s="30">
        <f>SUM(B29:B38)</f>
        <v>95</v>
      </c>
      <c r="C39" s="30">
        <f t="shared" ref="C39:G39" si="6">SUM(C29:C38)</f>
        <v>101.5</v>
      </c>
      <c r="D39" s="30">
        <f t="shared" si="6"/>
        <v>105.5</v>
      </c>
      <c r="E39" s="30">
        <f t="shared" si="6"/>
        <v>107.5</v>
      </c>
      <c r="F39" s="30">
        <f t="shared" si="6"/>
        <v>107.5</v>
      </c>
      <c r="G39" s="30">
        <f t="shared" si="6"/>
        <v>107.5</v>
      </c>
    </row>
    <row r="40" spans="1:7" x14ac:dyDescent="0.25">
      <c r="A40" s="31"/>
      <c r="B40" s="23"/>
      <c r="C40" s="23"/>
      <c r="D40" s="23"/>
      <c r="E40" s="23"/>
      <c r="F40" s="23"/>
      <c r="G40" s="23"/>
    </row>
    <row r="41" spans="1:7" x14ac:dyDescent="0.25">
      <c r="A41" s="17" t="s">
        <v>40</v>
      </c>
      <c r="B41" s="32" t="str">
        <f>B1</f>
        <v xml:space="preserve"> FY 23</v>
      </c>
      <c r="C41" s="32" t="str">
        <f t="shared" ref="C41:G41" si="7">C1</f>
        <v xml:space="preserve"> FY 24</v>
      </c>
      <c r="D41" s="32" t="str">
        <f t="shared" si="7"/>
        <v xml:space="preserve"> FY 25</v>
      </c>
      <c r="E41" s="32" t="str">
        <f t="shared" si="7"/>
        <v xml:space="preserve"> FY 26</v>
      </c>
      <c r="F41" s="32" t="str">
        <f t="shared" si="7"/>
        <v xml:space="preserve"> FY 27</v>
      </c>
      <c r="G41" s="32" t="str">
        <f t="shared" si="7"/>
        <v xml:space="preserve"> FY 28</v>
      </c>
    </row>
    <row r="42" spans="1:7" x14ac:dyDescent="0.25">
      <c r="A42" s="21" t="s">
        <v>41</v>
      </c>
      <c r="B42" s="152">
        <f>'FY23'!AD42</f>
        <v>1</v>
      </c>
      <c r="C42" s="152">
        <f>'FY24'!AD42</f>
        <v>1</v>
      </c>
      <c r="D42" s="152">
        <f>'FY25'!AD42</f>
        <v>1</v>
      </c>
      <c r="E42" s="152">
        <f>'FY26'!AD42</f>
        <v>1</v>
      </c>
      <c r="F42" s="356">
        <f>'FY27'!AD42</f>
        <v>1</v>
      </c>
      <c r="G42" s="356">
        <f>'FY28'!AD42</f>
        <v>1</v>
      </c>
    </row>
    <row r="43" spans="1:7" x14ac:dyDescent="0.25">
      <c r="A43" s="21" t="s">
        <v>42</v>
      </c>
      <c r="B43" s="152">
        <f>'FY23'!AD43</f>
        <v>4</v>
      </c>
      <c r="C43" s="152">
        <f>'FY24'!AD43</f>
        <v>4</v>
      </c>
      <c r="D43" s="152">
        <f>'FY25'!AD43</f>
        <v>4</v>
      </c>
      <c r="E43" s="152">
        <f>'FY26'!AD43</f>
        <v>4</v>
      </c>
      <c r="F43" s="356">
        <f>'FY27'!AD43</f>
        <v>4</v>
      </c>
      <c r="G43" s="356">
        <f>'FY28'!AD43</f>
        <v>4</v>
      </c>
    </row>
    <row r="44" spans="1:7" x14ac:dyDescent="0.25">
      <c r="A44" s="34" t="s">
        <v>43</v>
      </c>
      <c r="B44" s="152">
        <f>'FY23'!AD44</f>
        <v>0</v>
      </c>
      <c r="C44" s="152">
        <f>'FY24'!AD44</f>
        <v>0</v>
      </c>
      <c r="D44" s="152">
        <f>'FY25'!AD44</f>
        <v>0</v>
      </c>
      <c r="E44" s="152">
        <f>'FY26'!AD44</f>
        <v>0</v>
      </c>
      <c r="F44" s="356">
        <f>'FY27'!AD44</f>
        <v>0</v>
      </c>
      <c r="G44" s="356">
        <f>'FY28'!AD44</f>
        <v>0</v>
      </c>
    </row>
    <row r="45" spans="1:7" x14ac:dyDescent="0.25">
      <c r="A45" s="33" t="s">
        <v>44</v>
      </c>
      <c r="B45" s="152">
        <f>'FY23'!AD45</f>
        <v>2</v>
      </c>
      <c r="C45" s="152">
        <f>'FY24'!AD45</f>
        <v>2</v>
      </c>
      <c r="D45" s="152">
        <f>'FY25'!AD45</f>
        <v>2</v>
      </c>
      <c r="E45" s="152">
        <f>'FY26'!AD45</f>
        <v>2</v>
      </c>
      <c r="F45" s="356">
        <f>'FY27'!AD45</f>
        <v>2</v>
      </c>
      <c r="G45" s="356">
        <f>'FY28'!AD45</f>
        <v>2</v>
      </c>
    </row>
    <row r="46" spans="1:7" x14ac:dyDescent="0.25">
      <c r="A46" s="33" t="s">
        <v>45</v>
      </c>
      <c r="B46" s="152">
        <f>'FY23'!AD46</f>
        <v>2</v>
      </c>
      <c r="C46" s="152">
        <f>'FY24'!AD46</f>
        <v>2</v>
      </c>
      <c r="D46" s="152">
        <f>'FY25'!AD46</f>
        <v>2</v>
      </c>
      <c r="E46" s="152">
        <f>'FY26'!AD46</f>
        <v>2</v>
      </c>
      <c r="F46" s="356">
        <f>'FY27'!AD46</f>
        <v>2</v>
      </c>
      <c r="G46" s="356">
        <f>'FY28'!AD46</f>
        <v>2</v>
      </c>
    </row>
    <row r="47" spans="1:7" x14ac:dyDescent="0.25">
      <c r="A47" s="21" t="s">
        <v>200</v>
      </c>
      <c r="B47" s="152">
        <f>'FY23'!AD47</f>
        <v>2</v>
      </c>
      <c r="C47" s="152">
        <f>'FY24'!AD47</f>
        <v>2</v>
      </c>
      <c r="D47" s="152">
        <f>'FY25'!AD47</f>
        <v>2</v>
      </c>
      <c r="E47" s="152">
        <f>'FY26'!AD47</f>
        <v>2</v>
      </c>
      <c r="F47" s="356">
        <f>'FY27'!AD47</f>
        <v>2</v>
      </c>
      <c r="G47" s="356">
        <f>'FY28'!AD47</f>
        <v>2</v>
      </c>
    </row>
    <row r="48" spans="1:7" x14ac:dyDescent="0.25">
      <c r="A48" s="21" t="s">
        <v>47</v>
      </c>
      <c r="B48" s="152">
        <f>'FY23'!AD48</f>
        <v>1.5</v>
      </c>
      <c r="C48" s="152">
        <f>'FY24'!AD48</f>
        <v>1.5</v>
      </c>
      <c r="D48" s="152">
        <f>'FY25'!AD48</f>
        <v>1.5</v>
      </c>
      <c r="E48" s="152">
        <f>'FY26'!AD48</f>
        <v>1.5</v>
      </c>
      <c r="F48" s="356">
        <f>'FY27'!AD48</f>
        <v>1.5</v>
      </c>
      <c r="G48" s="356">
        <f>'FY28'!AD48</f>
        <v>1.5</v>
      </c>
    </row>
    <row r="49" spans="1:7" x14ac:dyDescent="0.25">
      <c r="A49" s="21" t="s">
        <v>48</v>
      </c>
      <c r="B49" s="152">
        <f>'FY23'!AD49</f>
        <v>2</v>
      </c>
      <c r="C49" s="152">
        <f>'FY24'!AD49</f>
        <v>2</v>
      </c>
      <c r="D49" s="152">
        <f>'FY25'!AD49</f>
        <v>2</v>
      </c>
      <c r="E49" s="152">
        <f>'FY26'!AD49</f>
        <v>2</v>
      </c>
      <c r="F49" s="356">
        <f>'FY27'!AD49</f>
        <v>2</v>
      </c>
      <c r="G49" s="356">
        <f>'FY28'!AD49</f>
        <v>2</v>
      </c>
    </row>
    <row r="50" spans="1:7" x14ac:dyDescent="0.25">
      <c r="A50" s="21" t="s">
        <v>49</v>
      </c>
      <c r="B50" s="152">
        <f>'FY23'!AD50</f>
        <v>2</v>
      </c>
      <c r="C50" s="152">
        <f>'FY24'!AD50</f>
        <v>2</v>
      </c>
      <c r="D50" s="152">
        <f>'FY25'!AD50</f>
        <v>2</v>
      </c>
      <c r="E50" s="152">
        <f>'FY26'!AD50</f>
        <v>2</v>
      </c>
      <c r="F50" s="356">
        <f>'FY27'!AD50</f>
        <v>2</v>
      </c>
      <c r="G50" s="356">
        <f>'FY28'!AD50</f>
        <v>2</v>
      </c>
    </row>
    <row r="51" spans="1:7" x14ac:dyDescent="0.25">
      <c r="A51" s="21" t="s">
        <v>50</v>
      </c>
      <c r="B51" s="152">
        <f>'FY23'!AD51</f>
        <v>12</v>
      </c>
      <c r="C51" s="152">
        <f>'FY24'!AD51</f>
        <v>12</v>
      </c>
      <c r="D51" s="152">
        <f>'FY25'!AD51</f>
        <v>14</v>
      </c>
      <c r="E51" s="152">
        <f>'FY26'!AD51</f>
        <v>14</v>
      </c>
      <c r="F51" s="356">
        <f>'FY27'!AD51</f>
        <v>14</v>
      </c>
      <c r="G51" s="356">
        <f>'FY28'!AD51</f>
        <v>14</v>
      </c>
    </row>
    <row r="52" spans="1:7" x14ac:dyDescent="0.25">
      <c r="A52" s="21" t="s">
        <v>51</v>
      </c>
      <c r="B52" s="152">
        <f>'FY23'!AD52</f>
        <v>4</v>
      </c>
      <c r="C52" s="152">
        <f>'FY24'!AD52</f>
        <v>4</v>
      </c>
      <c r="D52" s="152">
        <f>'FY25'!AD52</f>
        <v>4</v>
      </c>
      <c r="E52" s="152">
        <f>'FY26'!AD52</f>
        <v>4</v>
      </c>
      <c r="F52" s="356">
        <f>'FY27'!AD52</f>
        <v>4</v>
      </c>
      <c r="G52" s="356">
        <f>'FY28'!AD52</f>
        <v>4</v>
      </c>
    </row>
    <row r="53" spans="1:7" x14ac:dyDescent="0.25">
      <c r="A53" s="21" t="s">
        <v>52</v>
      </c>
      <c r="B53" s="152">
        <f>'FY23'!AD53</f>
        <v>2</v>
      </c>
      <c r="C53" s="152">
        <f>'FY24'!AD53</f>
        <v>2</v>
      </c>
      <c r="D53" s="152">
        <f>'FY25'!AD53</f>
        <v>2</v>
      </c>
      <c r="E53" s="152">
        <f>'FY26'!AD53</f>
        <v>2</v>
      </c>
      <c r="F53" s="356">
        <f>'FY27'!AD53</f>
        <v>2</v>
      </c>
      <c r="G53" s="356">
        <f>'FY28'!AD53</f>
        <v>2</v>
      </c>
    </row>
    <row r="54" spans="1:7" x14ac:dyDescent="0.25">
      <c r="A54" s="21" t="s">
        <v>244</v>
      </c>
      <c r="B54" s="152">
        <f>'FY23'!AD54</f>
        <v>0</v>
      </c>
      <c r="C54" s="152">
        <f>'FY24'!AD54</f>
        <v>0</v>
      </c>
      <c r="D54" s="152">
        <f>'FY25'!AD54</f>
        <v>0</v>
      </c>
      <c r="E54" s="152">
        <f>'FY26'!AD54</f>
        <v>0</v>
      </c>
      <c r="F54" s="356">
        <f>'FY27'!AD54</f>
        <v>0</v>
      </c>
      <c r="G54" s="356">
        <f>'FY28'!AD54</f>
        <v>0</v>
      </c>
    </row>
    <row r="55" spans="1:7" x14ac:dyDescent="0.25">
      <c r="A55" s="34" t="s">
        <v>54</v>
      </c>
      <c r="B55" s="152">
        <f>'FY23'!AD55</f>
        <v>0</v>
      </c>
      <c r="C55" s="152">
        <f>'FY24'!AD55</f>
        <v>0</v>
      </c>
      <c r="D55" s="152">
        <f>'FY25'!AD55</f>
        <v>0</v>
      </c>
      <c r="E55" s="152">
        <f>'FY26'!AD55</f>
        <v>0</v>
      </c>
      <c r="F55" s="356">
        <f>'FY27'!AD55</f>
        <v>0</v>
      </c>
      <c r="G55" s="356">
        <f>'FY28'!AD55</f>
        <v>0</v>
      </c>
    </row>
    <row r="56" spans="1:7" x14ac:dyDescent="0.25">
      <c r="A56" s="34" t="s">
        <v>55</v>
      </c>
      <c r="B56" s="152">
        <f>'FY23'!AD56</f>
        <v>0</v>
      </c>
      <c r="C56" s="152">
        <f>'FY24'!AD56</f>
        <v>0</v>
      </c>
      <c r="D56" s="152">
        <f>'FY25'!AD56</f>
        <v>0</v>
      </c>
      <c r="E56" s="152">
        <f>'FY26'!AD56</f>
        <v>0</v>
      </c>
      <c r="F56" s="356">
        <f>'FY27'!AD56</f>
        <v>0</v>
      </c>
      <c r="G56" s="356">
        <f>'FY28'!AD56</f>
        <v>0</v>
      </c>
    </row>
    <row r="57" spans="1:7" x14ac:dyDescent="0.25">
      <c r="A57" s="34" t="s">
        <v>56</v>
      </c>
      <c r="B57" s="152">
        <f>'FY23'!AD57</f>
        <v>0.5</v>
      </c>
      <c r="C57" s="152">
        <f>'FY24'!AD57</f>
        <v>0.5</v>
      </c>
      <c r="D57" s="152">
        <f>'FY25'!AD57</f>
        <v>0.5</v>
      </c>
      <c r="E57" s="152">
        <f>'FY26'!AD57</f>
        <v>0.5</v>
      </c>
      <c r="F57" s="356">
        <f>'FY27'!AD57</f>
        <v>0.5</v>
      </c>
      <c r="G57" s="356">
        <f>'FY28'!AD57</f>
        <v>0.5</v>
      </c>
    </row>
    <row r="58" spans="1:7" x14ac:dyDescent="0.25">
      <c r="A58" s="34" t="s">
        <v>57</v>
      </c>
      <c r="B58" s="152">
        <f>'FY23'!AD58</f>
        <v>0.33</v>
      </c>
      <c r="C58" s="152">
        <f>'FY24'!AD58</f>
        <v>0.33</v>
      </c>
      <c r="D58" s="152">
        <f>'FY25'!AD58</f>
        <v>0.33</v>
      </c>
      <c r="E58" s="152">
        <f>'FY26'!AD58</f>
        <v>0.33</v>
      </c>
      <c r="F58" s="356">
        <f>'FY27'!AD58</f>
        <v>0.33</v>
      </c>
      <c r="G58" s="356">
        <f>'FY28'!AD58</f>
        <v>0.33</v>
      </c>
    </row>
    <row r="59" spans="1:7" x14ac:dyDescent="0.25">
      <c r="A59" s="34" t="s">
        <v>58</v>
      </c>
      <c r="B59" s="152">
        <f>'FY23'!AD59</f>
        <v>1</v>
      </c>
      <c r="C59" s="152">
        <f>'FY24'!AD59</f>
        <v>1</v>
      </c>
      <c r="D59" s="152">
        <f>'FY25'!AD59</f>
        <v>1</v>
      </c>
      <c r="E59" s="152">
        <f>'FY26'!AD59</f>
        <v>1</v>
      </c>
      <c r="F59" s="356">
        <f>'FY27'!AD59</f>
        <v>1</v>
      </c>
      <c r="G59" s="356">
        <f>'FY28'!AD59</f>
        <v>1</v>
      </c>
    </row>
    <row r="60" spans="1:7" x14ac:dyDescent="0.25">
      <c r="A60" s="34" t="s">
        <v>59</v>
      </c>
      <c r="B60" s="152">
        <f>'FY23'!AD60</f>
        <v>1.5</v>
      </c>
      <c r="C60" s="152">
        <f>'FY24'!AD60</f>
        <v>1.5</v>
      </c>
      <c r="D60" s="152">
        <f>'FY25'!AD60</f>
        <v>1.5</v>
      </c>
      <c r="E60" s="152">
        <f>'FY26'!AD60</f>
        <v>1.5</v>
      </c>
      <c r="F60" s="356">
        <f>'FY27'!AD60</f>
        <v>1.5</v>
      </c>
      <c r="G60" s="356">
        <f>'FY28'!AD60</f>
        <v>1.5</v>
      </c>
    </row>
    <row r="61" spans="1:7" x14ac:dyDescent="0.25">
      <c r="A61" s="35" t="s">
        <v>245</v>
      </c>
      <c r="B61" s="152">
        <f>'FY23'!AD61</f>
        <v>0</v>
      </c>
      <c r="C61" s="152">
        <f>'FY24'!AD61</f>
        <v>0</v>
      </c>
      <c r="D61" s="152">
        <f>'FY25'!AD61</f>
        <v>0</v>
      </c>
      <c r="E61" s="152">
        <f>'FY26'!AD61</f>
        <v>0</v>
      </c>
      <c r="F61" s="356">
        <f>'FY27'!AD61</f>
        <v>0</v>
      </c>
      <c r="G61" s="356">
        <f>'FY28'!AD61</f>
        <v>0</v>
      </c>
    </row>
    <row r="62" spans="1:7" x14ac:dyDescent="0.25">
      <c r="A62" s="29" t="s">
        <v>60</v>
      </c>
      <c r="B62" s="30">
        <f>SUM(B42:B61)</f>
        <v>37.83</v>
      </c>
      <c r="C62" s="30">
        <f t="shared" ref="C62:G62" si="8">SUM(C42:C61)</f>
        <v>37.83</v>
      </c>
      <c r="D62" s="30">
        <f t="shared" si="8"/>
        <v>39.83</v>
      </c>
      <c r="E62" s="30">
        <f t="shared" si="8"/>
        <v>39.83</v>
      </c>
      <c r="F62" s="30">
        <f t="shared" si="8"/>
        <v>39.83</v>
      </c>
      <c r="G62" s="30">
        <f t="shared" si="8"/>
        <v>39.83</v>
      </c>
    </row>
    <row r="63" spans="1:7" ht="15.75" thickBot="1" x14ac:dyDescent="0.3">
      <c r="A63" s="36"/>
      <c r="B63" s="38"/>
      <c r="C63" s="38"/>
      <c r="D63" s="38"/>
      <c r="E63" s="38"/>
      <c r="F63" s="38"/>
      <c r="G63" s="38"/>
    </row>
    <row r="64" spans="1:7" x14ac:dyDescent="0.25">
      <c r="A64" s="40" t="s">
        <v>61</v>
      </c>
      <c r="B64" s="39">
        <f>B39</f>
        <v>95</v>
      </c>
      <c r="C64" s="39">
        <f>C39</f>
        <v>101.5</v>
      </c>
      <c r="D64" s="39">
        <f>D39</f>
        <v>105.5</v>
      </c>
      <c r="E64" s="39">
        <f t="shared" ref="E64" si="9">E39</f>
        <v>107.5</v>
      </c>
      <c r="F64" s="39">
        <f>F39</f>
        <v>107.5</v>
      </c>
      <c r="G64" s="39">
        <f>G39</f>
        <v>107.5</v>
      </c>
    </row>
    <row r="65" spans="1:7" ht="15.75" thickBot="1" x14ac:dyDescent="0.3">
      <c r="A65" s="42" t="s">
        <v>62</v>
      </c>
      <c r="B65" s="41">
        <f>B62</f>
        <v>37.83</v>
      </c>
      <c r="C65" s="41">
        <f>C62</f>
        <v>37.83</v>
      </c>
      <c r="D65" s="41">
        <f>D62</f>
        <v>39.83</v>
      </c>
      <c r="E65" s="41">
        <f t="shared" ref="E65:G65" si="10">E62</f>
        <v>39.83</v>
      </c>
      <c r="F65" s="41">
        <f t="shared" si="10"/>
        <v>39.83</v>
      </c>
      <c r="G65" s="41">
        <f t="shared" si="10"/>
        <v>39.83</v>
      </c>
    </row>
    <row r="66" spans="1:7" ht="15.75" thickBot="1" x14ac:dyDescent="0.3">
      <c r="A66" s="44" t="s">
        <v>63</v>
      </c>
      <c r="B66" s="43">
        <f>SUM(B64:B65)</f>
        <v>132.82999999999998</v>
      </c>
      <c r="C66" s="43">
        <f>SUM(C64:C65)</f>
        <v>139.32999999999998</v>
      </c>
      <c r="D66" s="43">
        <f>SUM(D64:D65)</f>
        <v>145.32999999999998</v>
      </c>
      <c r="E66" s="43">
        <f t="shared" ref="E66:G66" si="11">SUM(E64:E65)</f>
        <v>147.32999999999998</v>
      </c>
      <c r="F66" s="43">
        <f t="shared" si="11"/>
        <v>147.32999999999998</v>
      </c>
      <c r="G66" s="43">
        <f t="shared" si="11"/>
        <v>147.32999999999998</v>
      </c>
    </row>
    <row r="67" spans="1:7" ht="15.75" thickBot="1" x14ac:dyDescent="0.3">
      <c r="A67" s="34"/>
      <c r="B67" s="45"/>
      <c r="C67" s="45"/>
      <c r="D67" s="45"/>
      <c r="E67" s="45"/>
      <c r="F67" s="45"/>
      <c r="G67" s="45"/>
    </row>
    <row r="68" spans="1:7" x14ac:dyDescent="0.25">
      <c r="A68" s="47" t="s">
        <v>64</v>
      </c>
      <c r="B68" s="46">
        <f t="shared" ref="B68:E68" si="12">B139/(SUM(B207:B217))</f>
        <v>0.59058110192939151</v>
      </c>
      <c r="C68" s="46">
        <f t="shared" si="12"/>
        <v>0.59140929987840596</v>
      </c>
      <c r="D68" s="46">
        <f t="shared" si="12"/>
        <v>0.58977928450986905</v>
      </c>
      <c r="E68" s="46">
        <f t="shared" si="12"/>
        <v>0.58226074561441332</v>
      </c>
      <c r="F68" s="46">
        <f>F139/(SUM(F207:F217))</f>
        <v>0.58159498992108094</v>
      </c>
      <c r="G68" s="46">
        <f>G139/(SUM(G207:G217))</f>
        <v>0.58487292418795245</v>
      </c>
    </row>
    <row r="69" spans="1:7" x14ac:dyDescent="0.25">
      <c r="A69" s="49" t="s">
        <v>65</v>
      </c>
      <c r="B69" s="48">
        <f t="shared" ref="B69:G69" si="13">(B108+B109+B110+B113)/B129</f>
        <v>0.78210359235225702</v>
      </c>
      <c r="C69" s="48">
        <f t="shared" si="13"/>
        <v>0.79214172424307161</v>
      </c>
      <c r="D69" s="48">
        <f t="shared" si="13"/>
        <v>0.79975951966305225</v>
      </c>
      <c r="E69" s="48">
        <f t="shared" si="13"/>
        <v>0.80290433717353615</v>
      </c>
      <c r="F69" s="48">
        <f t="shared" si="13"/>
        <v>0.80330088196074445</v>
      </c>
      <c r="G69" s="48">
        <f t="shared" si="13"/>
        <v>0.80346070861667562</v>
      </c>
    </row>
    <row r="70" spans="1:7" x14ac:dyDescent="0.25">
      <c r="A70" s="51" t="s">
        <v>66</v>
      </c>
      <c r="B70" s="48">
        <f t="shared" ref="B70:G70" si="14">(B103+B104+B106+B107+B111+B112+B114+B115+B118+B119+B120+B121+B122+B105+B123+B124+B125+B126+B127)/B129</f>
        <v>0.21789640764774304</v>
      </c>
      <c r="C70" s="48">
        <f t="shared" si="14"/>
        <v>0.20785827575692825</v>
      </c>
      <c r="D70" s="48">
        <f t="shared" si="14"/>
        <v>0.2002404803369478</v>
      </c>
      <c r="E70" s="48">
        <f t="shared" si="14"/>
        <v>0.19709566282646382</v>
      </c>
      <c r="F70" s="48">
        <f t="shared" si="14"/>
        <v>0.19669911803925555</v>
      </c>
      <c r="G70" s="48">
        <f t="shared" si="14"/>
        <v>0.1965392913833244</v>
      </c>
    </row>
    <row r="71" spans="1:7" ht="15.75" thickBot="1" x14ac:dyDescent="0.3">
      <c r="A71" s="53" t="s">
        <v>67</v>
      </c>
      <c r="B71" s="52">
        <f t="shared" ref="B71:E71" si="15">SUM(B209:B217)/B86</f>
        <v>0.18190609687557724</v>
      </c>
      <c r="C71" s="52">
        <f t="shared" si="15"/>
        <v>0.17557270037302491</v>
      </c>
      <c r="D71" s="52">
        <f t="shared" si="15"/>
        <v>0.17831271191243739</v>
      </c>
      <c r="E71" s="52">
        <f t="shared" si="15"/>
        <v>0.1913542636457711</v>
      </c>
      <c r="F71" s="52">
        <f>SUM(F209:F217)/F86</f>
        <v>0.19588969731015216</v>
      </c>
      <c r="G71" s="52">
        <f>SUM(G209:G217)/G86</f>
        <v>0.19362119446020615</v>
      </c>
    </row>
    <row r="72" spans="1:7" x14ac:dyDescent="0.25">
      <c r="A72" s="54"/>
      <c r="B72" s="55"/>
      <c r="C72" s="55"/>
      <c r="D72" s="55"/>
      <c r="E72" s="55"/>
      <c r="F72" s="55"/>
      <c r="G72" s="55"/>
    </row>
    <row r="73" spans="1:7" x14ac:dyDescent="0.25">
      <c r="A73" s="57" t="s">
        <v>246</v>
      </c>
      <c r="B73" s="58" t="str">
        <f>B1</f>
        <v xml:space="preserve"> FY 23</v>
      </c>
      <c r="C73" s="58" t="str">
        <f>C1</f>
        <v xml:space="preserve"> FY 24</v>
      </c>
      <c r="D73" s="58" t="str">
        <f>D1</f>
        <v xml:space="preserve"> FY 25</v>
      </c>
      <c r="E73" s="58" t="str">
        <f t="shared" ref="E73" si="16">E1</f>
        <v xml:space="preserve"> FY 26</v>
      </c>
      <c r="F73" s="58" t="str">
        <f>F1</f>
        <v xml:space="preserve"> FY 27</v>
      </c>
      <c r="G73" s="58" t="str">
        <f>G1</f>
        <v xml:space="preserve"> FY 28</v>
      </c>
    </row>
    <row r="74" spans="1:7" x14ac:dyDescent="0.25">
      <c r="A74" s="60" t="s">
        <v>69</v>
      </c>
      <c r="B74" s="7">
        <f>'FY23'!AD74</f>
        <v>15242370</v>
      </c>
      <c r="C74" s="7">
        <f>'FY24'!AD74</f>
        <v>16652121.485999998</v>
      </c>
      <c r="D74" s="7">
        <f>'FY25'!AD74</f>
        <v>17774144.977874998</v>
      </c>
      <c r="E74" s="7">
        <f>'FY26'!AD74</f>
        <v>18460077.29701063</v>
      </c>
      <c r="F74" s="7">
        <f>'FY27'!AD74</f>
        <v>18653980.12946469</v>
      </c>
      <c r="G74" s="7">
        <f>'FY28'!AD74</f>
        <v>18888702.339706335</v>
      </c>
    </row>
    <row r="75" spans="1:7" x14ac:dyDescent="0.25">
      <c r="A75" s="62" t="s">
        <v>70</v>
      </c>
      <c r="B75" s="7">
        <f>'FY23'!AD75</f>
        <v>0</v>
      </c>
      <c r="C75" s="7">
        <f>'FY24'!AD75</f>
        <v>0</v>
      </c>
      <c r="D75" s="7">
        <f>'FY25'!AD75</f>
        <v>0</v>
      </c>
      <c r="E75" s="7">
        <f>'FY26'!AD75</f>
        <v>0</v>
      </c>
      <c r="F75" s="7">
        <f>'FY27'!AD75</f>
        <v>0</v>
      </c>
      <c r="G75" s="7">
        <f>'FY28'!AD75</f>
        <v>0</v>
      </c>
    </row>
    <row r="76" spans="1:7" x14ac:dyDescent="0.25">
      <c r="A76" s="62" t="s">
        <v>71</v>
      </c>
      <c r="B76" s="7">
        <f>'FY23'!AD76</f>
        <v>228447.44999999998</v>
      </c>
      <c r="C76" s="7">
        <f>'FY24'!AD76</f>
        <v>340804.80000000005</v>
      </c>
      <c r="D76" s="7">
        <f>'FY25'!AD76</f>
        <v>359100</v>
      </c>
      <c r="E76" s="7">
        <f>'FY26'!AD76</f>
        <v>368172</v>
      </c>
      <c r="F76" s="7">
        <f>'FY27'!AD76</f>
        <v>367264.79999999993</v>
      </c>
      <c r="G76" s="7">
        <f>'FY28'!AD76</f>
        <v>367113.6</v>
      </c>
    </row>
    <row r="77" spans="1:7" x14ac:dyDescent="0.25">
      <c r="A77" s="62" t="s">
        <v>72</v>
      </c>
      <c r="B77" s="7">
        <f>'FY23'!AD77</f>
        <v>162450</v>
      </c>
      <c r="C77" s="7">
        <f>'FY24'!AD77</f>
        <v>175197.27272727271</v>
      </c>
      <c r="D77" s="7">
        <f>'FY25'!AD77</f>
        <v>184602.27272727274</v>
      </c>
      <c r="E77" s="7">
        <f>'FY26'!AD77</f>
        <v>189265.90909090909</v>
      </c>
      <c r="F77" s="7">
        <f>'FY27'!AD77</f>
        <v>188799.54545454547</v>
      </c>
      <c r="G77" s="7">
        <f>'FY28'!AD77</f>
        <v>188721.81818181818</v>
      </c>
    </row>
    <row r="78" spans="1:7" x14ac:dyDescent="0.25">
      <c r="A78" s="141" t="s">
        <v>73</v>
      </c>
      <c r="B78" s="7">
        <f>'FY23'!AD78</f>
        <v>471105</v>
      </c>
      <c r="C78" s="7">
        <f>'FY24'!AD78</f>
        <v>461045.45454545453</v>
      </c>
      <c r="D78" s="7">
        <f>'FY25'!AD78</f>
        <v>485795.45454545453</v>
      </c>
      <c r="E78" s="7">
        <f>'FY26'!AD78</f>
        <v>508029.54545454541</v>
      </c>
      <c r="F78" s="7">
        <f>'FY27'!AD78</f>
        <v>506777.72727272729</v>
      </c>
      <c r="G78" s="7">
        <f>'FY28'!AD78</f>
        <v>506569.09090909094</v>
      </c>
    </row>
    <row r="79" spans="1:7" x14ac:dyDescent="0.25">
      <c r="A79" s="62" t="s">
        <v>74</v>
      </c>
      <c r="B79" s="7">
        <f>'FY23'!AD79</f>
        <v>37605</v>
      </c>
      <c r="C79" s="7">
        <f>'FY24'!AD79</f>
        <v>40555.822966507178</v>
      </c>
      <c r="D79" s="7">
        <f>'FY25'!AD79</f>
        <v>42732.954545454544</v>
      </c>
      <c r="E79" s="7">
        <f>'FY26'!AD79</f>
        <v>43812.523923444976</v>
      </c>
      <c r="F79" s="7">
        <f>'FY27'!AD79</f>
        <v>43704.566985645928</v>
      </c>
      <c r="G79" s="7">
        <f>'FY28'!AD79</f>
        <v>47934.99330143541</v>
      </c>
    </row>
    <row r="80" spans="1:7" x14ac:dyDescent="0.25">
      <c r="A80" s="62" t="s">
        <v>75</v>
      </c>
      <c r="B80" s="7">
        <f>'FY23'!AD80</f>
        <v>54272</v>
      </c>
      <c r="C80" s="7">
        <f>'FY24'!AD80</f>
        <v>58530.664114832529</v>
      </c>
      <c r="D80" s="7">
        <f>'FY25'!AD80</f>
        <v>61672.727272727265</v>
      </c>
      <c r="E80" s="7">
        <f>'FY26'!AD80</f>
        <v>63230.775119617218</v>
      </c>
      <c r="F80" s="7">
        <f>'FY27'!AD80</f>
        <v>63074.970334928221</v>
      </c>
      <c r="G80" s="7">
        <f>'FY28'!AD80</f>
        <v>68104.819138755978</v>
      </c>
    </row>
    <row r="81" spans="1:7" x14ac:dyDescent="0.25">
      <c r="A81" s="62" t="s">
        <v>76</v>
      </c>
      <c r="B81" s="7">
        <f>'FY23'!AD81</f>
        <v>59045</v>
      </c>
      <c r="C81" s="7">
        <f>'FY24'!AD81</f>
        <v>63678.196172248798</v>
      </c>
      <c r="D81" s="7">
        <f>'FY25'!AD81</f>
        <v>67096.590909090897</v>
      </c>
      <c r="E81" s="7">
        <f>'FY26'!AD81</f>
        <v>68791.662679425819</v>
      </c>
      <c r="F81" s="7">
        <f>'FY27'!AD81</f>
        <v>68622.155502392328</v>
      </c>
      <c r="G81" s="7">
        <f>'FY28'!AD81</f>
        <v>77132.564593301431</v>
      </c>
    </row>
    <row r="82" spans="1:7" x14ac:dyDescent="0.25">
      <c r="A82" s="62" t="s">
        <v>247</v>
      </c>
      <c r="B82" s="7">
        <f>'FY23'!AD82</f>
        <v>0</v>
      </c>
      <c r="C82" s="7">
        <f>'FY24'!AD82</f>
        <v>0</v>
      </c>
      <c r="D82" s="7">
        <f>'FY25'!AD82</f>
        <v>0</v>
      </c>
      <c r="E82" s="7">
        <f>'FY26'!AD82</f>
        <v>0</v>
      </c>
      <c r="F82" s="7">
        <f>'FY27'!AD82</f>
        <v>0</v>
      </c>
      <c r="G82" s="7">
        <f>'FY28'!AD82</f>
        <v>0</v>
      </c>
    </row>
    <row r="83" spans="1:7" x14ac:dyDescent="0.25">
      <c r="A83" s="154" t="s">
        <v>78</v>
      </c>
      <c r="B83" s="7">
        <f>'FY23'!AD83</f>
        <v>0</v>
      </c>
      <c r="C83" s="7">
        <f>'FY24'!AD83</f>
        <v>0</v>
      </c>
      <c r="D83" s="7">
        <f>'FY25'!AD83</f>
        <v>0</v>
      </c>
      <c r="E83" s="7">
        <f>'FY26'!AD83</f>
        <v>0</v>
      </c>
      <c r="F83" s="7">
        <f>'FY27'!AD83</f>
        <v>0</v>
      </c>
      <c r="G83" s="7">
        <f>'FY28'!AD83</f>
        <v>0</v>
      </c>
    </row>
    <row r="84" spans="1:7" x14ac:dyDescent="0.25">
      <c r="A84" s="62" t="s">
        <v>77</v>
      </c>
      <c r="B84" s="7">
        <f>'FY23'!AD84</f>
        <v>0</v>
      </c>
      <c r="C84" s="7">
        <f>'FY24'!AD84</f>
        <v>0</v>
      </c>
      <c r="D84" s="7">
        <f>'FY25'!AD84</f>
        <v>0</v>
      </c>
      <c r="E84" s="7">
        <f>'FY26'!AD84</f>
        <v>0</v>
      </c>
      <c r="F84" s="7">
        <f>'FY27'!AD84</f>
        <v>0</v>
      </c>
      <c r="G84" s="7">
        <f>'FY28'!AD84</f>
        <v>0</v>
      </c>
    </row>
    <row r="85" spans="1:7" ht="15.75" thickBot="1" x14ac:dyDescent="0.3">
      <c r="A85" s="65" t="s">
        <v>79</v>
      </c>
      <c r="B85" s="7">
        <f>'FY23'!AD85</f>
        <v>33879.199999999997</v>
      </c>
      <c r="C85" s="7">
        <f>'FY24'!AD85</f>
        <v>35439.199999999997</v>
      </c>
      <c r="D85" s="7">
        <f>'FY25'!AD85</f>
        <v>36399.199999999997</v>
      </c>
      <c r="E85" s="7">
        <f>'FY26'!AD85</f>
        <v>36879.199999999997</v>
      </c>
      <c r="F85" s="7">
        <f>'FY27'!AD85</f>
        <v>37359.199999999997</v>
      </c>
      <c r="G85" s="7">
        <f>'FY28'!AD85</f>
        <v>36879.199999999997</v>
      </c>
    </row>
    <row r="86" spans="1:7" ht="15.75" thickBot="1" x14ac:dyDescent="0.3">
      <c r="A86" s="67" t="s">
        <v>80</v>
      </c>
      <c r="B86" s="68">
        <f>SUM(B74:B85)</f>
        <v>16289173.649999999</v>
      </c>
      <c r="C86" s="68">
        <f>SUM(C74:C85)</f>
        <v>17827372.896526314</v>
      </c>
      <c r="D86" s="68">
        <f>SUM(D74:D85)</f>
        <v>19011544.177874994</v>
      </c>
      <c r="E86" s="68">
        <f t="shared" ref="E86:G86" si="17">SUM(E74:E85)</f>
        <v>19738258.913278576</v>
      </c>
      <c r="F86" s="68">
        <f t="shared" si="17"/>
        <v>19929583.09501493</v>
      </c>
      <c r="G86" s="68">
        <f t="shared" si="17"/>
        <v>20181158.425830733</v>
      </c>
    </row>
    <row r="87" spans="1:7" x14ac:dyDescent="0.25">
      <c r="A87" s="60" t="s">
        <v>69</v>
      </c>
      <c r="B87" s="7">
        <f>'FY23'!AD87</f>
        <v>15242370</v>
      </c>
      <c r="C87" s="7">
        <f>'FY24'!AD87</f>
        <v>16652121.485999998</v>
      </c>
      <c r="D87" s="7">
        <f>'FY25'!AD87</f>
        <v>17774144.977874998</v>
      </c>
      <c r="E87" s="7">
        <f>'FY26'!AD87</f>
        <v>18460077.29701063</v>
      </c>
      <c r="F87" s="7">
        <f>'FY27'!AD87</f>
        <v>18653980.12946469</v>
      </c>
      <c r="G87" s="7">
        <f>'FY28'!AD87</f>
        <v>18888702.339706335</v>
      </c>
    </row>
    <row r="88" spans="1:7" x14ac:dyDescent="0.25">
      <c r="A88" s="62" t="s">
        <v>201</v>
      </c>
      <c r="B88" s="7">
        <f>'FY23'!AD88</f>
        <v>0</v>
      </c>
      <c r="C88" s="7">
        <f>'FY24'!AD88</f>
        <v>0</v>
      </c>
      <c r="D88" s="7">
        <f>'FY25'!AD88</f>
        <v>0</v>
      </c>
      <c r="E88" s="7">
        <f>'FY26'!AD88</f>
        <v>0</v>
      </c>
      <c r="F88" s="7">
        <f>'FY27'!AD88</f>
        <v>0</v>
      </c>
      <c r="G88" s="7">
        <f>'FY28'!AD88</f>
        <v>0</v>
      </c>
    </row>
    <row r="89" spans="1:7" x14ac:dyDescent="0.25">
      <c r="A89" s="62" t="s">
        <v>71</v>
      </c>
      <c r="B89" s="7">
        <f>'FY23'!AD89</f>
        <v>228447.44999999998</v>
      </c>
      <c r="C89" s="7">
        <f>'FY24'!AD89</f>
        <v>340804.80000000005</v>
      </c>
      <c r="D89" s="7">
        <f>'FY25'!AD89</f>
        <v>359100</v>
      </c>
      <c r="E89" s="7">
        <f>'FY26'!AD89</f>
        <v>368172</v>
      </c>
      <c r="F89" s="7">
        <f>'FY27'!AD89</f>
        <v>367264.79999999993</v>
      </c>
      <c r="G89" s="7">
        <f>'FY28'!AD89</f>
        <v>367113.6</v>
      </c>
    </row>
    <row r="90" spans="1:7" x14ac:dyDescent="0.25">
      <c r="A90" s="62" t="s">
        <v>72</v>
      </c>
      <c r="B90" s="7">
        <f>'FY23'!AD90</f>
        <v>162450</v>
      </c>
      <c r="C90" s="7">
        <f>'FY24'!AD90</f>
        <v>175197.27272727271</v>
      </c>
      <c r="D90" s="7">
        <f>'FY25'!AD90</f>
        <v>184602.27272727274</v>
      </c>
      <c r="E90" s="7">
        <f>'FY26'!AD90</f>
        <v>189265.90909090909</v>
      </c>
      <c r="F90" s="7">
        <f>'FY27'!AD90</f>
        <v>188799.54545454547</v>
      </c>
      <c r="G90" s="7">
        <f>'FY28'!AD90</f>
        <v>188721.81818181818</v>
      </c>
    </row>
    <row r="91" spans="1:7" x14ac:dyDescent="0.25">
      <c r="A91" s="141" t="s">
        <v>73</v>
      </c>
      <c r="B91" s="7">
        <f>'FY23'!AD91</f>
        <v>471105</v>
      </c>
      <c r="C91" s="7">
        <f>'FY24'!AD91</f>
        <v>461045.45454545453</v>
      </c>
      <c r="D91" s="7">
        <f>'FY25'!AD91</f>
        <v>485795.45454545453</v>
      </c>
      <c r="E91" s="7">
        <f>'FY26'!AD91</f>
        <v>508029.54545454541</v>
      </c>
      <c r="F91" s="7">
        <f>'FY27'!AD91</f>
        <v>506777.72727272729</v>
      </c>
      <c r="G91" s="7">
        <f>'FY28'!AD91</f>
        <v>506569.09090909094</v>
      </c>
    </row>
    <row r="92" spans="1:7" x14ac:dyDescent="0.25">
      <c r="A92" s="62" t="s">
        <v>74</v>
      </c>
      <c r="B92" s="7">
        <f>'FY23'!AD92</f>
        <v>37605</v>
      </c>
      <c r="C92" s="7">
        <f>'FY24'!AD92</f>
        <v>40555.822966507178</v>
      </c>
      <c r="D92" s="7">
        <f>'FY25'!AD92</f>
        <v>42732.954545454544</v>
      </c>
      <c r="E92" s="7">
        <f>'FY26'!AD92</f>
        <v>43812.523923444976</v>
      </c>
      <c r="F92" s="7">
        <f>'FY27'!AD92</f>
        <v>43704.566985645928</v>
      </c>
      <c r="G92" s="7">
        <f>'FY28'!AD92</f>
        <v>47934.99330143541</v>
      </c>
    </row>
    <row r="93" spans="1:7" x14ac:dyDescent="0.25">
      <c r="A93" s="62" t="s">
        <v>75</v>
      </c>
      <c r="B93" s="7">
        <f>'FY23'!AD93</f>
        <v>54272</v>
      </c>
      <c r="C93" s="7">
        <f>'FY24'!AD93</f>
        <v>58530.664114832529</v>
      </c>
      <c r="D93" s="7">
        <f>'FY25'!AD93</f>
        <v>61672.727272727265</v>
      </c>
      <c r="E93" s="7">
        <f>'FY26'!AD93</f>
        <v>63230.775119617218</v>
      </c>
      <c r="F93" s="7">
        <f>'FY27'!AD93</f>
        <v>63074.970334928221</v>
      </c>
      <c r="G93" s="7">
        <f>'FY28'!AD93</f>
        <v>68104.819138755978</v>
      </c>
    </row>
    <row r="94" spans="1:7" x14ac:dyDescent="0.25">
      <c r="A94" s="62" t="s">
        <v>76</v>
      </c>
      <c r="B94" s="7">
        <f>'FY23'!AD94</f>
        <v>59045</v>
      </c>
      <c r="C94" s="7">
        <f>'FY24'!AD94</f>
        <v>63678.196172248798</v>
      </c>
      <c r="D94" s="7">
        <f>'FY25'!AD94</f>
        <v>67096.590909090897</v>
      </c>
      <c r="E94" s="7">
        <f>'FY26'!AD94</f>
        <v>68791.662679425819</v>
      </c>
      <c r="F94" s="7">
        <f>'FY27'!AD94</f>
        <v>68622.155502392328</v>
      </c>
      <c r="G94" s="7">
        <f>'FY28'!AD94</f>
        <v>77132.564593301431</v>
      </c>
    </row>
    <row r="95" spans="1:7" x14ac:dyDescent="0.25">
      <c r="A95" s="62" t="s">
        <v>202</v>
      </c>
      <c r="B95" s="7">
        <f>'FY23'!AD95</f>
        <v>0</v>
      </c>
      <c r="C95" s="7">
        <f>'FY24'!AD95</f>
        <v>0</v>
      </c>
      <c r="D95" s="7">
        <f>'FY25'!AD95</f>
        <v>0</v>
      </c>
      <c r="E95" s="7">
        <f>'FY26'!AD95</f>
        <v>0</v>
      </c>
      <c r="F95" s="7">
        <f>'FY27'!AD95</f>
        <v>0</v>
      </c>
      <c r="G95" s="7">
        <f>'FY28'!AD95</f>
        <v>0</v>
      </c>
    </row>
    <row r="96" spans="1:7" x14ac:dyDescent="0.25">
      <c r="A96" s="62" t="s">
        <v>203</v>
      </c>
      <c r="B96" s="7">
        <f>'FY23'!AD96</f>
        <v>0</v>
      </c>
      <c r="C96" s="7">
        <f>'FY24'!AD96</f>
        <v>0</v>
      </c>
      <c r="D96" s="7">
        <f>'FY25'!AD96</f>
        <v>0</v>
      </c>
      <c r="E96" s="7">
        <f>'FY26'!AD96</f>
        <v>0</v>
      </c>
      <c r="F96" s="7">
        <f>'FY27'!AD96</f>
        <v>0</v>
      </c>
      <c r="G96" s="7">
        <f>'FY28'!AD96</f>
        <v>0</v>
      </c>
    </row>
    <row r="97" spans="1:7" x14ac:dyDescent="0.25">
      <c r="A97" s="62" t="s">
        <v>77</v>
      </c>
      <c r="B97" s="7">
        <f>'FY23'!AD97</f>
        <v>0</v>
      </c>
      <c r="C97" s="7">
        <f>'FY24'!AD97</f>
        <v>0</v>
      </c>
      <c r="D97" s="7">
        <f>'FY25'!AD97</f>
        <v>0</v>
      </c>
      <c r="E97" s="7">
        <f>'FY26'!AD97</f>
        <v>0</v>
      </c>
      <c r="F97" s="7">
        <f>'FY27'!AD97</f>
        <v>0</v>
      </c>
      <c r="G97" s="7">
        <f>'FY28'!AD97</f>
        <v>0</v>
      </c>
    </row>
    <row r="98" spans="1:7" ht="15.75" thickBot="1" x14ac:dyDescent="0.3">
      <c r="A98" s="65" t="s">
        <v>204</v>
      </c>
      <c r="B98" s="7">
        <f>'FY23'!AD98</f>
        <v>33879.199999999997</v>
      </c>
      <c r="C98" s="7">
        <f>'FY24'!AD98</f>
        <v>35439.199999999997</v>
      </c>
      <c r="D98" s="7">
        <f>'FY25'!AD98</f>
        <v>36399.199999999997</v>
      </c>
      <c r="E98" s="7">
        <f>'FY26'!AD98</f>
        <v>36879.199999999997</v>
      </c>
      <c r="F98" s="7">
        <f>'FY27'!AD98</f>
        <v>37359.199999999997</v>
      </c>
      <c r="G98" s="7">
        <f>'FY28'!AD98</f>
        <v>36879.199999999997</v>
      </c>
    </row>
    <row r="99" spans="1:7" ht="15.75" thickBot="1" x14ac:dyDescent="0.3">
      <c r="A99" s="67" t="s">
        <v>81</v>
      </c>
      <c r="B99" s="68">
        <f>SUM(B87:B98)</f>
        <v>16289173.649999999</v>
      </c>
      <c r="C99" s="68">
        <f>SUM(C87:C98)</f>
        <v>17827372.896526314</v>
      </c>
      <c r="D99" s="68">
        <f>SUM(D87:D98)</f>
        <v>19011544.177874994</v>
      </c>
      <c r="E99" s="68">
        <f t="shared" ref="E99:G99" si="18">SUM(E87:E98)</f>
        <v>19738258.913278576</v>
      </c>
      <c r="F99" s="68">
        <f t="shared" si="18"/>
        <v>19929583.09501493</v>
      </c>
      <c r="G99" s="68">
        <f t="shared" si="18"/>
        <v>20181158.425830733</v>
      </c>
    </row>
    <row r="100" spans="1:7" x14ac:dyDescent="0.25">
      <c r="A100" s="70"/>
      <c r="B100" s="55"/>
      <c r="C100" s="55"/>
      <c r="D100" s="55"/>
      <c r="E100" s="55"/>
      <c r="F100" s="55"/>
      <c r="G100" s="55"/>
    </row>
    <row r="101" spans="1:7" ht="15.75" thickBot="1" x14ac:dyDescent="0.3">
      <c r="A101" s="73" t="s">
        <v>82</v>
      </c>
      <c r="B101" s="74" t="str">
        <f>B1</f>
        <v xml:space="preserve"> FY 23</v>
      </c>
      <c r="C101" s="74" t="str">
        <f>C1</f>
        <v xml:space="preserve"> FY 24</v>
      </c>
      <c r="D101" s="74" t="str">
        <f>D1</f>
        <v xml:space="preserve"> FY 25</v>
      </c>
      <c r="E101" s="74" t="str">
        <f t="shared" ref="E101:G101" si="19">E1</f>
        <v xml:space="preserve"> FY 26</v>
      </c>
      <c r="F101" s="74" t="str">
        <f t="shared" si="19"/>
        <v xml:space="preserve"> FY 27</v>
      </c>
      <c r="G101" s="74" t="str">
        <f t="shared" si="19"/>
        <v xml:space="preserve"> FY 28</v>
      </c>
    </row>
    <row r="102" spans="1:7" x14ac:dyDescent="0.25">
      <c r="A102" s="76" t="s">
        <v>83</v>
      </c>
      <c r="B102" s="77"/>
      <c r="C102" s="77"/>
      <c r="D102" s="77"/>
      <c r="E102" s="77"/>
      <c r="F102" s="77"/>
      <c r="G102" s="77"/>
    </row>
    <row r="103" spans="1:7" x14ac:dyDescent="0.25">
      <c r="A103" s="62" t="s">
        <v>41</v>
      </c>
      <c r="B103" s="7">
        <f>'FY23'!AD103</f>
        <v>137751.51</v>
      </c>
      <c r="C103" s="7">
        <f>'FY24'!AD103</f>
        <v>140506.54020000002</v>
      </c>
      <c r="D103" s="7">
        <f>'FY25'!AD103</f>
        <v>143316.67100400003</v>
      </c>
      <c r="E103" s="7">
        <f>'FY26'!AD103</f>
        <v>146183.00442408005</v>
      </c>
      <c r="F103" s="7">
        <f>'FY27'!AD103</f>
        <v>149106.66451256166</v>
      </c>
      <c r="G103" s="7">
        <f>'FY28'!AD103</f>
        <v>152088.79780281289</v>
      </c>
    </row>
    <row r="104" spans="1:7" x14ac:dyDescent="0.25">
      <c r="A104" s="62" t="s">
        <v>84</v>
      </c>
      <c r="B104" s="7">
        <f>'FY23'!AD104</f>
        <v>321265.31400000001</v>
      </c>
      <c r="C104" s="7">
        <f>'FY24'!AD104</f>
        <v>327690.62027999997</v>
      </c>
      <c r="D104" s="7">
        <f>'FY25'!AD104</f>
        <v>334244.43268560001</v>
      </c>
      <c r="E104" s="7">
        <f>'FY26'!AD104</f>
        <v>340929.32133931201</v>
      </c>
      <c r="F104" s="7">
        <f>'FY27'!AD104</f>
        <v>347747.90776609821</v>
      </c>
      <c r="G104" s="7">
        <f>'FY28'!AD104</f>
        <v>354702.86592142016</v>
      </c>
    </row>
    <row r="105" spans="1:7" x14ac:dyDescent="0.25">
      <c r="A105" s="62" t="s">
        <v>45</v>
      </c>
      <c r="B105" s="7">
        <f>'FY23'!AD105</f>
        <v>61144.308000000005</v>
      </c>
      <c r="C105" s="7">
        <f>'FY24'!AD105</f>
        <v>62367.194160000006</v>
      </c>
      <c r="D105" s="7">
        <f>'FY25'!AD105</f>
        <v>63614.538043200009</v>
      </c>
      <c r="E105" s="7">
        <f>'FY26'!AD105</f>
        <v>64886.828804064011</v>
      </c>
      <c r="F105" s="7">
        <f>'FY27'!AD105</f>
        <v>66184.565380145286</v>
      </c>
      <c r="G105" s="7">
        <f>'FY28'!AD105</f>
        <v>67508.256687748188</v>
      </c>
    </row>
    <row r="106" spans="1:7" x14ac:dyDescent="0.25">
      <c r="A106" s="62" t="s">
        <v>210</v>
      </c>
      <c r="B106" s="7">
        <f>'FY23'!AD106</f>
        <v>0</v>
      </c>
      <c r="C106" s="7">
        <f>'FY24'!AD106</f>
        <v>0</v>
      </c>
      <c r="D106" s="7">
        <f>'FY25'!AD106</f>
        <v>0</v>
      </c>
      <c r="E106" s="7">
        <f>'FY26'!AD106</f>
        <v>0</v>
      </c>
      <c r="F106" s="7">
        <f>'FY27'!AD106</f>
        <v>0</v>
      </c>
      <c r="G106" s="7">
        <f>'FY28'!AD106</f>
        <v>0</v>
      </c>
    </row>
    <row r="107" spans="1:7" x14ac:dyDescent="0.25">
      <c r="A107" s="62" t="s">
        <v>87</v>
      </c>
      <c r="B107" s="7">
        <f>'FY23'!AD107</f>
        <v>122288.61600000001</v>
      </c>
      <c r="C107" s="7">
        <f>'FY24'!AD107</f>
        <v>124734.38832000001</v>
      </c>
      <c r="D107" s="7">
        <f>'FY25'!AD107</f>
        <v>127229.07608640002</v>
      </c>
      <c r="E107" s="7">
        <f>'FY26'!AD107</f>
        <v>129773.65760812802</v>
      </c>
      <c r="F107" s="7">
        <f>'FY27'!AD107</f>
        <v>132369.13076029057</v>
      </c>
      <c r="G107" s="7">
        <f>'FY28'!AD107</f>
        <v>135016.51337549638</v>
      </c>
    </row>
    <row r="108" spans="1:7" x14ac:dyDescent="0.25">
      <c r="A108" s="62" t="s">
        <v>89</v>
      </c>
      <c r="B108" s="7">
        <f>'FY23'!AD108</f>
        <v>4076625</v>
      </c>
      <c r="C108" s="7">
        <f>'FY24'!AD108</f>
        <v>4456050</v>
      </c>
      <c r="D108" s="7">
        <f>'FY25'!AD108</f>
        <v>4746350</v>
      </c>
      <c r="E108" s="7">
        <f>'FY26'!AD108</f>
        <v>4943250</v>
      </c>
      <c r="F108" s="7">
        <f>'FY27'!AD108</f>
        <v>5045625</v>
      </c>
      <c r="G108" s="7">
        <f>'FY28'!AD108</f>
        <v>5148000</v>
      </c>
    </row>
    <row r="109" spans="1:7" x14ac:dyDescent="0.25">
      <c r="A109" s="62" t="s">
        <v>90</v>
      </c>
      <c r="B109" s="7">
        <f>'FY23'!AD109</f>
        <v>0</v>
      </c>
      <c r="C109" s="7">
        <f>'FY24'!AD109</f>
        <v>0</v>
      </c>
      <c r="D109" s="7">
        <f>'FY25'!AD109</f>
        <v>0</v>
      </c>
      <c r="E109" s="7">
        <f>'FY26'!AD109</f>
        <v>0</v>
      </c>
      <c r="F109" s="7">
        <f>'FY27'!AD109</f>
        <v>0</v>
      </c>
      <c r="G109" s="7">
        <f>'FY28'!AD109</f>
        <v>0</v>
      </c>
    </row>
    <row r="110" spans="1:7" x14ac:dyDescent="0.25">
      <c r="A110" s="62" t="s">
        <v>30</v>
      </c>
      <c r="B110" s="7">
        <f>'FY23'!AD110</f>
        <v>480750</v>
      </c>
      <c r="C110" s="7">
        <f>'FY24'!AD110</f>
        <v>487000</v>
      </c>
      <c r="D110" s="7">
        <f>'FY25'!AD110</f>
        <v>497000</v>
      </c>
      <c r="E110" s="7">
        <f>'FY26'!AD110</f>
        <v>507000</v>
      </c>
      <c r="F110" s="7">
        <f>'FY27'!AD110</f>
        <v>517500</v>
      </c>
      <c r="G110" s="7">
        <f>'FY28'!AD110</f>
        <v>528000</v>
      </c>
    </row>
    <row r="111" spans="1:7" x14ac:dyDescent="0.25">
      <c r="A111" s="62" t="s">
        <v>91</v>
      </c>
      <c r="B111" s="7">
        <f>'FY23'!AD111</f>
        <v>159653.20000000001</v>
      </c>
      <c r="C111" s="7">
        <f>'FY24'!AD111</f>
        <v>162846.26400000002</v>
      </c>
      <c r="D111" s="7">
        <f>'FY25'!AD111</f>
        <v>166103.18928000002</v>
      </c>
      <c r="E111" s="7">
        <f>'FY26'!AD111</f>
        <v>169425.25306560003</v>
      </c>
      <c r="F111" s="7">
        <f>'FY27'!AD111</f>
        <v>172813.75812691203</v>
      </c>
      <c r="G111" s="7">
        <f>'FY28'!AD111</f>
        <v>176270.03328945028</v>
      </c>
    </row>
    <row r="112" spans="1:7" x14ac:dyDescent="0.25">
      <c r="A112" s="62" t="s">
        <v>92</v>
      </c>
      <c r="B112" s="7">
        <f>'FY23'!AD112</f>
        <v>89600</v>
      </c>
      <c r="C112" s="7">
        <f>'FY24'!AD112</f>
        <v>89600</v>
      </c>
      <c r="D112" s="7">
        <f>'FY25'!AD112</f>
        <v>89600</v>
      </c>
      <c r="E112" s="7">
        <f>'FY26'!AD112</f>
        <v>89600</v>
      </c>
      <c r="F112" s="7">
        <f>'FY27'!AD112</f>
        <v>89600</v>
      </c>
      <c r="G112" s="7">
        <f>'FY28'!AD112</f>
        <v>91200</v>
      </c>
    </row>
    <row r="113" spans="1:7" x14ac:dyDescent="0.25">
      <c r="A113" s="62" t="s">
        <v>93</v>
      </c>
      <c r="B113" s="7">
        <f>'FY23'!AD113</f>
        <v>241920</v>
      </c>
      <c r="C113" s="7">
        <f>'FY24'!AD113</f>
        <v>250560</v>
      </c>
      <c r="D113" s="7">
        <f>'FY25'!AD113</f>
        <v>297360</v>
      </c>
      <c r="E113" s="7">
        <f>'FY26'!AD113</f>
        <v>302400</v>
      </c>
      <c r="F113" s="7">
        <f>'FY27'!AD113</f>
        <v>307440</v>
      </c>
      <c r="G113" s="7">
        <f>'FY28'!AD113</f>
        <v>312480</v>
      </c>
    </row>
    <row r="114" spans="1:7" x14ac:dyDescent="0.25">
      <c r="A114" s="62" t="s">
        <v>94</v>
      </c>
      <c r="B114" s="7">
        <f>'FY23'!AD114</f>
        <v>113520</v>
      </c>
      <c r="C114" s="7">
        <f>'FY24'!AD114</f>
        <v>117120</v>
      </c>
      <c r="D114" s="7">
        <f>'FY25'!AD114</f>
        <v>119040</v>
      </c>
      <c r="E114" s="7">
        <f>'FY26'!AD114</f>
        <v>120960</v>
      </c>
      <c r="F114" s="7">
        <f>'FY27'!AD114</f>
        <v>122880</v>
      </c>
      <c r="G114" s="7">
        <f>'FY28'!AD114</f>
        <v>124800</v>
      </c>
    </row>
    <row r="115" spans="1:7" x14ac:dyDescent="0.25">
      <c r="A115" s="62" t="s">
        <v>248</v>
      </c>
      <c r="B115" s="7">
        <f>'FY23'!AD115</f>
        <v>0</v>
      </c>
      <c r="C115" s="7">
        <f>'FY24'!AD115</f>
        <v>0</v>
      </c>
      <c r="D115" s="7">
        <f>'FY25'!AD115</f>
        <v>0</v>
      </c>
      <c r="E115" s="7">
        <f>'FY26'!AD115</f>
        <v>0</v>
      </c>
      <c r="F115" s="7">
        <f>'FY27'!AD115</f>
        <v>0</v>
      </c>
      <c r="G115" s="7">
        <f>'FY28'!AD115</f>
        <v>0</v>
      </c>
    </row>
    <row r="116" spans="1:7" ht="15.75" thickBot="1" x14ac:dyDescent="0.3">
      <c r="A116" s="82" t="s">
        <v>95</v>
      </c>
      <c r="B116" s="83">
        <f>SUM(B103:B115)</f>
        <v>5804517.9479999999</v>
      </c>
      <c r="C116" s="83">
        <f>SUM(C103:C115)</f>
        <v>6218475.0069600008</v>
      </c>
      <c r="D116" s="83">
        <f t="shared" ref="D116:G116" si="20">SUM(D103:D115)</f>
        <v>6583857.9070991995</v>
      </c>
      <c r="E116" s="83">
        <f t="shared" si="20"/>
        <v>6814408.0652411841</v>
      </c>
      <c r="F116" s="83">
        <f t="shared" si="20"/>
        <v>6951267.026546008</v>
      </c>
      <c r="G116" s="83">
        <f t="shared" si="20"/>
        <v>7090066.4670769274</v>
      </c>
    </row>
    <row r="117" spans="1:7" x14ac:dyDescent="0.25">
      <c r="A117" s="84" t="s">
        <v>96</v>
      </c>
      <c r="B117" s="150" t="str">
        <f>B1</f>
        <v xml:space="preserve"> FY 23</v>
      </c>
      <c r="C117" s="150" t="str">
        <f>C1</f>
        <v xml:space="preserve"> FY 24</v>
      </c>
      <c r="D117" s="150" t="str">
        <f>D1</f>
        <v xml:space="preserve"> FY 25</v>
      </c>
      <c r="E117" s="150" t="str">
        <f t="shared" ref="E117:G117" si="21">E1</f>
        <v xml:space="preserve"> FY 26</v>
      </c>
      <c r="F117" s="150" t="str">
        <f t="shared" si="21"/>
        <v xml:space="preserve"> FY 27</v>
      </c>
      <c r="G117" s="150" t="str">
        <f t="shared" si="21"/>
        <v xml:space="preserve"> FY 28</v>
      </c>
    </row>
    <row r="118" spans="1:7" x14ac:dyDescent="0.25">
      <c r="A118" s="62"/>
      <c r="B118" s="7">
        <f>'FY23'!AD118</f>
        <v>0</v>
      </c>
      <c r="C118" s="7">
        <f>'FY24'!AD118</f>
        <v>0</v>
      </c>
      <c r="D118" s="7">
        <f>'FY25'!AD118</f>
        <v>0</v>
      </c>
      <c r="E118" s="7">
        <f>'FY26'!AD118</f>
        <v>0</v>
      </c>
      <c r="F118" s="7">
        <f>'FY27'!AD118</f>
        <v>0</v>
      </c>
      <c r="G118" s="7">
        <f>'FY28'!AD118</f>
        <v>0</v>
      </c>
    </row>
    <row r="119" spans="1:7" x14ac:dyDescent="0.25">
      <c r="A119" s="62" t="s">
        <v>54</v>
      </c>
      <c r="B119" s="7">
        <f>'FY23'!AD119</f>
        <v>0</v>
      </c>
      <c r="C119" s="7">
        <f>'FY24'!AD119</f>
        <v>0</v>
      </c>
      <c r="D119" s="7">
        <f>'FY25'!AD119</f>
        <v>0</v>
      </c>
      <c r="E119" s="7">
        <f>'FY26'!AD119</f>
        <v>0</v>
      </c>
      <c r="F119" s="7">
        <f>'FY27'!AD119</f>
        <v>0</v>
      </c>
      <c r="G119" s="7">
        <f>'FY28'!AD119</f>
        <v>0</v>
      </c>
    </row>
    <row r="120" spans="1:7" x14ac:dyDescent="0.25">
      <c r="A120" s="62" t="s">
        <v>55</v>
      </c>
      <c r="B120" s="7">
        <f>'FY23'!AD120</f>
        <v>47858.400000000001</v>
      </c>
      <c r="C120" s="7">
        <f>'FY24'!AD120</f>
        <v>48815.567999999999</v>
      </c>
      <c r="D120" s="7">
        <f>'FY25'!AD120</f>
        <v>49791.879359999999</v>
      </c>
      <c r="E120" s="7">
        <f>'FY26'!AD120</f>
        <v>50787.716947200002</v>
      </c>
      <c r="F120" s="7">
        <f>'FY27'!AD120</f>
        <v>51803.471286144006</v>
      </c>
      <c r="G120" s="7">
        <f>'FY28'!AD120</f>
        <v>52839.540711866888</v>
      </c>
    </row>
    <row r="121" spans="1:7" x14ac:dyDescent="0.25">
      <c r="A121" s="62" t="s">
        <v>56</v>
      </c>
      <c r="B121" s="7">
        <f>'FY23'!AD121</f>
        <v>65000</v>
      </c>
      <c r="C121" s="7">
        <f>'FY24'!AD121</f>
        <v>66300</v>
      </c>
      <c r="D121" s="7">
        <f>'FY25'!AD121</f>
        <v>67626</v>
      </c>
      <c r="E121" s="7">
        <f>'FY26'!AD121</f>
        <v>68978.52</v>
      </c>
      <c r="F121" s="7">
        <f>'FY27'!AD121</f>
        <v>70358.090400000001</v>
      </c>
      <c r="G121" s="7">
        <f>'FY28'!AD121</f>
        <v>71765.252208000005</v>
      </c>
    </row>
    <row r="122" spans="1:7" x14ac:dyDescent="0.25">
      <c r="A122" s="62" t="s">
        <v>97</v>
      </c>
      <c r="B122" s="7">
        <f>'FY23'!AD122</f>
        <v>17270.64</v>
      </c>
      <c r="C122" s="7">
        <f>'FY24'!AD122</f>
        <v>17616.052800000001</v>
      </c>
      <c r="D122" s="7">
        <f>'FY25'!AD122</f>
        <v>17968.373856000002</v>
      </c>
      <c r="E122" s="7">
        <f>'FY26'!AD122</f>
        <v>18327.741333120004</v>
      </c>
      <c r="F122" s="7">
        <f>'FY27'!AD122</f>
        <v>18694.296159782403</v>
      </c>
      <c r="G122" s="7">
        <f>'FY28'!AD122</f>
        <v>19068.182082978052</v>
      </c>
    </row>
    <row r="123" spans="1:7" x14ac:dyDescent="0.25">
      <c r="A123" s="62" t="s">
        <v>58</v>
      </c>
      <c r="B123" s="7">
        <f>'FY23'!AD123</f>
        <v>67626</v>
      </c>
      <c r="C123" s="7">
        <f>'FY24'!AD123</f>
        <v>68978.52</v>
      </c>
      <c r="D123" s="7">
        <f>'FY25'!AD123</f>
        <v>70358.090400000001</v>
      </c>
      <c r="E123" s="7">
        <f>'FY26'!AD123</f>
        <v>71765.252208000005</v>
      </c>
      <c r="F123" s="7">
        <f>'FY27'!AD123</f>
        <v>73200.557252160012</v>
      </c>
      <c r="G123" s="7">
        <f>'FY28'!AD123</f>
        <v>74664.568397203213</v>
      </c>
    </row>
    <row r="124" spans="1:7" x14ac:dyDescent="0.25">
      <c r="A124" s="62" t="s">
        <v>98</v>
      </c>
      <c r="B124" s="7">
        <f>'FY23'!AD124</f>
        <v>69500</v>
      </c>
      <c r="C124" s="7">
        <f>'FY24'!AD124</f>
        <v>70890</v>
      </c>
      <c r="D124" s="7">
        <f>'FY25'!AD124</f>
        <v>72307.8</v>
      </c>
      <c r="E124" s="7">
        <f>'FY26'!AD124</f>
        <v>73753.956000000006</v>
      </c>
      <c r="F124" s="7">
        <f>'FY27'!AD124</f>
        <v>75229.03512</v>
      </c>
      <c r="G124" s="7">
        <f>'FY28'!AD124</f>
        <v>76733.615822399996</v>
      </c>
    </row>
    <row r="125" spans="1:7" x14ac:dyDescent="0.25">
      <c r="A125" s="62" t="s">
        <v>99</v>
      </c>
      <c r="B125" s="7">
        <f>'FY23'!AD125</f>
        <v>0</v>
      </c>
      <c r="C125" s="7">
        <f>'FY24'!AD125</f>
        <v>0</v>
      </c>
      <c r="D125" s="7">
        <f>'FY25'!AD125</f>
        <v>0</v>
      </c>
      <c r="E125" s="7">
        <f>'FY26'!AD125</f>
        <v>0</v>
      </c>
      <c r="F125" s="7">
        <f>'FY27'!AD125</f>
        <v>0</v>
      </c>
      <c r="G125" s="7">
        <f>'FY28'!AD125</f>
        <v>0</v>
      </c>
    </row>
    <row r="126" spans="1:7" x14ac:dyDescent="0.25">
      <c r="A126" s="62" t="s">
        <v>100</v>
      </c>
      <c r="B126" s="7">
        <f>'FY23'!AD126</f>
        <v>40320</v>
      </c>
      <c r="C126" s="7">
        <f>'FY24'!AD126</f>
        <v>41040</v>
      </c>
      <c r="D126" s="7">
        <f>'FY25'!AD126</f>
        <v>41760</v>
      </c>
      <c r="E126" s="7">
        <f>'FY26'!AD126</f>
        <v>42480</v>
      </c>
      <c r="F126" s="7">
        <f>'FY27'!AD126</f>
        <v>43200</v>
      </c>
      <c r="G126" s="7">
        <f>'FY28'!AD126</f>
        <v>43920</v>
      </c>
    </row>
    <row r="127" spans="1:7" x14ac:dyDescent="0.25">
      <c r="A127" s="62" t="s">
        <v>101</v>
      </c>
      <c r="B127" s="7">
        <f>'FY23'!AD127</f>
        <v>24300</v>
      </c>
      <c r="C127" s="7">
        <f>'FY24'!AD127</f>
        <v>24300</v>
      </c>
      <c r="D127" s="7">
        <f>'FY25'!AD127</f>
        <v>24300</v>
      </c>
      <c r="E127" s="7">
        <f>'FY26'!AD127</f>
        <v>24300</v>
      </c>
      <c r="F127" s="7">
        <f>'FY27'!AD127</f>
        <v>24300</v>
      </c>
      <c r="G127" s="7">
        <f>'FY28'!AD127</f>
        <v>24300</v>
      </c>
    </row>
    <row r="128" spans="1:7" ht="15.75" thickBot="1" x14ac:dyDescent="0.3">
      <c r="A128" s="82" t="s">
        <v>102</v>
      </c>
      <c r="B128" s="87">
        <f>SUM(B118:B127)</f>
        <v>331875.03999999998</v>
      </c>
      <c r="C128" s="87">
        <f>SUM(C118:C127)</f>
        <v>337940.14079999999</v>
      </c>
      <c r="D128" s="87">
        <f>SUM(D118:D127)</f>
        <v>344112.14361599996</v>
      </c>
      <c r="E128" s="87">
        <f t="shared" ref="E128:G128" si="22">SUM(E118:E127)</f>
        <v>350393.18648832</v>
      </c>
      <c r="F128" s="87">
        <f t="shared" si="22"/>
        <v>356785.45021808642</v>
      </c>
      <c r="G128" s="87">
        <f t="shared" si="22"/>
        <v>363291.15922244813</v>
      </c>
    </row>
    <row r="129" spans="1:7" ht="15.75" thickBot="1" x14ac:dyDescent="0.3">
      <c r="A129" s="89" t="s">
        <v>103</v>
      </c>
      <c r="B129" s="90">
        <f>B116+B128</f>
        <v>6136392.9879999999</v>
      </c>
      <c r="C129" s="90">
        <f>C116+C128</f>
        <v>6556415.147760001</v>
      </c>
      <c r="D129" s="90">
        <f>D116+D128</f>
        <v>6927970.0507151997</v>
      </c>
      <c r="E129" s="90">
        <f t="shared" ref="E129" si="23">E116+E128</f>
        <v>7164801.2517295042</v>
      </c>
      <c r="F129" s="90">
        <f>F116+F128</f>
        <v>7308052.4767640941</v>
      </c>
      <c r="G129" s="90">
        <f>G116+G128</f>
        <v>7453357.6262993757</v>
      </c>
    </row>
    <row r="130" spans="1:7" x14ac:dyDescent="0.25">
      <c r="A130" s="62" t="s">
        <v>104</v>
      </c>
      <c r="B130" s="7">
        <f>'FY23'!AD130</f>
        <v>1810576.9139299996</v>
      </c>
      <c r="C130" s="7">
        <f>'FY24'!AD130</f>
        <v>1950533.5064586001</v>
      </c>
      <c r="D130" s="7">
        <f>'FY25'!AD130</f>
        <v>2061071.0900877719</v>
      </c>
      <c r="E130" s="7">
        <f>'FY26'!AD130</f>
        <v>2131528.372389527</v>
      </c>
      <c r="F130" s="7">
        <f>'FY27'!AD130</f>
        <v>2174145.6118373177</v>
      </c>
      <c r="G130" s="7">
        <f>'FY28'!AD130</f>
        <v>2217373.8938240646</v>
      </c>
    </row>
    <row r="131" spans="1:7" x14ac:dyDescent="0.25">
      <c r="A131" s="62" t="s">
        <v>105</v>
      </c>
      <c r="B131" s="7">
        <f>'FY23'!AD131</f>
        <v>1076369.2882000001</v>
      </c>
      <c r="C131" s="7">
        <f>'FY24'!AD131</f>
        <v>1180154.7265967999</v>
      </c>
      <c r="D131" s="7">
        <f>'FY25'!AD131</f>
        <v>1264354.5342555239</v>
      </c>
      <c r="E131" s="7">
        <f>'FY26'!AD131</f>
        <v>1325488.2315699582</v>
      </c>
      <c r="F131" s="7">
        <f>'FY27'!AD131</f>
        <v>1370259.8393932676</v>
      </c>
      <c r="G131" s="7">
        <f>'FY28'!AD131</f>
        <v>1416137.9489968815</v>
      </c>
    </row>
    <row r="132" spans="1:7" x14ac:dyDescent="0.25">
      <c r="A132" s="62" t="s">
        <v>249</v>
      </c>
      <c r="B132" s="7">
        <f>'FY23'!AD132</f>
        <v>106682.4</v>
      </c>
      <c r="C132" s="7">
        <f>'FY24'!AD132</f>
        <v>112402.4</v>
      </c>
      <c r="D132" s="7">
        <f>'FY25'!AD132</f>
        <v>116450.4</v>
      </c>
      <c r="E132" s="7">
        <f>'FY26'!AD132</f>
        <v>118210.4</v>
      </c>
      <c r="F132" s="7">
        <f>'FY27'!AD132</f>
        <v>118210.4</v>
      </c>
      <c r="G132" s="7">
        <f>'FY28'!AD132</f>
        <v>118210.4</v>
      </c>
    </row>
    <row r="133" spans="1:7" x14ac:dyDescent="0.25">
      <c r="A133" s="62" t="s">
        <v>250</v>
      </c>
      <c r="B133" s="7">
        <f>'FY23'!AD133</f>
        <v>19603.75</v>
      </c>
      <c r="C133" s="7">
        <f>'FY24'!AD133</f>
        <v>20416.25</v>
      </c>
      <c r="D133" s="7">
        <f>'FY25'!AD133</f>
        <v>21166.25</v>
      </c>
      <c r="E133" s="7">
        <f>'FY26'!AD133</f>
        <v>21416.25</v>
      </c>
      <c r="F133" s="7">
        <f>'FY27'!AD133</f>
        <v>21416.25</v>
      </c>
      <c r="G133" s="7">
        <f>'FY28'!AD133</f>
        <v>21416.25</v>
      </c>
    </row>
    <row r="134" spans="1:7" x14ac:dyDescent="0.25">
      <c r="A134" s="62" t="s">
        <v>107</v>
      </c>
      <c r="B134" s="7">
        <f>'FY23'!AD134</f>
        <v>15000</v>
      </c>
      <c r="C134" s="7">
        <f>'FY24'!AD134</f>
        <v>15000</v>
      </c>
      <c r="D134" s="7">
        <f>'FY25'!AD134</f>
        <v>15000</v>
      </c>
      <c r="E134" s="7">
        <f>'FY26'!AD134</f>
        <v>15000</v>
      </c>
      <c r="F134" s="7">
        <f>'FY27'!AD134</f>
        <v>15000</v>
      </c>
      <c r="G134" s="7">
        <f>'FY28'!AD134</f>
        <v>15000</v>
      </c>
    </row>
    <row r="135" spans="1:7" x14ac:dyDescent="0.25">
      <c r="A135" s="62" t="s">
        <v>251</v>
      </c>
      <c r="B135" s="7">
        <f>'FY23'!AD135</f>
        <v>60915</v>
      </c>
      <c r="C135" s="7">
        <f>'FY24'!AD135</f>
        <v>64165</v>
      </c>
      <c r="D135" s="7">
        <f>'FY25'!AD135</f>
        <v>66665</v>
      </c>
      <c r="E135" s="7">
        <f>'FY26'!AD135</f>
        <v>67665</v>
      </c>
      <c r="F135" s="7">
        <f>'FY27'!AD135</f>
        <v>67665</v>
      </c>
      <c r="G135" s="7">
        <f>'FY28'!AD135</f>
        <v>67665</v>
      </c>
    </row>
    <row r="136" spans="1:7" x14ac:dyDescent="0.25">
      <c r="A136" s="62" t="s">
        <v>108</v>
      </c>
      <c r="B136" s="7">
        <f>'FY23'!AD136</f>
        <v>7500</v>
      </c>
      <c r="C136" s="7">
        <f>'FY24'!AD136</f>
        <v>12000</v>
      </c>
      <c r="D136" s="7">
        <f>'FY25'!AD136</f>
        <v>12000</v>
      </c>
      <c r="E136" s="7">
        <f>'FY26'!AD136</f>
        <v>12000</v>
      </c>
      <c r="F136" s="7">
        <f>'FY27'!AD136</f>
        <v>12000</v>
      </c>
      <c r="G136" s="7">
        <f>'FY28'!AD136</f>
        <v>12000</v>
      </c>
    </row>
    <row r="137" spans="1:7" x14ac:dyDescent="0.25">
      <c r="A137" s="62" t="s">
        <v>109</v>
      </c>
      <c r="B137" s="7">
        <f>'FY23'!AD137</f>
        <v>144950</v>
      </c>
      <c r="C137" s="7">
        <f>'FY24'!AD137</f>
        <v>153325</v>
      </c>
      <c r="D137" s="7">
        <f>'FY25'!AD137</f>
        <v>160325</v>
      </c>
      <c r="E137" s="7">
        <f>'FY26'!AD137</f>
        <v>163825</v>
      </c>
      <c r="F137" s="7">
        <f>'FY27'!AD137</f>
        <v>163825</v>
      </c>
      <c r="G137" s="7">
        <f>'FY28'!AD137</f>
        <v>163825</v>
      </c>
    </row>
    <row r="138" spans="1:7" ht="15.75" thickBot="1" x14ac:dyDescent="0.3">
      <c r="A138" s="91" t="s">
        <v>110</v>
      </c>
      <c r="B138" s="87">
        <f>SUM(B130:B137)</f>
        <v>3241597.3521299995</v>
      </c>
      <c r="C138" s="87">
        <f>SUM(C130:C137)</f>
        <v>3507996.8830553996</v>
      </c>
      <c r="D138" s="87">
        <f>SUM(D130:D137)</f>
        <v>3717032.2743432955</v>
      </c>
      <c r="E138" s="87">
        <f t="shared" ref="E138:G138" si="24">SUM(E130:E137)</f>
        <v>3855133.2539594849</v>
      </c>
      <c r="F138" s="87">
        <f t="shared" si="24"/>
        <v>3942522.1012305855</v>
      </c>
      <c r="G138" s="87">
        <f t="shared" si="24"/>
        <v>4031628.492820946</v>
      </c>
    </row>
    <row r="139" spans="1:7" ht="15.75" thickBot="1" x14ac:dyDescent="0.3">
      <c r="A139" s="95" t="s">
        <v>111</v>
      </c>
      <c r="B139" s="90">
        <f>B129+B138</f>
        <v>9377990.3401299994</v>
      </c>
      <c r="C139" s="90">
        <f>C129+C138</f>
        <v>10064412.0308154</v>
      </c>
      <c r="D139" s="90">
        <f>D129+D138</f>
        <v>10645002.325058496</v>
      </c>
      <c r="E139" s="90">
        <f t="shared" ref="E139:G139" si="25">E129+E138</f>
        <v>11019934.50568899</v>
      </c>
      <c r="F139" s="90">
        <f t="shared" si="25"/>
        <v>11250574.57799468</v>
      </c>
      <c r="G139" s="90">
        <f t="shared" si="25"/>
        <v>11484986.119120322</v>
      </c>
    </row>
    <row r="140" spans="1:7" x14ac:dyDescent="0.25">
      <c r="A140" s="97" t="s">
        <v>112</v>
      </c>
      <c r="B140" s="149" t="str">
        <f>B1</f>
        <v xml:space="preserve"> FY 23</v>
      </c>
      <c r="C140" s="149" t="str">
        <f>C1</f>
        <v xml:space="preserve"> FY 24</v>
      </c>
      <c r="D140" s="149" t="str">
        <f>D1</f>
        <v xml:space="preserve"> FY 25</v>
      </c>
      <c r="E140" s="149" t="str">
        <f t="shared" ref="E140:G140" si="26">E1</f>
        <v xml:space="preserve"> FY 26</v>
      </c>
      <c r="F140" s="149" t="str">
        <f t="shared" si="26"/>
        <v xml:space="preserve"> FY 27</v>
      </c>
      <c r="G140" s="149" t="str">
        <f t="shared" si="26"/>
        <v xml:space="preserve"> FY 28</v>
      </c>
    </row>
    <row r="141" spans="1:7" x14ac:dyDescent="0.25">
      <c r="A141" s="98" t="s">
        <v>113</v>
      </c>
      <c r="B141" s="7">
        <f>'FY23'!AD141</f>
        <v>292600</v>
      </c>
      <c r="C141" s="7">
        <f>'FY24'!AD141</f>
        <v>338100</v>
      </c>
      <c r="D141" s="7">
        <f>'FY25'!AD141</f>
        <v>356250</v>
      </c>
      <c r="E141" s="7">
        <f>'FY26'!AD141</f>
        <v>365250</v>
      </c>
      <c r="F141" s="7">
        <f>'FY27'!AD141</f>
        <v>364350</v>
      </c>
      <c r="G141" s="7">
        <f>'FY28'!AD141</f>
        <v>364200</v>
      </c>
    </row>
    <row r="142" spans="1:7" x14ac:dyDescent="0.25">
      <c r="A142" s="99" t="s">
        <v>252</v>
      </c>
      <c r="B142" s="7">
        <f>'FY23'!AD142</f>
        <v>50000</v>
      </c>
      <c r="C142" s="7">
        <f>'FY24'!AD142</f>
        <v>175000</v>
      </c>
      <c r="D142" s="7">
        <f>'FY25'!AD142</f>
        <v>185000</v>
      </c>
      <c r="E142" s="7">
        <f>'FY26'!AD142</f>
        <v>200000</v>
      </c>
      <c r="F142" s="7">
        <f>'FY27'!AD142</f>
        <v>225000</v>
      </c>
      <c r="G142" s="7">
        <f>'FY28'!AD142</f>
        <v>250000</v>
      </c>
    </row>
    <row r="143" spans="1:7" x14ac:dyDescent="0.25">
      <c r="A143" s="62" t="s">
        <v>115</v>
      </c>
      <c r="B143" s="7">
        <f>'FY23'!AD143</f>
        <v>263700</v>
      </c>
      <c r="C143" s="7">
        <f>'FY24'!AD143</f>
        <v>0</v>
      </c>
      <c r="D143" s="7">
        <f>'FY25'!AD143</f>
        <v>0</v>
      </c>
      <c r="E143" s="7">
        <f>'FY26'!AD143</f>
        <v>0</v>
      </c>
      <c r="F143" s="7">
        <f>'FY27'!AD143</f>
        <v>0</v>
      </c>
      <c r="G143" s="7">
        <f>'FY28'!AD143</f>
        <v>0</v>
      </c>
    </row>
    <row r="144" spans="1:7" x14ac:dyDescent="0.25">
      <c r="A144" s="62" t="s">
        <v>116</v>
      </c>
      <c r="B144" s="7">
        <f>'FY23'!AD144</f>
        <v>0</v>
      </c>
      <c r="C144" s="7">
        <f>'FY24'!AD144</f>
        <v>0</v>
      </c>
      <c r="D144" s="7">
        <f>'FY25'!AD144</f>
        <v>0</v>
      </c>
      <c r="E144" s="7">
        <f>'FY26'!AD144</f>
        <v>0</v>
      </c>
      <c r="F144" s="7">
        <f>'FY27'!AD144</f>
        <v>0</v>
      </c>
      <c r="G144" s="7">
        <f>'FY28'!AD144</f>
        <v>0</v>
      </c>
    </row>
    <row r="145" spans="1:7" x14ac:dyDescent="0.25">
      <c r="A145" s="62" t="s">
        <v>117</v>
      </c>
      <c r="B145" s="7">
        <f>'FY23'!AD145</f>
        <v>29260</v>
      </c>
      <c r="C145" s="7">
        <f>'FY24'!AD145</f>
        <v>31556</v>
      </c>
      <c r="D145" s="7">
        <f>'FY25'!AD145</f>
        <v>33250</v>
      </c>
      <c r="E145" s="7">
        <f>'FY26'!AD145</f>
        <v>34090</v>
      </c>
      <c r="F145" s="7">
        <f>'FY27'!AD145</f>
        <v>34006</v>
      </c>
      <c r="G145" s="7">
        <f>'FY28'!AD145</f>
        <v>33992</v>
      </c>
    </row>
    <row r="146" spans="1:7" x14ac:dyDescent="0.25">
      <c r="A146" s="62" t="s">
        <v>118</v>
      </c>
      <c r="B146" s="7">
        <f>'FY23'!AD146</f>
        <v>60610</v>
      </c>
      <c r="C146" s="7">
        <f>'FY24'!AD146</f>
        <v>65366</v>
      </c>
      <c r="D146" s="7">
        <f>'FY25'!AD146</f>
        <v>68875</v>
      </c>
      <c r="E146" s="7">
        <f>'FY26'!AD146</f>
        <v>70615</v>
      </c>
      <c r="F146" s="7">
        <f>'FY27'!AD146</f>
        <v>70441</v>
      </c>
      <c r="G146" s="7">
        <f>'FY28'!AD146</f>
        <v>70412</v>
      </c>
    </row>
    <row r="147" spans="1:7" x14ac:dyDescent="0.25">
      <c r="A147" s="62" t="s">
        <v>119</v>
      </c>
      <c r="B147" s="7">
        <f>'FY23'!AD147</f>
        <v>8882.5</v>
      </c>
      <c r="C147" s="7">
        <f>'FY24'!AD147</f>
        <v>9579.5</v>
      </c>
      <c r="D147" s="7">
        <f>'FY25'!AD147</f>
        <v>10093.75</v>
      </c>
      <c r="E147" s="7">
        <f>'FY26'!AD147</f>
        <v>10348.75</v>
      </c>
      <c r="F147" s="7">
        <f>'FY27'!AD147</f>
        <v>10323.25</v>
      </c>
      <c r="G147" s="7">
        <f>'FY28'!AD147</f>
        <v>10319</v>
      </c>
    </row>
    <row r="148" spans="1:7" x14ac:dyDescent="0.25">
      <c r="A148" s="62" t="s">
        <v>120</v>
      </c>
      <c r="B148" s="7">
        <f>'FY23'!AD148</f>
        <v>6792.5</v>
      </c>
      <c r="C148" s="7">
        <f>'FY24'!AD148</f>
        <v>7325.5</v>
      </c>
      <c r="D148" s="7">
        <f>'FY25'!AD148</f>
        <v>7718.75</v>
      </c>
      <c r="E148" s="7">
        <f>'FY26'!AD148</f>
        <v>7913.75</v>
      </c>
      <c r="F148" s="7">
        <f>'FY27'!AD148</f>
        <v>7894.25</v>
      </c>
      <c r="G148" s="7">
        <f>'FY28'!AD148</f>
        <v>7891</v>
      </c>
    </row>
    <row r="149" spans="1:7" x14ac:dyDescent="0.25">
      <c r="A149" s="62" t="s">
        <v>121</v>
      </c>
      <c r="B149" s="7">
        <f>'FY23'!AD149</f>
        <v>22059</v>
      </c>
      <c r="C149" s="7">
        <f>'FY24'!AD149</f>
        <v>23789.945454545454</v>
      </c>
      <c r="D149" s="7">
        <f>'FY25'!AD149</f>
        <v>25067.045454545452</v>
      </c>
      <c r="E149" s="7">
        <f>'FY26'!AD149</f>
        <v>25700.31818181818</v>
      </c>
      <c r="F149" s="7">
        <f>'FY27'!AD149</f>
        <v>25636.99090909091</v>
      </c>
      <c r="G149" s="7">
        <f>'FY28'!AD149</f>
        <v>25626.436363636363</v>
      </c>
    </row>
    <row r="150" spans="1:7" ht="15.75" thickBot="1" x14ac:dyDescent="0.3">
      <c r="A150" s="62" t="s">
        <v>122</v>
      </c>
      <c r="B150" s="7">
        <f>'FY23'!AD150</f>
        <v>40000</v>
      </c>
      <c r="C150" s="7">
        <f>'FY24'!AD150</f>
        <v>40000</v>
      </c>
      <c r="D150" s="7">
        <f>'FY25'!AD150</f>
        <v>40000</v>
      </c>
      <c r="E150" s="7">
        <f>'FY26'!AD150</f>
        <v>40000</v>
      </c>
      <c r="F150" s="7">
        <f>'FY27'!AD150</f>
        <v>40000</v>
      </c>
      <c r="G150" s="7">
        <f>'FY28'!AD150</f>
        <v>40000</v>
      </c>
    </row>
    <row r="151" spans="1:7" ht="15.75" thickBot="1" x14ac:dyDescent="0.3">
      <c r="A151" s="95" t="s">
        <v>123</v>
      </c>
      <c r="B151" s="92">
        <f t="shared" ref="B151:G151" si="27">SUM(B141:B150)</f>
        <v>773904</v>
      </c>
      <c r="C151" s="92">
        <f t="shared" si="27"/>
        <v>690716.94545454544</v>
      </c>
      <c r="D151" s="92">
        <f t="shared" si="27"/>
        <v>726254.54545454541</v>
      </c>
      <c r="E151" s="92">
        <f t="shared" si="27"/>
        <v>753917.81818181823</v>
      </c>
      <c r="F151" s="92">
        <f t="shared" si="27"/>
        <v>777651.49090909096</v>
      </c>
      <c r="G151" s="92">
        <f t="shared" si="27"/>
        <v>802440.4363636364</v>
      </c>
    </row>
    <row r="152" spans="1:7" x14ac:dyDescent="0.25">
      <c r="A152" s="101" t="s">
        <v>124</v>
      </c>
      <c r="B152" s="149" t="str">
        <f t="shared" ref="B152:G152" si="28">B1</f>
        <v xml:space="preserve"> FY 23</v>
      </c>
      <c r="C152" s="149" t="str">
        <f t="shared" si="28"/>
        <v xml:space="preserve"> FY 24</v>
      </c>
      <c r="D152" s="149" t="str">
        <f t="shared" si="28"/>
        <v xml:space="preserve"> FY 25</v>
      </c>
      <c r="E152" s="149" t="str">
        <f t="shared" si="28"/>
        <v xml:space="preserve"> FY 26</v>
      </c>
      <c r="F152" s="149" t="str">
        <f t="shared" si="28"/>
        <v xml:space="preserve"> FY 27</v>
      </c>
      <c r="G152" s="149" t="str">
        <f t="shared" si="28"/>
        <v xml:space="preserve"> FY 28</v>
      </c>
    </row>
    <row r="153" spans="1:7" x14ac:dyDescent="0.25">
      <c r="A153" s="62" t="s">
        <v>125</v>
      </c>
      <c r="B153" s="7">
        <f>'FY23'!AD153</f>
        <v>18000</v>
      </c>
      <c r="C153" s="7">
        <f>'FY24'!AD153</f>
        <v>18540</v>
      </c>
      <c r="D153" s="7">
        <f>'FY25'!AD153</f>
        <v>19096.2</v>
      </c>
      <c r="E153" s="7">
        <f>'FY26'!AD153</f>
        <v>19669.086000000003</v>
      </c>
      <c r="F153" s="7">
        <f>'FY27'!AD153</f>
        <v>20259.158580000003</v>
      </c>
      <c r="G153" s="7">
        <f>'FY28'!AD153</f>
        <v>20259.158580000003</v>
      </c>
    </row>
    <row r="154" spans="1:7" x14ac:dyDescent="0.25">
      <c r="A154" s="62" t="s">
        <v>126</v>
      </c>
      <c r="B154" s="7">
        <f>'FY23'!AD154</f>
        <v>112860</v>
      </c>
      <c r="C154" s="7">
        <f>'FY24'!AD154</f>
        <v>236670</v>
      </c>
      <c r="D154" s="7">
        <f>'FY25'!AD154</f>
        <v>261250</v>
      </c>
      <c r="E154" s="7">
        <f>'FY26'!AD154</f>
        <v>267850</v>
      </c>
      <c r="F154" s="7">
        <f>'FY27'!AD154</f>
        <v>279335</v>
      </c>
      <c r="G154" s="7">
        <f>'FY28'!AD154</f>
        <v>279220</v>
      </c>
    </row>
    <row r="155" spans="1:7" x14ac:dyDescent="0.25">
      <c r="A155" s="62" t="s">
        <v>253</v>
      </c>
      <c r="B155" s="7">
        <f>'FY23'!AD155</f>
        <v>0</v>
      </c>
      <c r="C155" s="7">
        <f>'FY24'!AD155</f>
        <v>0</v>
      </c>
      <c r="D155" s="7">
        <f>'FY25'!AD155</f>
        <v>0</v>
      </c>
      <c r="E155" s="7">
        <f>'FY26'!AD155</f>
        <v>0</v>
      </c>
      <c r="F155" s="7">
        <f>'FY27'!AD155</f>
        <v>0</v>
      </c>
      <c r="G155" s="7">
        <f>'FY28'!AD155</f>
        <v>0</v>
      </c>
    </row>
    <row r="156" spans="1:7" x14ac:dyDescent="0.25">
      <c r="A156" s="62" t="s">
        <v>254</v>
      </c>
      <c r="B156" s="7">
        <f>'FY23'!AD156</f>
        <v>0</v>
      </c>
      <c r="C156" s="7">
        <f>'FY24'!AD156</f>
        <v>0</v>
      </c>
      <c r="D156" s="7">
        <f>'FY25'!AD156</f>
        <v>0</v>
      </c>
      <c r="E156" s="7">
        <f>'FY26'!AD156</f>
        <v>0</v>
      </c>
      <c r="F156" s="7">
        <f>'FY27'!AD156</f>
        <v>0</v>
      </c>
      <c r="G156" s="7">
        <f>'FY28'!AD156</f>
        <v>0</v>
      </c>
    </row>
    <row r="157" spans="1:7" x14ac:dyDescent="0.25">
      <c r="A157" s="62" t="s">
        <v>128</v>
      </c>
      <c r="B157" s="7">
        <f>'FY23'!AD157</f>
        <v>940500</v>
      </c>
      <c r="C157" s="7">
        <f>'FY24'!AD157</f>
        <v>1014300</v>
      </c>
      <c r="D157" s="7">
        <f>'FY25'!AD157</f>
        <v>1068750</v>
      </c>
      <c r="E157" s="7">
        <f>'FY26'!AD157</f>
        <v>1095750</v>
      </c>
      <c r="F157" s="7">
        <f>'FY27'!AD157</f>
        <v>1093050</v>
      </c>
      <c r="G157" s="7">
        <f>'FY28'!AD157</f>
        <v>1092600</v>
      </c>
    </row>
    <row r="158" spans="1:7" x14ac:dyDescent="0.25">
      <c r="A158" s="62" t="s">
        <v>129</v>
      </c>
      <c r="B158" s="7">
        <f>'FY23'!AD158</f>
        <v>33879.199999999997</v>
      </c>
      <c r="C158" s="7">
        <f>'FY24'!AD158</f>
        <v>35439.199999999997</v>
      </c>
      <c r="D158" s="7">
        <f>'FY25'!AD158</f>
        <v>36879.199999999997</v>
      </c>
      <c r="E158" s="7">
        <f>'FY26'!AD158</f>
        <v>37359.199999999997</v>
      </c>
      <c r="F158" s="7">
        <f>'FY27'!AD158</f>
        <v>37359.199999999997</v>
      </c>
      <c r="G158" s="7">
        <f>'FY28'!AD158</f>
        <v>37359.199999999997</v>
      </c>
    </row>
    <row r="159" spans="1:7" s="212" customFormat="1" x14ac:dyDescent="0.25">
      <c r="A159" s="62" t="s">
        <v>130</v>
      </c>
      <c r="B159" s="7">
        <f>'FY23'!AD159</f>
        <v>11500</v>
      </c>
      <c r="C159" s="7">
        <f>'FY24'!AD159</f>
        <v>11845</v>
      </c>
      <c r="D159" s="7">
        <f>'FY25'!AD159</f>
        <v>12200.35</v>
      </c>
      <c r="E159" s="7">
        <f>'FY26'!AD159</f>
        <v>12566.360500000001</v>
      </c>
      <c r="F159" s="7">
        <f>'FY27'!AD159</f>
        <v>12943.351315000002</v>
      </c>
      <c r="G159" s="7">
        <f>'FY28'!AD159</f>
        <v>13331.651854450001</v>
      </c>
    </row>
    <row r="160" spans="1:7" x14ac:dyDescent="0.25">
      <c r="A160" s="62" t="s">
        <v>131</v>
      </c>
      <c r="B160" s="7">
        <f>'FY23'!AD160</f>
        <v>5500</v>
      </c>
      <c r="C160" s="7">
        <f>'FY24'!AD160</f>
        <v>6000</v>
      </c>
      <c r="D160" s="7">
        <f>'FY25'!AD160</f>
        <v>6000</v>
      </c>
      <c r="E160" s="7">
        <f>'FY26'!AD160</f>
        <v>6000</v>
      </c>
      <c r="F160" s="7">
        <f>'FY27'!AD160</f>
        <v>6000</v>
      </c>
      <c r="G160" s="7">
        <f>'FY28'!AD160</f>
        <v>6000</v>
      </c>
    </row>
    <row r="161" spans="1:7" x14ac:dyDescent="0.25">
      <c r="A161" s="62" t="s">
        <v>132</v>
      </c>
      <c r="B161" s="7">
        <f>'FY23'!AD161</f>
        <v>94050</v>
      </c>
      <c r="C161" s="7">
        <f>'FY24'!AD161</f>
        <v>101430</v>
      </c>
      <c r="D161" s="7">
        <f>'FY25'!AD161</f>
        <v>106875</v>
      </c>
      <c r="E161" s="7">
        <f>'FY26'!AD161</f>
        <v>109575</v>
      </c>
      <c r="F161" s="7">
        <f>'FY27'!AD161</f>
        <v>109305</v>
      </c>
      <c r="G161" s="7">
        <f>'FY28'!AD161</f>
        <v>109260</v>
      </c>
    </row>
    <row r="162" spans="1:7" x14ac:dyDescent="0.25">
      <c r="A162" s="62" t="s">
        <v>133</v>
      </c>
      <c r="B162" s="7">
        <f>'FY23'!AD162</f>
        <v>7500</v>
      </c>
      <c r="C162" s="7">
        <f>'FY24'!AD162</f>
        <v>12500</v>
      </c>
      <c r="D162" s="7">
        <f>'FY25'!AD162</f>
        <v>12500</v>
      </c>
      <c r="E162" s="7">
        <f>'FY26'!AD162</f>
        <v>12500</v>
      </c>
      <c r="F162" s="7">
        <f>'FY27'!AD162</f>
        <v>12500</v>
      </c>
      <c r="G162" s="7">
        <f>'FY28'!AD162</f>
        <v>12500</v>
      </c>
    </row>
    <row r="163" spans="1:7" x14ac:dyDescent="0.25">
      <c r="A163" s="62" t="s">
        <v>134</v>
      </c>
      <c r="B163" s="7">
        <f>'FY23'!AD163</f>
        <v>192416.15</v>
      </c>
      <c r="C163" s="7">
        <f>'FY24'!AD163</f>
        <v>208151.51857499999</v>
      </c>
      <c r="D163" s="7">
        <f>'FY25'!AD163</f>
        <v>222176.81222343748</v>
      </c>
      <c r="E163" s="7">
        <f>'FY26'!AD163</f>
        <v>230750.96621263289</v>
      </c>
      <c r="F163" s="7">
        <f>'FY27'!AD163</f>
        <v>233174.75161830863</v>
      </c>
      <c r="G163" s="7">
        <f>'FY28'!AD163</f>
        <v>236108.77924632921</v>
      </c>
    </row>
    <row r="164" spans="1:7" x14ac:dyDescent="0.25">
      <c r="A164" s="62" t="s">
        <v>135</v>
      </c>
      <c r="B164" s="7">
        <f>'FY23'!AD164</f>
        <v>76211.850000000006</v>
      </c>
      <c r="C164" s="7">
        <f>'FY24'!AD164</f>
        <v>83260.607429999989</v>
      </c>
      <c r="D164" s="7">
        <f>'FY25'!AD164</f>
        <v>88870.724889374993</v>
      </c>
      <c r="E164" s="7">
        <f>'FY26'!AD164</f>
        <v>92300.386485053154</v>
      </c>
      <c r="F164" s="7">
        <f>'FY27'!AD164</f>
        <v>93269.900647323448</v>
      </c>
      <c r="G164" s="7">
        <f>'FY28'!AD164</f>
        <v>94443.511698531671</v>
      </c>
    </row>
    <row r="165" spans="1:7" x14ac:dyDescent="0.25">
      <c r="A165" s="62" t="s">
        <v>136</v>
      </c>
      <c r="B165" s="7">
        <f>'FY23'!AD165</f>
        <v>76211.850000000006</v>
      </c>
      <c r="C165" s="7">
        <f>'FY24'!AD165</f>
        <v>83260.607429999989</v>
      </c>
      <c r="D165" s="7">
        <f>'FY25'!AD165</f>
        <v>88870.724889374993</v>
      </c>
      <c r="E165" s="7">
        <f>'FY26'!AD165</f>
        <v>92300.386485053154</v>
      </c>
      <c r="F165" s="7">
        <f>'FY27'!AD165</f>
        <v>93269.900647323448</v>
      </c>
      <c r="G165" s="7">
        <f>'FY28'!AD165</f>
        <v>94443.511698531671</v>
      </c>
    </row>
    <row r="166" spans="1:7" ht="15.75" thickBot="1" x14ac:dyDescent="0.3">
      <c r="A166" s="62" t="s">
        <v>137</v>
      </c>
      <c r="B166" s="7">
        <f>'FY23'!AD166</f>
        <v>0</v>
      </c>
      <c r="C166" s="7">
        <f>'FY24'!AD166</f>
        <v>0</v>
      </c>
      <c r="D166" s="7">
        <f>'FY25'!AD166</f>
        <v>0</v>
      </c>
      <c r="E166" s="7">
        <f>'FY26'!AD166</f>
        <v>0</v>
      </c>
      <c r="F166" s="7">
        <f>'FY27'!AD166</f>
        <v>0</v>
      </c>
      <c r="G166" s="7">
        <f>'FY28'!AD166</f>
        <v>0</v>
      </c>
    </row>
    <row r="167" spans="1:7" ht="15.75" thickBot="1" x14ac:dyDescent="0.3">
      <c r="A167" s="95" t="s">
        <v>138</v>
      </c>
      <c r="B167" s="92">
        <f>SUM(B153:B166)</f>
        <v>1568629.05</v>
      </c>
      <c r="C167" s="92">
        <f>SUM(C153:C166)</f>
        <v>1811396.933435</v>
      </c>
      <c r="D167" s="92">
        <f>SUM(D153:D166)</f>
        <v>1923469.0120021875</v>
      </c>
      <c r="E167" s="92">
        <f t="shared" ref="E167:G167" si="29">SUM(E153:E166)</f>
        <v>1976621.3856827393</v>
      </c>
      <c r="F167" s="92">
        <f t="shared" si="29"/>
        <v>1990466.2628079555</v>
      </c>
      <c r="G167" s="92">
        <f t="shared" si="29"/>
        <v>1995525.8130778428</v>
      </c>
    </row>
    <row r="168" spans="1:7" x14ac:dyDescent="0.25">
      <c r="A168" s="101" t="s">
        <v>139</v>
      </c>
      <c r="B168" s="149" t="str">
        <f>B152</f>
        <v xml:space="preserve"> FY 23</v>
      </c>
      <c r="C168" s="149" t="str">
        <f>C152</f>
        <v xml:space="preserve"> FY 24</v>
      </c>
      <c r="D168" s="149" t="str">
        <f>D152</f>
        <v xml:space="preserve"> FY 25</v>
      </c>
      <c r="E168" s="149" t="str">
        <f t="shared" ref="E168:G168" si="30">E152</f>
        <v xml:space="preserve"> FY 26</v>
      </c>
      <c r="F168" s="149" t="str">
        <f t="shared" si="30"/>
        <v xml:space="preserve"> FY 27</v>
      </c>
      <c r="G168" s="149" t="str">
        <f t="shared" si="30"/>
        <v xml:space="preserve"> FY 28</v>
      </c>
    </row>
    <row r="169" spans="1:7" x14ac:dyDescent="0.25">
      <c r="A169" s="62" t="s">
        <v>140</v>
      </c>
      <c r="B169" s="7">
        <f>'FY23'!AD169</f>
        <v>4500</v>
      </c>
      <c r="C169" s="7">
        <f>'FY24'!AD169</f>
        <v>4635</v>
      </c>
      <c r="D169" s="7">
        <f>'FY25'!AD169</f>
        <v>4774.05</v>
      </c>
      <c r="E169" s="7">
        <f>'FY26'!AD169</f>
        <v>4917.2715000000007</v>
      </c>
      <c r="F169" s="7">
        <f>'FY27'!AD169</f>
        <v>5064.7896450000007</v>
      </c>
      <c r="G169" s="7">
        <f>'FY28'!AD169</f>
        <v>5216.7333343500013</v>
      </c>
    </row>
    <row r="170" spans="1:7" x14ac:dyDescent="0.25">
      <c r="A170" s="62" t="s">
        <v>141</v>
      </c>
      <c r="B170" s="7">
        <f>'FY23'!AD170</f>
        <v>16096</v>
      </c>
      <c r="C170" s="7">
        <f>'FY24'!AD170</f>
        <v>16578.88</v>
      </c>
      <c r="D170" s="7">
        <f>'FY25'!AD170</f>
        <v>17076.2464</v>
      </c>
      <c r="E170" s="7">
        <f>'FY26'!AD170</f>
        <v>17588.533792000002</v>
      </c>
      <c r="F170" s="7">
        <f>'FY27'!AD170</f>
        <v>18116.189805760001</v>
      </c>
      <c r="G170" s="7">
        <f>'FY28'!AD170</f>
        <v>18659.6754999328</v>
      </c>
    </row>
    <row r="171" spans="1:7" x14ac:dyDescent="0.25">
      <c r="A171" s="62" t="s">
        <v>142</v>
      </c>
      <c r="B171" s="7">
        <f>'FY23'!AD171</f>
        <v>0</v>
      </c>
      <c r="C171" s="7">
        <f>'FY24'!AD171</f>
        <v>0</v>
      </c>
      <c r="D171" s="7">
        <f>'FY25'!AD171</f>
        <v>0</v>
      </c>
      <c r="E171" s="7">
        <f>'FY26'!AD171</f>
        <v>0</v>
      </c>
      <c r="F171" s="7">
        <f>'FY27'!AD171</f>
        <v>0</v>
      </c>
      <c r="G171" s="7">
        <f>'FY28'!AD171</f>
        <v>0</v>
      </c>
    </row>
    <row r="172" spans="1:7" x14ac:dyDescent="0.25">
      <c r="A172" s="62" t="s">
        <v>143</v>
      </c>
      <c r="B172" s="7">
        <f>'FY23'!AD172</f>
        <v>1250</v>
      </c>
      <c r="C172" s="7">
        <f>'FY24'!AD172</f>
        <v>1300</v>
      </c>
      <c r="D172" s="7">
        <f>'FY25'!AD172</f>
        <v>1000</v>
      </c>
      <c r="E172" s="7">
        <f>'FY26'!AD172</f>
        <v>1300</v>
      </c>
      <c r="F172" s="7">
        <f>'FY27'!AD172</f>
        <v>1300</v>
      </c>
      <c r="G172" s="7">
        <f>'FY28'!AD172</f>
        <v>1300</v>
      </c>
    </row>
    <row r="173" spans="1:7" x14ac:dyDescent="0.25">
      <c r="A173" s="62" t="s">
        <v>144</v>
      </c>
      <c r="B173" s="7">
        <f>'FY23'!AD173</f>
        <v>5000</v>
      </c>
      <c r="C173" s="7">
        <f>'FY24'!AD173</f>
        <v>5150</v>
      </c>
      <c r="D173" s="7">
        <f>'FY25'!AD173</f>
        <v>5304.5</v>
      </c>
      <c r="E173" s="7">
        <f>'FY26'!AD173</f>
        <v>5463.6350000000002</v>
      </c>
      <c r="F173" s="7">
        <f>'FY27'!AD173</f>
        <v>5627.5440500000004</v>
      </c>
      <c r="G173" s="7">
        <f>'FY28'!AD173</f>
        <v>5796.3703715000001</v>
      </c>
    </row>
    <row r="174" spans="1:7" x14ac:dyDescent="0.25">
      <c r="A174" s="62" t="s">
        <v>145</v>
      </c>
      <c r="B174" s="7">
        <f>'FY23'!AD174</f>
        <v>57500</v>
      </c>
      <c r="C174" s="7">
        <f>'FY24'!AD174</f>
        <v>59800</v>
      </c>
      <c r="D174" s="7">
        <f>'FY25'!AD174</f>
        <v>62192</v>
      </c>
      <c r="E174" s="7">
        <f>'FY26'!AD174</f>
        <v>64679.68</v>
      </c>
      <c r="F174" s="7">
        <f>'FY27'!AD174</f>
        <v>67266.867200000008</v>
      </c>
      <c r="G174" s="7">
        <f>'FY28'!AD174</f>
        <v>69957.541888000007</v>
      </c>
    </row>
    <row r="175" spans="1:7" ht="15.75" thickBot="1" x14ac:dyDescent="0.3">
      <c r="A175" s="62" t="s">
        <v>146</v>
      </c>
      <c r="B175" s="7">
        <f>'FY23'!AD175</f>
        <v>2500</v>
      </c>
      <c r="C175" s="7">
        <f>'FY24'!AD175</f>
        <v>7008</v>
      </c>
      <c r="D175" s="7">
        <f>'FY25'!AD175</f>
        <v>7250</v>
      </c>
      <c r="E175" s="7">
        <f>'FY26'!AD175</f>
        <v>7370</v>
      </c>
      <c r="F175" s="7">
        <f>'FY27'!AD175</f>
        <v>7358</v>
      </c>
      <c r="G175" s="7">
        <f>'FY28'!AD175</f>
        <v>7356</v>
      </c>
    </row>
    <row r="176" spans="1:7" ht="15.75" thickBot="1" x14ac:dyDescent="0.3">
      <c r="A176" s="95" t="s">
        <v>147</v>
      </c>
      <c r="B176" s="92">
        <f>SUM(B169:B175)</f>
        <v>86846</v>
      </c>
      <c r="C176" s="92">
        <f>SUM(C169:C175)</f>
        <v>94471.88</v>
      </c>
      <c r="D176" s="92">
        <f t="shared" ref="D176:G176" si="31">SUM(D169:D175)</f>
        <v>97596.796399999992</v>
      </c>
      <c r="E176" s="92">
        <f t="shared" si="31"/>
        <v>101319.12029200001</v>
      </c>
      <c r="F176" s="92">
        <f t="shared" si="31"/>
        <v>104733.39070076001</v>
      </c>
      <c r="G176" s="92">
        <f t="shared" si="31"/>
        <v>108286.32109378281</v>
      </c>
    </row>
    <row r="177" spans="1:7" x14ac:dyDescent="0.25">
      <c r="A177" s="101" t="s">
        <v>148</v>
      </c>
      <c r="B177" s="96"/>
      <c r="C177" s="96"/>
      <c r="D177" s="96"/>
      <c r="E177" s="96"/>
      <c r="F177" s="96"/>
      <c r="G177" s="96"/>
    </row>
    <row r="178" spans="1:7" x14ac:dyDescent="0.25">
      <c r="A178" s="62" t="s">
        <v>149</v>
      </c>
      <c r="B178" s="7">
        <f>'FY23'!AD178</f>
        <v>18150</v>
      </c>
      <c r="C178" s="7">
        <f>'FY24'!AD178</f>
        <v>19239</v>
      </c>
      <c r="D178" s="7">
        <f>'FY25'!AD178</f>
        <v>20393.34</v>
      </c>
      <c r="E178" s="7">
        <f>'FY26'!AD178</f>
        <v>21616.940399999999</v>
      </c>
      <c r="F178" s="7">
        <f>'FY27'!AD178</f>
        <v>22913.956824000001</v>
      </c>
      <c r="G178" s="7">
        <f>'FY28'!AD178</f>
        <v>24288.794233440003</v>
      </c>
    </row>
    <row r="179" spans="1:7" x14ac:dyDescent="0.25">
      <c r="A179" s="62" t="s">
        <v>150</v>
      </c>
      <c r="B179" s="7">
        <f>'FY23'!AD179</f>
        <v>13200.000000000002</v>
      </c>
      <c r="C179" s="7">
        <f>'FY24'!AD179</f>
        <v>13992.000000000002</v>
      </c>
      <c r="D179" s="7">
        <f>'FY25'!AD179</f>
        <v>14831.520000000002</v>
      </c>
      <c r="E179" s="7">
        <f>'FY26'!AD179</f>
        <v>15721.411200000002</v>
      </c>
      <c r="F179" s="7">
        <f>'FY27'!AD179</f>
        <v>16664.695872000004</v>
      </c>
      <c r="G179" s="7">
        <f>'FY28'!AD179</f>
        <v>17664.577624320005</v>
      </c>
    </row>
    <row r="180" spans="1:7" ht="15.75" thickBot="1" x14ac:dyDescent="0.3">
      <c r="A180" s="62" t="s">
        <v>151</v>
      </c>
      <c r="B180" s="7">
        <f>'FY23'!AD180</f>
        <v>31350.000000000004</v>
      </c>
      <c r="C180" s="7">
        <f>'FY24'!AD180</f>
        <v>33231.000000000007</v>
      </c>
      <c r="D180" s="7">
        <f>'FY25'!AD180</f>
        <v>35224.860000000008</v>
      </c>
      <c r="E180" s="7">
        <f>'FY26'!AD180</f>
        <v>37338.351600000009</v>
      </c>
      <c r="F180" s="7">
        <f>'FY27'!AD180</f>
        <v>39578.652696000012</v>
      </c>
      <c r="G180" s="7">
        <f>'FY28'!AD180</f>
        <v>41953.371857760016</v>
      </c>
    </row>
    <row r="181" spans="1:7" ht="15.75" thickBot="1" x14ac:dyDescent="0.3">
      <c r="A181" s="95" t="s">
        <v>152</v>
      </c>
      <c r="B181" s="92">
        <f>SUM(B178:B180)</f>
        <v>62700</v>
      </c>
      <c r="C181" s="92">
        <f>SUM(C178:C180)</f>
        <v>66462</v>
      </c>
      <c r="D181" s="92">
        <f t="shared" ref="D181:G181" si="32">SUM(D178:D180)</f>
        <v>70449.72</v>
      </c>
      <c r="E181" s="92">
        <f t="shared" si="32"/>
        <v>74676.703200000018</v>
      </c>
      <c r="F181" s="92">
        <f t="shared" si="32"/>
        <v>79157.305392000009</v>
      </c>
      <c r="G181" s="92">
        <f t="shared" si="32"/>
        <v>83906.743715520017</v>
      </c>
    </row>
    <row r="182" spans="1:7" x14ac:dyDescent="0.25">
      <c r="A182" s="101" t="s">
        <v>153</v>
      </c>
      <c r="B182" s="96" t="str">
        <f t="shared" ref="B182:G182" si="33">B1</f>
        <v xml:space="preserve"> FY 23</v>
      </c>
      <c r="C182" s="96" t="str">
        <f t="shared" si="33"/>
        <v xml:space="preserve"> FY 24</v>
      </c>
      <c r="D182" s="96" t="str">
        <f t="shared" si="33"/>
        <v xml:space="preserve"> FY 25</v>
      </c>
      <c r="E182" s="96" t="str">
        <f t="shared" si="33"/>
        <v xml:space="preserve"> FY 26</v>
      </c>
      <c r="F182" s="96" t="str">
        <f t="shared" si="33"/>
        <v xml:space="preserve"> FY 27</v>
      </c>
      <c r="G182" s="96" t="str">
        <f t="shared" si="33"/>
        <v xml:space="preserve"> FY 28</v>
      </c>
    </row>
    <row r="183" spans="1:7" x14ac:dyDescent="0.25">
      <c r="A183" s="62" t="s">
        <v>154</v>
      </c>
      <c r="B183" s="7">
        <f>'FY23'!AD183</f>
        <v>213129.77499999997</v>
      </c>
      <c r="C183" s="7">
        <f>'FY24'!AD183</f>
        <v>303055.68</v>
      </c>
      <c r="D183" s="7">
        <f>'FY25'!AD183</f>
        <v>319260</v>
      </c>
      <c r="E183" s="7">
        <f>'FY26'!AD183</f>
        <v>327295.19999999995</v>
      </c>
      <c r="F183" s="7">
        <f>'FY27'!AD183</f>
        <v>326491.67999999993</v>
      </c>
      <c r="G183" s="7">
        <f>'FY28'!AD183</f>
        <v>326357.76000000007</v>
      </c>
    </row>
    <row r="184" spans="1:7" x14ac:dyDescent="0.25">
      <c r="A184" s="62" t="s">
        <v>155</v>
      </c>
      <c r="B184" s="7">
        <f>'FY23'!AD184</f>
        <v>7500</v>
      </c>
      <c r="C184" s="7">
        <f>'FY24'!AD184</f>
        <v>5000</v>
      </c>
      <c r="D184" s="7">
        <f>'FY25'!AD184</f>
        <v>5000</v>
      </c>
      <c r="E184" s="7">
        <f>'FY26'!AD184</f>
        <v>5000</v>
      </c>
      <c r="F184" s="7">
        <f>'FY27'!AD184</f>
        <v>5000</v>
      </c>
      <c r="G184" s="7">
        <f>'FY28'!AD184</f>
        <v>5000</v>
      </c>
    </row>
    <row r="185" spans="1:7" x14ac:dyDescent="0.25">
      <c r="A185" s="62" t="s">
        <v>156</v>
      </c>
      <c r="B185" s="7">
        <f>'FY23'!AD185</f>
        <v>3000</v>
      </c>
      <c r="C185" s="7">
        <f>'FY24'!AD185</f>
        <v>3000</v>
      </c>
      <c r="D185" s="7">
        <f>'FY25'!AD185</f>
        <v>3000</v>
      </c>
      <c r="E185" s="7">
        <f>'FY26'!AD185</f>
        <v>3000</v>
      </c>
      <c r="F185" s="7">
        <f>'FY27'!AD185</f>
        <v>3000</v>
      </c>
      <c r="G185" s="7">
        <f>'FY28'!AD185</f>
        <v>3000</v>
      </c>
    </row>
    <row r="186" spans="1:7" x14ac:dyDescent="0.25">
      <c r="A186" s="62" t="s">
        <v>157</v>
      </c>
      <c r="B186" s="7">
        <f>'FY23'!AD186</f>
        <v>2700</v>
      </c>
      <c r="C186" s="7">
        <f>'FY24'!AD186</f>
        <v>1350</v>
      </c>
      <c r="D186" s="7">
        <f>'FY25'!AD186</f>
        <v>1350</v>
      </c>
      <c r="E186" s="7">
        <f>'FY26'!AD186</f>
        <v>1350</v>
      </c>
      <c r="F186" s="7">
        <f>'FY27'!AD186</f>
        <v>1350</v>
      </c>
      <c r="G186" s="7">
        <f>'FY28'!AD186</f>
        <v>1350</v>
      </c>
    </row>
    <row r="187" spans="1:7" x14ac:dyDescent="0.25">
      <c r="A187" s="62" t="s">
        <v>158</v>
      </c>
      <c r="B187" s="7">
        <f>'FY23'!AD187</f>
        <v>12200</v>
      </c>
      <c r="C187" s="7">
        <f>'FY24'!AD187</f>
        <v>12000</v>
      </c>
      <c r="D187" s="7">
        <f>'FY25'!AD187</f>
        <v>12000</v>
      </c>
      <c r="E187" s="7">
        <f>'FY26'!AD187</f>
        <v>12000</v>
      </c>
      <c r="F187" s="7">
        <f>'FY27'!AD187</f>
        <v>12000</v>
      </c>
      <c r="G187" s="7">
        <f>'FY28'!AD187</f>
        <v>12000</v>
      </c>
    </row>
    <row r="188" spans="1:7" x14ac:dyDescent="0.25">
      <c r="A188" s="62" t="s">
        <v>159</v>
      </c>
      <c r="B188" s="7">
        <f>'FY23'!AD188</f>
        <v>0</v>
      </c>
      <c r="C188" s="7">
        <f>'FY24'!AD188</f>
        <v>0</v>
      </c>
      <c r="D188" s="7">
        <f>'FY25'!AD188</f>
        <v>0</v>
      </c>
      <c r="E188" s="7">
        <f>'FY26'!AD188</f>
        <v>0</v>
      </c>
      <c r="F188" s="7">
        <f>'FY27'!AD188</f>
        <v>0</v>
      </c>
      <c r="G188" s="7">
        <f>'FY28'!AD188</f>
        <v>0</v>
      </c>
    </row>
    <row r="189" spans="1:7" x14ac:dyDescent="0.25">
      <c r="A189" s="62" t="s">
        <v>160</v>
      </c>
      <c r="B189" s="7">
        <f>'FY23'!AD189</f>
        <v>0</v>
      </c>
      <c r="C189" s="7">
        <f>'FY24'!AD189</f>
        <v>0</v>
      </c>
      <c r="D189" s="7">
        <f>'FY25'!AD189</f>
        <v>0</v>
      </c>
      <c r="E189" s="7">
        <f>'FY26'!AD189</f>
        <v>0</v>
      </c>
      <c r="F189" s="7">
        <f>'FY27'!AD189</f>
        <v>0</v>
      </c>
      <c r="G189" s="7">
        <f>'FY28'!AD189</f>
        <v>0</v>
      </c>
    </row>
    <row r="190" spans="1:7" x14ac:dyDescent="0.25">
      <c r="A190" s="62" t="s">
        <v>161</v>
      </c>
      <c r="B190" s="7">
        <f>'FY23'!AD190</f>
        <v>15000</v>
      </c>
      <c r="C190" s="7">
        <f>'FY24'!AD190</f>
        <v>16000</v>
      </c>
      <c r="D190" s="7">
        <f>'FY25'!AD190</f>
        <v>17000</v>
      </c>
      <c r="E190" s="7">
        <f>'FY26'!AD190</f>
        <v>18000</v>
      </c>
      <c r="F190" s="7">
        <f>'FY27'!AD190</f>
        <v>19000</v>
      </c>
      <c r="G190" s="7">
        <f>'FY28'!AD190</f>
        <v>20000</v>
      </c>
    </row>
    <row r="191" spans="1:7" ht="15.75" thickBot="1" x14ac:dyDescent="0.3">
      <c r="A191" s="62" t="s">
        <v>162</v>
      </c>
      <c r="B191" s="7">
        <f>'FY23'!AD191</f>
        <v>2250</v>
      </c>
      <c r="C191" s="7">
        <f>'FY24'!AD191</f>
        <v>2000</v>
      </c>
      <c r="D191" s="7">
        <f>'FY25'!AD191</f>
        <v>2000</v>
      </c>
      <c r="E191" s="7">
        <f>'FY26'!AD191</f>
        <v>2000</v>
      </c>
      <c r="F191" s="7">
        <f>'FY27'!AD191</f>
        <v>2000</v>
      </c>
      <c r="G191" s="7">
        <f>'FY28'!AD191</f>
        <v>2000</v>
      </c>
    </row>
    <row r="192" spans="1:7" ht="15.75" thickBot="1" x14ac:dyDescent="0.3">
      <c r="A192" s="95" t="s">
        <v>163</v>
      </c>
      <c r="B192" s="92">
        <f>SUM(B183:B191)</f>
        <v>255779.77499999997</v>
      </c>
      <c r="C192" s="92">
        <f>SUM(C183:C191)</f>
        <v>342405.68</v>
      </c>
      <c r="D192" s="92">
        <f t="shared" ref="D192:G192" si="34">SUM(D183:D191)</f>
        <v>359610</v>
      </c>
      <c r="E192" s="92">
        <f t="shared" si="34"/>
        <v>368645.19999999995</v>
      </c>
      <c r="F192" s="92">
        <f t="shared" si="34"/>
        <v>368841.67999999993</v>
      </c>
      <c r="G192" s="92">
        <f t="shared" si="34"/>
        <v>369707.76000000007</v>
      </c>
    </row>
    <row r="193" spans="1:7" x14ac:dyDescent="0.25">
      <c r="A193" s="101" t="s">
        <v>164</v>
      </c>
      <c r="B193" s="77" t="str">
        <f>B182</f>
        <v xml:space="preserve"> FY 23</v>
      </c>
      <c r="C193" s="77" t="str">
        <f>C182</f>
        <v xml:space="preserve"> FY 24</v>
      </c>
      <c r="D193" s="77" t="str">
        <f>D182</f>
        <v xml:space="preserve"> FY 25</v>
      </c>
      <c r="E193" s="77" t="str">
        <f t="shared" ref="E193:G193" si="35">E182</f>
        <v xml:space="preserve"> FY 26</v>
      </c>
      <c r="F193" s="77" t="str">
        <f t="shared" si="35"/>
        <v xml:space="preserve"> FY 27</v>
      </c>
      <c r="G193" s="77" t="str">
        <f t="shared" si="35"/>
        <v xml:space="preserve"> FY 28</v>
      </c>
    </row>
    <row r="194" spans="1:7" x14ac:dyDescent="0.25">
      <c r="A194" s="62" t="s">
        <v>165</v>
      </c>
      <c r="B194" s="7">
        <f>'FY23'!AD194</f>
        <v>215000</v>
      </c>
      <c r="C194" s="7">
        <f>'FY24'!AD194</f>
        <v>221450</v>
      </c>
      <c r="D194" s="7">
        <f>'FY25'!AD194</f>
        <v>225879</v>
      </c>
      <c r="E194" s="7">
        <f>'FY26'!AD194</f>
        <v>230396.58000000002</v>
      </c>
      <c r="F194" s="7">
        <f>'FY27'!AD194</f>
        <v>235004.51160000003</v>
      </c>
      <c r="G194" s="7">
        <f>'FY28'!AD194</f>
        <v>242054.64694800004</v>
      </c>
    </row>
    <row r="195" spans="1:7" x14ac:dyDescent="0.25">
      <c r="A195" s="62" t="s">
        <v>166</v>
      </c>
      <c r="B195" s="7">
        <f>'FY23'!AD195</f>
        <v>0</v>
      </c>
      <c r="C195" s="7">
        <f>'FY24'!AD195</f>
        <v>0</v>
      </c>
      <c r="D195" s="7">
        <f>'FY25'!AD195</f>
        <v>0</v>
      </c>
      <c r="E195" s="7">
        <f>'FY26'!AD195</f>
        <v>0</v>
      </c>
      <c r="F195" s="7">
        <f>'FY27'!AD195</f>
        <v>0</v>
      </c>
      <c r="G195" s="7">
        <f>'FY28'!AD195</f>
        <v>0</v>
      </c>
    </row>
    <row r="196" spans="1:7" x14ac:dyDescent="0.25">
      <c r="A196" s="62" t="s">
        <v>167</v>
      </c>
      <c r="B196" s="7">
        <f>'FY23'!AD196</f>
        <v>37560</v>
      </c>
      <c r="C196" s="7">
        <f>'FY24'!AD196</f>
        <v>38686.800000000003</v>
      </c>
      <c r="D196" s="7">
        <f>'FY25'!AD196</f>
        <v>39460.536</v>
      </c>
      <c r="E196" s="7">
        <f>'FY26'!AD196</f>
        <v>40249.746720000003</v>
      </c>
      <c r="F196" s="7">
        <f>'FY27'!AD196</f>
        <v>41054.741654400001</v>
      </c>
      <c r="G196" s="7">
        <f>'FY28'!AD196</f>
        <v>42286.383904032002</v>
      </c>
    </row>
    <row r="197" spans="1:7" x14ac:dyDescent="0.25">
      <c r="A197" s="62" t="s">
        <v>168</v>
      </c>
      <c r="B197" s="7">
        <f>'FY23'!AD197</f>
        <v>48000</v>
      </c>
      <c r="C197" s="7">
        <f>'FY24'!AD197</f>
        <v>49440</v>
      </c>
      <c r="D197" s="7">
        <f>'FY25'!AD197</f>
        <v>50428.800000000003</v>
      </c>
      <c r="E197" s="7">
        <f>'FY26'!AD197</f>
        <v>51437.376000000004</v>
      </c>
      <c r="F197" s="7">
        <f>'FY27'!AD197</f>
        <v>52466.123520000008</v>
      </c>
      <c r="G197" s="7">
        <f>'FY28'!AD197</f>
        <v>54040.107225600012</v>
      </c>
    </row>
    <row r="198" spans="1:7" x14ac:dyDescent="0.25">
      <c r="A198" s="62" t="s">
        <v>169</v>
      </c>
      <c r="B198" s="7">
        <f>'FY23'!AD198</f>
        <v>20000</v>
      </c>
      <c r="C198" s="7">
        <f>'FY24'!AD198</f>
        <v>20600</v>
      </c>
      <c r="D198" s="7">
        <f>'FY25'!AD198</f>
        <v>21012</v>
      </c>
      <c r="E198" s="7">
        <f>'FY26'!AD198</f>
        <v>21432.240000000002</v>
      </c>
      <c r="F198" s="7">
        <f>'FY27'!AD198</f>
        <v>21860.884800000003</v>
      </c>
      <c r="G198" s="7">
        <f>'FY28'!AD198</f>
        <v>22516.711344000003</v>
      </c>
    </row>
    <row r="199" spans="1:7" x14ac:dyDescent="0.25">
      <c r="A199" s="62" t="s">
        <v>170</v>
      </c>
      <c r="B199" s="7">
        <f>'FY23'!AD199</f>
        <v>262647.94</v>
      </c>
      <c r="C199" s="7">
        <f>'FY24'!AD199</f>
        <v>270527.37820000004</v>
      </c>
      <c r="D199" s="7">
        <f>'FY25'!AD199</f>
        <v>275937.92576400004</v>
      </c>
      <c r="E199" s="7">
        <f>'FY26'!AD199</f>
        <v>281456.68427928007</v>
      </c>
      <c r="F199" s="7">
        <f>'FY27'!AD199</f>
        <v>287085.81796486571</v>
      </c>
      <c r="G199" s="7">
        <f>'FY28'!AD199</f>
        <v>287085.81796486571</v>
      </c>
    </row>
    <row r="200" spans="1:7" x14ac:dyDescent="0.25">
      <c r="A200" s="62" t="s">
        <v>171</v>
      </c>
      <c r="B200" s="7">
        <f>'FY23'!AD200</f>
        <v>66880</v>
      </c>
      <c r="C200" s="7">
        <f>'FY24'!AD200</f>
        <v>72128</v>
      </c>
      <c r="D200" s="7">
        <f>'FY25'!AD200</f>
        <v>76000</v>
      </c>
      <c r="E200" s="7">
        <f>'FY26'!AD200</f>
        <v>77920</v>
      </c>
      <c r="F200" s="7">
        <f>'FY27'!AD200</f>
        <v>77728</v>
      </c>
      <c r="G200" s="7">
        <f>'FY28'!AD200</f>
        <v>77696</v>
      </c>
    </row>
    <row r="201" spans="1:7" x14ac:dyDescent="0.25">
      <c r="A201" s="62" t="s">
        <v>173</v>
      </c>
      <c r="B201" s="7">
        <f>'FY23'!AD201</f>
        <v>65000</v>
      </c>
      <c r="C201" s="7">
        <f>'FY24'!AD201</f>
        <v>67500</v>
      </c>
      <c r="D201" s="7">
        <f>'FY25'!AD201</f>
        <v>69000</v>
      </c>
      <c r="E201" s="7">
        <f>'FY26'!AD201</f>
        <v>70500</v>
      </c>
      <c r="F201" s="7">
        <f>'FY27'!AD201</f>
        <v>71500</v>
      </c>
      <c r="G201" s="7">
        <f>'FY28'!AD201</f>
        <v>74000</v>
      </c>
    </row>
    <row r="202" spans="1:7" x14ac:dyDescent="0.25">
      <c r="A202" s="62" t="s">
        <v>174</v>
      </c>
      <c r="B202" s="7">
        <f>'FY23'!AD202</f>
        <v>27237</v>
      </c>
      <c r="C202" s="7">
        <f>'FY24'!AD202</f>
        <v>28054.11</v>
      </c>
      <c r="D202" s="7">
        <f>'FY25'!AD202</f>
        <v>28615.192200000001</v>
      </c>
      <c r="E202" s="7">
        <f>'FY26'!AD202</f>
        <v>29187.496044000003</v>
      </c>
      <c r="F202" s="7">
        <f>'FY27'!AD202</f>
        <v>29771.245964880003</v>
      </c>
      <c r="G202" s="7">
        <f>'FY28'!AD202</f>
        <v>30664.383343826405</v>
      </c>
    </row>
    <row r="203" spans="1:7" x14ac:dyDescent="0.25">
      <c r="A203" s="62" t="s">
        <v>175</v>
      </c>
      <c r="B203" s="7">
        <f>'FY23'!AD203</f>
        <v>0</v>
      </c>
      <c r="C203" s="7">
        <f>'FY24'!AD203</f>
        <v>0</v>
      </c>
      <c r="D203" s="7">
        <f>'FY25'!AD203</f>
        <v>0</v>
      </c>
      <c r="E203" s="7">
        <f>'FY26'!AD203</f>
        <v>0</v>
      </c>
      <c r="F203" s="7">
        <f>'FY27'!AD203</f>
        <v>0</v>
      </c>
      <c r="G203" s="7">
        <f>'FY28'!AD203</f>
        <v>0</v>
      </c>
    </row>
    <row r="204" spans="1:7" ht="15.75" thickBot="1" x14ac:dyDescent="0.3">
      <c r="A204" s="62" t="s">
        <v>176</v>
      </c>
      <c r="B204" s="7">
        <f>'FY23'!AD204</f>
        <v>47985</v>
      </c>
      <c r="C204" s="7">
        <f>'FY24'!AD204</f>
        <v>49424.55</v>
      </c>
      <c r="D204" s="7">
        <f>'FY25'!AD204</f>
        <v>50413.041000000005</v>
      </c>
      <c r="E204" s="7">
        <f>'FY26'!AD204</f>
        <v>51421.301820000008</v>
      </c>
      <c r="F204" s="7">
        <f>'FY27'!AD204</f>
        <v>52449.727856400008</v>
      </c>
      <c r="G204" s="7">
        <f>'FY28'!AD204</f>
        <v>54023.219692092011</v>
      </c>
    </row>
    <row r="205" spans="1:7" ht="15.75" thickBot="1" x14ac:dyDescent="0.3">
      <c r="A205" s="95" t="s">
        <v>177</v>
      </c>
      <c r="B205" s="90">
        <f>SUM(B194:B204)</f>
        <v>790309.94</v>
      </c>
      <c r="C205" s="90">
        <f>SUM(C194:C204)</f>
        <v>817810.8382</v>
      </c>
      <c r="D205" s="90">
        <f>SUM(D194:D204)</f>
        <v>836746.49496400007</v>
      </c>
      <c r="E205" s="90">
        <f t="shared" ref="E205:G205" si="36">SUM(E194:E204)</f>
        <v>854001.42486328015</v>
      </c>
      <c r="F205" s="90">
        <f t="shared" si="36"/>
        <v>868921.05336054566</v>
      </c>
      <c r="G205" s="90">
        <f t="shared" si="36"/>
        <v>884367.27042241616</v>
      </c>
    </row>
    <row r="206" spans="1:7" ht="15.75" thickBot="1" x14ac:dyDescent="0.3">
      <c r="A206" s="102"/>
      <c r="B206" s="103"/>
      <c r="C206" s="103"/>
      <c r="D206" s="103"/>
      <c r="E206" s="103"/>
      <c r="F206" s="103"/>
      <c r="G206" s="103"/>
    </row>
    <row r="207" spans="1:7" ht="15.75" thickBot="1" x14ac:dyDescent="0.3">
      <c r="A207" s="95" t="s">
        <v>178</v>
      </c>
      <c r="B207" s="104">
        <f t="shared" ref="B207:G207" si="37">B139+B151+B167+B176+B181+B192+B205</f>
        <v>12916159.10513</v>
      </c>
      <c r="C207" s="104">
        <f t="shared" si="37"/>
        <v>13887676.307904946</v>
      </c>
      <c r="D207" s="104">
        <f t="shared" si="37"/>
        <v>14659128.893879227</v>
      </c>
      <c r="E207" s="104">
        <f t="shared" si="37"/>
        <v>15149116.157908827</v>
      </c>
      <c r="F207" s="104">
        <f t="shared" si="37"/>
        <v>15440345.761165032</v>
      </c>
      <c r="G207" s="104">
        <f t="shared" si="37"/>
        <v>15729220.46379352</v>
      </c>
    </row>
    <row r="208" spans="1:7" x14ac:dyDescent="0.25">
      <c r="A208" s="105"/>
      <c r="B208" s="61"/>
      <c r="C208" s="61"/>
      <c r="D208" s="61"/>
      <c r="E208" s="61"/>
      <c r="F208" s="61"/>
      <c r="G208" s="61"/>
    </row>
    <row r="209" spans="1:7" x14ac:dyDescent="0.25">
      <c r="A209" s="106" t="s">
        <v>179</v>
      </c>
      <c r="B209" s="7">
        <f>'FY23'!AD209</f>
        <v>0</v>
      </c>
      <c r="C209" s="7">
        <f>'FY24'!AD209</f>
        <v>0</v>
      </c>
      <c r="D209" s="7">
        <f>'FY25'!AD209</f>
        <v>0</v>
      </c>
      <c r="E209" s="7">
        <f>'FY26'!AD209</f>
        <v>0</v>
      </c>
      <c r="F209" s="7">
        <f>'FY27'!AD209</f>
        <v>0</v>
      </c>
      <c r="G209" s="7">
        <f>'FY28'!AD209</f>
        <v>0</v>
      </c>
    </row>
    <row r="210" spans="1:7" s="212" customFormat="1" x14ac:dyDescent="0.25">
      <c r="A210" s="210" t="s">
        <v>180</v>
      </c>
      <c r="B210" s="7">
        <f>'FY23'!AD210</f>
        <v>0</v>
      </c>
      <c r="C210" s="7">
        <f>'FY24'!AD210</f>
        <v>0</v>
      </c>
      <c r="D210" s="7">
        <f>'FY25'!AD210</f>
        <v>0</v>
      </c>
      <c r="E210" s="7">
        <f>'FY26'!AD210</f>
        <v>0</v>
      </c>
      <c r="F210" s="7">
        <f>'FY27'!AD210</f>
        <v>0</v>
      </c>
      <c r="G210" s="7">
        <f>'FY28'!AD210</f>
        <v>0</v>
      </c>
    </row>
    <row r="211" spans="1:7" x14ac:dyDescent="0.25">
      <c r="A211" s="210" t="s">
        <v>180</v>
      </c>
      <c r="B211" s="7">
        <f>'FY23'!AD211</f>
        <v>0</v>
      </c>
      <c r="C211" s="7">
        <f>'FY24'!AD211</f>
        <v>0</v>
      </c>
      <c r="D211" s="7">
        <f>'FY25'!AD211</f>
        <v>0</v>
      </c>
      <c r="E211" s="7">
        <f>'FY26'!AD211</f>
        <v>0</v>
      </c>
      <c r="F211" s="7">
        <f>'FY27'!AD211</f>
        <v>0</v>
      </c>
      <c r="G211" s="7">
        <f>'FY28'!AD211</f>
        <v>0</v>
      </c>
    </row>
    <row r="212" spans="1:7" hidden="1" x14ac:dyDescent="0.25">
      <c r="A212" s="210"/>
      <c r="B212" s="7">
        <f>'FY23'!AD212</f>
        <v>0</v>
      </c>
      <c r="C212" s="7">
        <f>'FY24'!AD212</f>
        <v>0</v>
      </c>
      <c r="D212" s="7">
        <f>'FY25'!AD212</f>
        <v>0</v>
      </c>
      <c r="E212" s="7">
        <f>'FY26'!AD212</f>
        <v>0</v>
      </c>
      <c r="F212" s="7">
        <f>'FY27'!AD212</f>
        <v>0</v>
      </c>
      <c r="G212" s="7">
        <f>'FY28'!AD212</f>
        <v>0</v>
      </c>
    </row>
    <row r="213" spans="1:7" hidden="1" x14ac:dyDescent="0.25">
      <c r="A213" s="106"/>
      <c r="B213" s="7">
        <f>'FY23'!AD213</f>
        <v>0</v>
      </c>
      <c r="C213" s="7">
        <f>'FY24'!AD213</f>
        <v>0</v>
      </c>
      <c r="D213" s="7">
        <f>'FY25'!AD213</f>
        <v>0</v>
      </c>
      <c r="E213" s="7">
        <f>'FY26'!AD213</f>
        <v>0</v>
      </c>
      <c r="F213" s="7">
        <f>'FY27'!AD213</f>
        <v>0</v>
      </c>
      <c r="G213" s="7">
        <f>'FY28'!AD213</f>
        <v>0</v>
      </c>
    </row>
    <row r="214" spans="1:7" hidden="1" x14ac:dyDescent="0.25">
      <c r="A214" s="106"/>
      <c r="B214" s="7">
        <f>'FY23'!AD214</f>
        <v>0</v>
      </c>
      <c r="C214" s="7">
        <f>'FY24'!AD214</f>
        <v>0</v>
      </c>
      <c r="D214" s="7">
        <f>'FY25'!AD214</f>
        <v>0</v>
      </c>
      <c r="E214" s="7">
        <f>'FY26'!AD214</f>
        <v>0</v>
      </c>
      <c r="F214" s="7">
        <f>'FY27'!AD214</f>
        <v>0</v>
      </c>
      <c r="G214" s="7">
        <f>'FY28'!AD214</f>
        <v>0</v>
      </c>
    </row>
    <row r="215" spans="1:7" hidden="1" x14ac:dyDescent="0.25">
      <c r="A215" s="106"/>
      <c r="B215" s="7">
        <f>'FY23'!AD215</f>
        <v>0</v>
      </c>
      <c r="C215" s="7">
        <f>'FY24'!AD215</f>
        <v>0</v>
      </c>
      <c r="D215" s="7">
        <f>'FY25'!AD215</f>
        <v>0</v>
      </c>
      <c r="E215" s="7">
        <f>'FY26'!AD215</f>
        <v>0</v>
      </c>
      <c r="F215" s="7">
        <f>'FY27'!AD215</f>
        <v>0</v>
      </c>
      <c r="G215" s="7">
        <f>'FY28'!AD215</f>
        <v>0</v>
      </c>
    </row>
    <row r="216" spans="1:7" x14ac:dyDescent="0.25">
      <c r="A216" s="106" t="s">
        <v>180</v>
      </c>
      <c r="B216" s="7">
        <f>'FY23'!AD216</f>
        <v>2963100</v>
      </c>
      <c r="C216" s="7">
        <f>'FY24'!AD216</f>
        <v>3130000</v>
      </c>
      <c r="D216" s="7">
        <f>'FY25'!AD216</f>
        <v>3390000</v>
      </c>
      <c r="E216" s="7">
        <f>'FY26'!AD216</f>
        <v>3777000</v>
      </c>
      <c r="F216" s="7">
        <f>'FY27'!AD216</f>
        <v>3904000</v>
      </c>
      <c r="G216" s="7">
        <f>'FY28'!AD216</f>
        <v>3907500</v>
      </c>
    </row>
    <row r="217" spans="1:7" x14ac:dyDescent="0.25">
      <c r="A217" s="107" t="s">
        <v>181</v>
      </c>
      <c r="B217" s="7">
        <f>'FY23'!AD217</f>
        <v>0</v>
      </c>
      <c r="C217" s="7">
        <f>'FY24'!AD217</f>
        <v>0</v>
      </c>
      <c r="D217" s="7">
        <f>'FY25'!AD217</f>
        <v>0</v>
      </c>
      <c r="E217" s="7">
        <f>'FY26'!AD217</f>
        <v>0</v>
      </c>
      <c r="F217" s="7">
        <f>'FY27'!AD217</f>
        <v>0</v>
      </c>
      <c r="G217" s="7">
        <f>'FY28'!AD217</f>
        <v>0</v>
      </c>
    </row>
    <row r="218" spans="1:7" x14ac:dyDescent="0.25">
      <c r="A218" s="146"/>
      <c r="B218" s="7">
        <f>'FY23'!L218</f>
        <v>0</v>
      </c>
      <c r="C218" s="7">
        <f>'FY24'!L218</f>
        <v>0</v>
      </c>
      <c r="D218" s="7">
        <f>'FY25'!L218</f>
        <v>0</v>
      </c>
      <c r="E218" s="7">
        <f>'FY26'!L218</f>
        <v>0</v>
      </c>
      <c r="F218" s="7">
        <f>'FY27'!L218</f>
        <v>0</v>
      </c>
      <c r="G218" s="7">
        <f>'FY28'!L218</f>
        <v>0</v>
      </c>
    </row>
    <row r="219" spans="1:7" x14ac:dyDescent="0.25">
      <c r="A219" s="147"/>
      <c r="B219" s="7"/>
      <c r="C219" s="7"/>
      <c r="D219" s="7"/>
      <c r="E219" s="7"/>
      <c r="F219" s="7"/>
      <c r="G219" s="7"/>
    </row>
    <row r="220" spans="1:7" ht="15.75" thickBot="1" x14ac:dyDescent="0.3">
      <c r="A220" s="144" t="s">
        <v>183</v>
      </c>
      <c r="B220" s="145">
        <f>B86-B207-B210-B211-B216-B217</f>
        <v>409914.54486999847</v>
      </c>
      <c r="C220" s="145">
        <f>C86-C207-C209-C210-C211-C216-C217</f>
        <v>809696.58862136863</v>
      </c>
      <c r="D220" s="145">
        <f t="shared" ref="D220:G220" si="38">D86-D207-D209-D210-D211-D216-D217</f>
        <v>962415.28399576619</v>
      </c>
      <c r="E220" s="145">
        <f t="shared" si="38"/>
        <v>812142.75536974892</v>
      </c>
      <c r="F220" s="145">
        <f t="shared" si="38"/>
        <v>585237.33384989761</v>
      </c>
      <c r="G220" s="145">
        <f t="shared" si="38"/>
        <v>544437.96203721315</v>
      </c>
    </row>
    <row r="221" spans="1:7" ht="15.75" thickBot="1" x14ac:dyDescent="0.3">
      <c r="A221" s="108"/>
      <c r="B221" s="110">
        <f>B220/(B86-B76)</f>
        <v>2.5522790175577396E-2</v>
      </c>
      <c r="C221" s="110">
        <f>C220/(C86-C76)</f>
        <v>4.6303916477597108E-2</v>
      </c>
      <c r="D221" s="110">
        <f>D220/(D86-D76)</f>
        <v>5.1597274588675954E-2</v>
      </c>
      <c r="E221" s="110">
        <f>E220/(E86)</f>
        <v>4.1145612636755605E-2</v>
      </c>
      <c r="F221" s="110">
        <f>F220/(F86-F76)</f>
        <v>2.9916563314432616E-2</v>
      </c>
      <c r="G221" s="110">
        <f>G220/(G86-G76)</f>
        <v>2.7477376114918871E-2</v>
      </c>
    </row>
    <row r="222" spans="1:7" x14ac:dyDescent="0.25">
      <c r="B222" s="111"/>
      <c r="C222" s="111"/>
      <c r="D222" s="111"/>
      <c r="E222" s="111"/>
      <c r="F222" s="111"/>
      <c r="G222" s="111"/>
    </row>
    <row r="223" spans="1:7" x14ac:dyDescent="0.25">
      <c r="A223" s="112" t="str">
        <f>A1</f>
        <v>Pinecrest Academy of Nevada - Sloan Canyon</v>
      </c>
      <c r="B223" s="112" t="str">
        <f>B1</f>
        <v xml:space="preserve"> FY 23</v>
      </c>
      <c r="C223" s="112" t="str">
        <f>C1</f>
        <v xml:space="preserve"> FY 24</v>
      </c>
      <c r="D223" s="112" t="str">
        <f>D1</f>
        <v xml:space="preserve"> FY 25</v>
      </c>
      <c r="E223" s="112" t="str">
        <f t="shared" ref="E223:G223" si="39">E1</f>
        <v xml:space="preserve"> FY 26</v>
      </c>
      <c r="F223" s="112" t="str">
        <f t="shared" si="39"/>
        <v xml:space="preserve"> FY 27</v>
      </c>
      <c r="G223" s="112" t="str">
        <f t="shared" si="39"/>
        <v xml:space="preserve"> FY 28</v>
      </c>
    </row>
    <row r="224" spans="1:7" x14ac:dyDescent="0.25">
      <c r="B224" s="109"/>
      <c r="C224" s="109"/>
      <c r="D224" s="109"/>
      <c r="E224" s="109"/>
      <c r="F224" s="109"/>
      <c r="G224" s="109"/>
    </row>
    <row r="225" spans="1:7" x14ac:dyDescent="0.25">
      <c r="A225" s="112"/>
      <c r="B225" s="71" t="b">
        <f>B220='FY23'!AD220</f>
        <v>1</v>
      </c>
      <c r="C225" s="71" t="b">
        <f>C220='FY24'!AD220</f>
        <v>1</v>
      </c>
      <c r="D225" s="71" t="b">
        <f>D220='FY25'!AD220</f>
        <v>1</v>
      </c>
      <c r="E225" s="71" t="b">
        <f>E220='FY26'!AD220</f>
        <v>1</v>
      </c>
      <c r="F225" s="71" t="b">
        <f>F220='FY27'!AD220</f>
        <v>1</v>
      </c>
      <c r="G225" s="71" t="b">
        <f>G220='FY28'!AD220</f>
        <v>1</v>
      </c>
    </row>
    <row r="226" spans="1:7" x14ac:dyDescent="0.25">
      <c r="B226" s="109"/>
      <c r="C226" s="109"/>
      <c r="D226" s="109"/>
      <c r="E226" s="109"/>
      <c r="F226" s="109"/>
      <c r="G226" s="109"/>
    </row>
    <row r="228" spans="1:7" x14ac:dyDescent="0.25">
      <c r="A228" s="266" t="s">
        <v>187</v>
      </c>
      <c r="B228" s="267">
        <f>B86-B207</f>
        <v>3373014.5448699985</v>
      </c>
      <c r="C228" s="267">
        <f t="shared" ref="C228:G228" si="40">C86-C207</f>
        <v>3939696.5886213686</v>
      </c>
      <c r="D228" s="267">
        <f t="shared" si="40"/>
        <v>4352415.2839957662</v>
      </c>
      <c r="E228" s="267">
        <f t="shared" si="40"/>
        <v>4589142.7553697489</v>
      </c>
      <c r="F228" s="267">
        <f t="shared" si="40"/>
        <v>4489237.3338498976</v>
      </c>
      <c r="G228" s="267">
        <f t="shared" si="40"/>
        <v>4451937.9620372131</v>
      </c>
    </row>
    <row r="229" spans="1:7" x14ac:dyDescent="0.25">
      <c r="B229" s="268"/>
      <c r="C229" s="268"/>
      <c r="D229" s="268"/>
      <c r="E229" s="268"/>
      <c r="F229" s="268"/>
      <c r="G229" s="268"/>
    </row>
    <row r="230" spans="1:7" x14ac:dyDescent="0.25">
      <c r="A230" t="str">
        <f>A209</f>
        <v>Scheduled Lease Payment</v>
      </c>
      <c r="B230" s="269">
        <f t="shared" ref="B230:G234" si="41">B213</f>
        <v>0</v>
      </c>
      <c r="C230" s="269">
        <f t="shared" ref="C230:G232" si="42">C209</f>
        <v>0</v>
      </c>
      <c r="D230" s="269">
        <f t="shared" si="42"/>
        <v>0</v>
      </c>
      <c r="E230" s="269">
        <f t="shared" si="42"/>
        <v>0</v>
      </c>
      <c r="F230" s="269">
        <f t="shared" si="42"/>
        <v>0</v>
      </c>
      <c r="G230" s="269">
        <f t="shared" si="42"/>
        <v>0</v>
      </c>
    </row>
    <row r="231" spans="1:7" x14ac:dyDescent="0.25">
      <c r="A231" t="s">
        <v>180</v>
      </c>
      <c r="B231" s="269">
        <f>B210</f>
        <v>0</v>
      </c>
      <c r="C231" s="269">
        <f t="shared" si="42"/>
        <v>0</v>
      </c>
      <c r="D231" s="269">
        <f t="shared" si="42"/>
        <v>0</v>
      </c>
      <c r="E231" s="269">
        <f t="shared" si="42"/>
        <v>0</v>
      </c>
      <c r="F231" s="269">
        <f t="shared" si="42"/>
        <v>0</v>
      </c>
      <c r="G231" s="269">
        <f t="shared" si="42"/>
        <v>0</v>
      </c>
    </row>
    <row r="232" spans="1:7" x14ac:dyDescent="0.25">
      <c r="A232" t="s">
        <v>180</v>
      </c>
      <c r="B232" s="269">
        <f>B211</f>
        <v>0</v>
      </c>
      <c r="C232" s="269">
        <f t="shared" si="42"/>
        <v>0</v>
      </c>
      <c r="D232" s="269">
        <f t="shared" si="42"/>
        <v>0</v>
      </c>
      <c r="E232" s="269">
        <f t="shared" si="42"/>
        <v>0</v>
      </c>
      <c r="F232" s="269">
        <f t="shared" si="42"/>
        <v>0</v>
      </c>
      <c r="G232" s="269">
        <f t="shared" si="42"/>
        <v>0</v>
      </c>
    </row>
    <row r="233" spans="1:7" x14ac:dyDescent="0.25">
      <c r="A233" t="s">
        <v>180</v>
      </c>
      <c r="B233" s="269">
        <f t="shared" si="41"/>
        <v>2963100</v>
      </c>
      <c r="C233" s="269">
        <f t="shared" si="41"/>
        <v>3130000</v>
      </c>
      <c r="D233" s="269">
        <f t="shared" si="41"/>
        <v>3390000</v>
      </c>
      <c r="E233" s="269">
        <f t="shared" si="41"/>
        <v>3777000</v>
      </c>
      <c r="F233" s="269">
        <f t="shared" si="41"/>
        <v>3904000</v>
      </c>
      <c r="G233" s="269">
        <f t="shared" si="41"/>
        <v>3907500</v>
      </c>
    </row>
    <row r="234" spans="1:7" x14ac:dyDescent="0.25">
      <c r="B234" s="269">
        <f>B217</f>
        <v>0</v>
      </c>
      <c r="C234" s="269">
        <f t="shared" si="41"/>
        <v>0</v>
      </c>
      <c r="D234" s="269">
        <f t="shared" si="41"/>
        <v>0</v>
      </c>
      <c r="E234" s="269">
        <f t="shared" si="41"/>
        <v>0</v>
      </c>
      <c r="F234" s="269">
        <f t="shared" si="41"/>
        <v>0</v>
      </c>
      <c r="G234" s="269">
        <f t="shared" si="41"/>
        <v>0</v>
      </c>
    </row>
    <row r="235" spans="1:7" x14ac:dyDescent="0.25">
      <c r="A235" s="270" t="s">
        <v>188</v>
      </c>
      <c r="B235" s="271">
        <f t="shared" ref="B235:G235" si="43">SUM(B230:B234)</f>
        <v>2963100</v>
      </c>
      <c r="C235" s="271">
        <f t="shared" si="43"/>
        <v>3130000</v>
      </c>
      <c r="D235" s="271">
        <f t="shared" si="43"/>
        <v>3390000</v>
      </c>
      <c r="E235" s="271">
        <f t="shared" si="43"/>
        <v>3777000</v>
      </c>
      <c r="F235" s="271">
        <f t="shared" si="43"/>
        <v>3904000</v>
      </c>
      <c r="G235" s="271">
        <f t="shared" si="43"/>
        <v>3907500</v>
      </c>
    </row>
    <row r="236" spans="1:7" x14ac:dyDescent="0.25">
      <c r="B236" s="268"/>
      <c r="C236" s="268"/>
      <c r="D236" s="268"/>
      <c r="E236" s="268"/>
      <c r="F236" s="268"/>
      <c r="G236" s="268"/>
    </row>
    <row r="237" spans="1:7" x14ac:dyDescent="0.25">
      <c r="A237" s="266" t="s">
        <v>189</v>
      </c>
      <c r="B237" s="272">
        <f t="shared" ref="B237:G237" si="44">B228/B235</f>
        <v>1.138339760679693</v>
      </c>
      <c r="C237" s="272">
        <f t="shared" si="44"/>
        <v>1.258689005949319</v>
      </c>
      <c r="D237" s="272">
        <f t="shared" si="44"/>
        <v>1.283898313863058</v>
      </c>
      <c r="E237" s="272">
        <f t="shared" si="44"/>
        <v>1.2150232341460812</v>
      </c>
      <c r="F237" s="272">
        <f t="shared" si="44"/>
        <v>1.1499071039574533</v>
      </c>
      <c r="G237" s="272">
        <f t="shared" si="44"/>
        <v>1.1393315321912254</v>
      </c>
    </row>
    <row r="238" spans="1:7" x14ac:dyDescent="0.25">
      <c r="B238" s="268"/>
      <c r="C238" s="268"/>
      <c r="D238" s="268"/>
      <c r="E238" s="268"/>
      <c r="F238" s="268"/>
      <c r="G238" s="268"/>
    </row>
    <row r="239" spans="1:7" x14ac:dyDescent="0.25">
      <c r="A239" s="273" t="s">
        <v>190</v>
      </c>
      <c r="B239" s="273"/>
      <c r="C239" s="273"/>
      <c r="D239" s="273"/>
      <c r="E239" s="273"/>
      <c r="F239" s="273"/>
      <c r="G239" s="273"/>
    </row>
    <row r="240" spans="1:7" x14ac:dyDescent="0.25">
      <c r="A240" t="s">
        <v>298</v>
      </c>
      <c r="B240" s="274">
        <v>15437921</v>
      </c>
      <c r="C240" s="274">
        <f t="shared" ref="C240:G240" si="45">B243</f>
        <v>15847835.544869998</v>
      </c>
      <c r="D240" s="274">
        <f t="shared" si="45"/>
        <v>16657532.133491367</v>
      </c>
      <c r="E240" s="274">
        <f t="shared" si="45"/>
        <v>17619947.417487133</v>
      </c>
      <c r="F240" s="274">
        <f t="shared" si="45"/>
        <v>18432090.172856882</v>
      </c>
      <c r="G240" s="274">
        <f t="shared" si="45"/>
        <v>19017327.506706782</v>
      </c>
    </row>
    <row r="241" spans="1:9" x14ac:dyDescent="0.25">
      <c r="A241" s="268" t="s">
        <v>192</v>
      </c>
      <c r="B241" s="275">
        <v>0</v>
      </c>
      <c r="C241" s="275">
        <v>0</v>
      </c>
      <c r="D241" s="275">
        <v>0</v>
      </c>
      <c r="E241" s="275">
        <v>0</v>
      </c>
      <c r="F241" s="275">
        <v>0</v>
      </c>
      <c r="G241" s="275">
        <v>0</v>
      </c>
    </row>
    <row r="242" spans="1:9" x14ac:dyDescent="0.25">
      <c r="A242" s="268" t="s">
        <v>193</v>
      </c>
      <c r="B242" s="275">
        <f t="shared" ref="B242:G242" si="46">B220</f>
        <v>409914.54486999847</v>
      </c>
      <c r="C242" s="275">
        <f t="shared" si="46"/>
        <v>809696.58862136863</v>
      </c>
      <c r="D242" s="275">
        <f t="shared" si="46"/>
        <v>962415.28399576619</v>
      </c>
      <c r="E242" s="275">
        <f t="shared" si="46"/>
        <v>812142.75536974892</v>
      </c>
      <c r="F242" s="275">
        <f t="shared" si="46"/>
        <v>585237.33384989761</v>
      </c>
      <c r="G242" s="275">
        <f t="shared" si="46"/>
        <v>544437.96203721315</v>
      </c>
    </row>
    <row r="243" spans="1:9" x14ac:dyDescent="0.25">
      <c r="A243" s="276" t="s">
        <v>194</v>
      </c>
      <c r="B243" s="277">
        <f>B240+B241+B242</f>
        <v>15847835.544869998</v>
      </c>
      <c r="C243" s="277">
        <f t="shared" ref="C243:G243" si="47">C240+C241+C242</f>
        <v>16657532.133491367</v>
      </c>
      <c r="D243" s="277">
        <f t="shared" si="47"/>
        <v>17619947.417487133</v>
      </c>
      <c r="E243" s="277">
        <f t="shared" si="47"/>
        <v>18432090.172856882</v>
      </c>
      <c r="F243" s="277">
        <f t="shared" si="47"/>
        <v>19017327.506706782</v>
      </c>
      <c r="G243" s="277">
        <f t="shared" si="47"/>
        <v>19561765.468743995</v>
      </c>
    </row>
    <row r="244" spans="1:9" x14ac:dyDescent="0.25">
      <c r="A244" s="266" t="s">
        <v>195</v>
      </c>
      <c r="B244" s="272">
        <f t="shared" ref="B244:G244" si="48">B243/((SUM(B207:B218))/365)</f>
        <v>364.27769932973791</v>
      </c>
      <c r="C244" s="272">
        <f t="shared" si="48"/>
        <v>357.27552450272577</v>
      </c>
      <c r="D244" s="272">
        <f t="shared" si="48"/>
        <v>356.3208421412383</v>
      </c>
      <c r="E244" s="272">
        <f t="shared" si="48"/>
        <v>355.47245176773322</v>
      </c>
      <c r="F244" s="272">
        <f t="shared" si="48"/>
        <v>358.82963557667136</v>
      </c>
      <c r="G244" s="272">
        <f t="shared" si="48"/>
        <v>363.60676464567894</v>
      </c>
    </row>
    <row r="245" spans="1:9" x14ac:dyDescent="0.25">
      <c r="B245" s="109"/>
      <c r="C245" s="109"/>
      <c r="D245" s="109"/>
      <c r="E245" s="109"/>
      <c r="F245" s="109"/>
      <c r="G245" s="109"/>
    </row>
    <row r="246" spans="1:9" x14ac:dyDescent="0.25">
      <c r="B246" s="109"/>
      <c r="C246" s="278"/>
      <c r="D246" s="278"/>
      <c r="E246" s="278"/>
      <c r="F246" s="278"/>
      <c r="G246" s="278"/>
      <c r="I246" s="112" t="s">
        <v>265</v>
      </c>
    </row>
    <row r="247" spans="1:9" x14ac:dyDescent="0.25">
      <c r="A247" s="137" t="s">
        <v>266</v>
      </c>
      <c r="B247" s="278">
        <f>B129/SUM(B207:B217)</f>
        <v>0.38644076196335625</v>
      </c>
      <c r="C247" s="278">
        <f t="shared" ref="C247:G247" si="49">C129/SUM(C207:C217)</f>
        <v>0.38527088123743758</v>
      </c>
      <c r="D247" s="278">
        <f t="shared" si="49"/>
        <v>0.38383957981842515</v>
      </c>
      <c r="E247" s="278">
        <f t="shared" si="49"/>
        <v>0.37856690680488525</v>
      </c>
      <c r="F247" s="278">
        <f t="shared" si="49"/>
        <v>0.37778752339277666</v>
      </c>
      <c r="G247" s="278">
        <f t="shared" si="49"/>
        <v>0.37956224105965092</v>
      </c>
      <c r="I247" s="279">
        <f t="shared" ref="I247:I256" si="50">AVERAGE(B247:G247)</f>
        <v>0.38191131571275533</v>
      </c>
    </row>
    <row r="248" spans="1:9" x14ac:dyDescent="0.25">
      <c r="A248" s="137" t="s">
        <v>267</v>
      </c>
      <c r="B248" s="278">
        <f>SUM(B130:B134)/SUM(B207:B217)</f>
        <v>0.19070362994150589</v>
      </c>
      <c r="C248" s="278">
        <f t="shared" ref="C248:G248" si="51">SUM(C130:C134)/SUM(C207:C217)</f>
        <v>0.19265302875296131</v>
      </c>
      <c r="D248" s="278">
        <f t="shared" si="51"/>
        <v>0.1926986224538936</v>
      </c>
      <c r="E248" s="278">
        <f t="shared" si="51"/>
        <v>0.19082854738003152</v>
      </c>
      <c r="F248" s="278">
        <f t="shared" si="51"/>
        <v>0.19122032592369295</v>
      </c>
      <c r="G248" s="278">
        <f t="shared" si="51"/>
        <v>0.19291095474957606</v>
      </c>
      <c r="I248" s="279">
        <f t="shared" si="50"/>
        <v>0.19183585153361024</v>
      </c>
    </row>
    <row r="249" spans="1:9" x14ac:dyDescent="0.25">
      <c r="A249" s="137" t="s">
        <v>129</v>
      </c>
      <c r="B249" s="278">
        <f t="shared" ref="B249" si="52">B158/SUM(B207:B217)</f>
        <v>2.1335504242168883E-3</v>
      </c>
      <c r="C249" s="278">
        <f t="shared" ref="C249:G249" si="53">C158/SUM(C207:C217)</f>
        <v>2.0824934825877492E-3</v>
      </c>
      <c r="D249" s="278">
        <f t="shared" si="53"/>
        <v>2.0432675846481642E-3</v>
      </c>
      <c r="E249" s="278">
        <f t="shared" si="53"/>
        <v>1.9739496306741397E-3</v>
      </c>
      <c r="F249" s="278">
        <f t="shared" si="53"/>
        <v>1.9312723449660882E-3</v>
      </c>
      <c r="G249" s="278">
        <f t="shared" si="53"/>
        <v>1.9025172797506311E-3</v>
      </c>
      <c r="I249" s="279">
        <f t="shared" si="50"/>
        <v>2.0111751244739438E-3</v>
      </c>
    </row>
    <row r="250" spans="1:9" x14ac:dyDescent="0.25">
      <c r="A250" s="137" t="s">
        <v>268</v>
      </c>
      <c r="B250" s="278">
        <f>(B142+B155+B156+B157+B164+B165)/SUM(B207:B217)</f>
        <v>7.1975883284804129E-2</v>
      </c>
      <c r="C250" s="278">
        <f t="shared" ref="C250:G250" si="54">(C142+C155+C156+C157+C164+C165)/SUM(C207:C217)</f>
        <v>7.9671348210460596E-2</v>
      </c>
      <c r="D250" s="278">
        <f t="shared" si="54"/>
        <v>7.9310833126367317E-2</v>
      </c>
      <c r="E250" s="278">
        <f t="shared" si="54"/>
        <v>7.8217356409465921E-2</v>
      </c>
      <c r="F250" s="278">
        <f t="shared" si="54"/>
        <v>7.7779306670334836E-2</v>
      </c>
      <c r="G250" s="278">
        <f t="shared" si="54"/>
        <v>7.7990977476144363E-2</v>
      </c>
      <c r="I250" s="279">
        <f t="shared" si="50"/>
        <v>7.7490950862929522E-2</v>
      </c>
    </row>
    <row r="251" spans="1:9" x14ac:dyDescent="0.25">
      <c r="A251" s="137" t="s">
        <v>269</v>
      </c>
      <c r="B251" s="278">
        <f>(B154+B153+B137)/SUM(B207:B217)</f>
        <v>1.7369198283999032E-2</v>
      </c>
      <c r="C251" s="278">
        <f t="shared" ref="C251:G251" si="55">(C154+C153+C137)/SUM(C207:C217)</f>
        <v>2.4006509032624499E-2</v>
      </c>
      <c r="D251" s="278">
        <f t="shared" si="55"/>
        <v>2.4415095187748329E-2</v>
      </c>
      <c r="E251" s="278">
        <f t="shared" si="55"/>
        <v>2.3847686563594973E-2</v>
      </c>
      <c r="F251" s="278">
        <f t="shared" si="55"/>
        <v>2.3956310763961975E-2</v>
      </c>
      <c r="G251" s="278">
        <f t="shared" si="55"/>
        <v>2.35937645206208E-2</v>
      </c>
      <c r="I251" s="279">
        <f t="shared" si="50"/>
        <v>2.2864760725424937E-2</v>
      </c>
    </row>
    <row r="252" spans="1:9" x14ac:dyDescent="0.25">
      <c r="A252" s="137" t="s">
        <v>270</v>
      </c>
      <c r="B252" s="278">
        <f>(B174+B143+B144)/SUM(B207:B217)</f>
        <v>2.0227643989777343E-2</v>
      </c>
      <c r="C252" s="278">
        <f t="shared" ref="C252:G252" si="56">(C174+C143+C144)/SUM(C207:C217)</f>
        <v>3.5139932690000739E-3</v>
      </c>
      <c r="D252" s="278">
        <f t="shared" si="56"/>
        <v>3.4457064585034008E-3</v>
      </c>
      <c r="E252" s="278">
        <f t="shared" si="56"/>
        <v>3.4174829880758034E-3</v>
      </c>
      <c r="F252" s="278">
        <f t="shared" si="56"/>
        <v>3.4773399953924727E-3</v>
      </c>
      <c r="G252" s="278">
        <f t="shared" si="56"/>
        <v>3.5625878576307471E-3</v>
      </c>
      <c r="I252" s="279">
        <f t="shared" si="50"/>
        <v>6.2741257597299744E-3</v>
      </c>
    </row>
    <row r="253" spans="1:9" x14ac:dyDescent="0.25">
      <c r="A253" s="137" t="s">
        <v>112</v>
      </c>
      <c r="B253" s="278">
        <f>(B141+B145+B146+B147+B148+B149)/SUM(B207:B217)</f>
        <v>2.646244369576712E-2</v>
      </c>
      <c r="C253" s="278">
        <f t="shared" ref="C253:G253" si="57">(C141+C145+C146+C147+C148+C149)/SUM(C207:C217)</f>
        <v>2.7954283349106154E-2</v>
      </c>
      <c r="D253" s="278">
        <f t="shared" si="57"/>
        <v>2.7771675209462856E-2</v>
      </c>
      <c r="E253" s="278">
        <f t="shared" si="57"/>
        <v>2.7153897497721038E-2</v>
      </c>
      <c r="F253" s="278">
        <f t="shared" si="57"/>
        <v>2.6501361030170919E-2</v>
      </c>
      <c r="G253" s="278">
        <f t="shared" si="57"/>
        <v>2.6096029492729284E-2</v>
      </c>
      <c r="I253" s="279">
        <f t="shared" si="50"/>
        <v>2.6989948379159565E-2</v>
      </c>
    </row>
    <row r="254" spans="1:9" x14ac:dyDescent="0.25">
      <c r="A254" s="137" t="s">
        <v>271</v>
      </c>
      <c r="B254" s="278">
        <f>(B181)/SUM(B207:B217)</f>
        <v>3.9485469432099605E-3</v>
      </c>
      <c r="C254" s="278">
        <f t="shared" ref="C254:G254" si="58">(C181)/SUM(C207:C217)</f>
        <v>3.9054685726468714E-3</v>
      </c>
      <c r="D254" s="278">
        <f t="shared" si="58"/>
        <v>3.9032199511795122E-3</v>
      </c>
      <c r="E254" s="278">
        <f t="shared" si="58"/>
        <v>3.9456961257629281E-3</v>
      </c>
      <c r="F254" s="278">
        <f t="shared" si="58"/>
        <v>4.0920125378917285E-3</v>
      </c>
      <c r="G254" s="278">
        <f t="shared" si="58"/>
        <v>4.2729509680717072E-3</v>
      </c>
      <c r="I254" s="279">
        <f t="shared" si="50"/>
        <v>4.0113158497937845E-3</v>
      </c>
    </row>
    <row r="255" spans="1:9" x14ac:dyDescent="0.25">
      <c r="A255" s="137" t="s">
        <v>272</v>
      </c>
      <c r="B255" s="278">
        <f>(B205+B210+B211+B216+B217)/SUM(B207:B217)</f>
        <v>0.23637185558534102</v>
      </c>
      <c r="C255" s="278">
        <f t="shared" ref="C255:G255" si="59">(C205+C210+C211+C216+C217)/SUM(C207:C217)</f>
        <v>0.23198295506221303</v>
      </c>
      <c r="D255" s="278">
        <f t="shared" si="59"/>
        <v>0.23418008258544615</v>
      </c>
      <c r="E255" s="278">
        <f t="shared" si="59"/>
        <v>0.24468841817437972</v>
      </c>
      <c r="F255" s="278">
        <f t="shared" si="59"/>
        <v>0.24673468476470681</v>
      </c>
      <c r="G255" s="278">
        <f t="shared" si="59"/>
        <v>0.24402584327957066</v>
      </c>
      <c r="I255" s="279">
        <f t="shared" si="50"/>
        <v>0.23966397324194291</v>
      </c>
    </row>
    <row r="256" spans="1:9" x14ac:dyDescent="0.25">
      <c r="A256" s="137" t="s">
        <v>4</v>
      </c>
      <c r="B256" s="278">
        <f t="shared" ref="B256" si="60">(B183)/SUM(B207:B217)</f>
        <v>1.3421896675969323E-2</v>
      </c>
      <c r="C256" s="278">
        <f t="shared" ref="C256:G256" si="61">(C183)/SUM(C207:C217)</f>
        <v>1.7808287954050841E-2</v>
      </c>
      <c r="D256" s="278">
        <f t="shared" si="61"/>
        <v>1.768838828051511E-2</v>
      </c>
      <c r="E256" s="278">
        <f t="shared" si="61"/>
        <v>1.7293310326811567E-2</v>
      </c>
      <c r="F256" s="278">
        <f t="shared" si="61"/>
        <v>1.6877886904578192E-2</v>
      </c>
      <c r="G256" s="278">
        <f t="shared" si="61"/>
        <v>1.6619769100535062E-2</v>
      </c>
      <c r="I256" s="279">
        <f t="shared" si="50"/>
        <v>1.6618256540410017E-2</v>
      </c>
    </row>
    <row r="257" spans="1:9" x14ac:dyDescent="0.25">
      <c r="A257" s="137" t="s">
        <v>273</v>
      </c>
      <c r="B257" s="278">
        <f>(B150)/SUM(B207:B217)</f>
        <v>2.5190092141690341E-3</v>
      </c>
      <c r="C257" s="278">
        <f t="shared" ref="C257:G257" si="62">(C150)/SUM(C207:C217)</f>
        <v>2.350497169899715E-3</v>
      </c>
      <c r="D257" s="278">
        <f t="shared" si="62"/>
        <v>2.2161734361354521E-3</v>
      </c>
      <c r="E257" s="278">
        <f t="shared" si="62"/>
        <v>2.1134816919785647E-3</v>
      </c>
      <c r="F257" s="278">
        <f t="shared" si="62"/>
        <v>2.0677876881368858E-3</v>
      </c>
      <c r="G257" s="278">
        <f t="shared" si="62"/>
        <v>2.0370000211467391E-3</v>
      </c>
      <c r="I257" s="279">
        <f>AVERAGE(B257:G257)</f>
        <v>2.2173248702443984E-3</v>
      </c>
    </row>
    <row r="258" spans="1:9" x14ac:dyDescent="0.25">
      <c r="A258" s="137" t="s">
        <v>274</v>
      </c>
      <c r="B258" s="278">
        <f>B185/SUM(B207:B217)</f>
        <v>1.8892569106267754E-4</v>
      </c>
      <c r="C258" s="278">
        <f t="shared" ref="C258:G258" si="63">C185/SUM(C207:C217)</f>
        <v>1.7628728774247862E-4</v>
      </c>
      <c r="D258" s="278">
        <f t="shared" si="63"/>
        <v>1.6621300771015892E-4</v>
      </c>
      <c r="E258" s="278">
        <f t="shared" si="63"/>
        <v>1.5851112689839236E-4</v>
      </c>
      <c r="F258" s="278">
        <f t="shared" si="63"/>
        <v>1.5508407661026641E-4</v>
      </c>
      <c r="G258" s="278">
        <f t="shared" si="63"/>
        <v>1.527750015860054E-4</v>
      </c>
      <c r="I258" s="279">
        <f>AVERAGE(B258:G258)</f>
        <v>1.6629936526832987E-4</v>
      </c>
    </row>
    <row r="259" spans="1:9" x14ac:dyDescent="0.25">
      <c r="A259" s="137" t="s">
        <v>275</v>
      </c>
      <c r="B259" s="278">
        <f>(B159+B160)/SUM(B207:B217)</f>
        <v>1.0705789160218395E-3</v>
      </c>
      <c r="C259" s="278">
        <f t="shared" ref="C259:G259" si="64">(C159+C160)/SUM(C207:C217)</f>
        <v>1.0486155499215104E-3</v>
      </c>
      <c r="D259" s="278">
        <f t="shared" si="64"/>
        <v>1.0083783049591969E-3</v>
      </c>
      <c r="E259" s="278">
        <f t="shared" si="64"/>
        <v>9.8099157508559987E-4</v>
      </c>
      <c r="F259" s="278">
        <f t="shared" si="64"/>
        <v>9.7927071553021708E-4</v>
      </c>
      <c r="G259" s="278">
        <f t="shared" si="64"/>
        <v>9.8446438090790114E-4</v>
      </c>
      <c r="I259" s="279">
        <f>AVERAGE(B259:G259)</f>
        <v>1.0120499070710443E-3</v>
      </c>
    </row>
    <row r="260" spans="1:9" x14ac:dyDescent="0.25">
      <c r="A260" s="137" t="s">
        <v>276</v>
      </c>
      <c r="B260" s="278">
        <f>(B161+B162+B169+B170+B171+B173+B175)/SUM(B207:B217)</f>
        <v>8.164486714503965E-3</v>
      </c>
      <c r="C260" s="278">
        <f t="shared" ref="C260:G260" si="65">(C161+C162+C169+C170+C171+C173+C175)/SUM(C207:C217)</f>
        <v>8.6558163015226855E-3</v>
      </c>
      <c r="D260" s="278">
        <f t="shared" si="65"/>
        <v>8.5200674948999553E-3</v>
      </c>
      <c r="E260" s="278">
        <f t="shared" si="65"/>
        <v>8.317313440254874E-3</v>
      </c>
      <c r="F260" s="278">
        <f t="shared" si="65"/>
        <v>8.1662892842774559E-3</v>
      </c>
      <c r="G260" s="278">
        <f t="shared" si="65"/>
        <v>8.0863186650011101E-3</v>
      </c>
      <c r="I260" s="279">
        <f>AVERAGE(B260:G260)</f>
        <v>8.3183819834100076E-3</v>
      </c>
    </row>
    <row r="261" spans="1:9" x14ac:dyDescent="0.25">
      <c r="A261" s="137" t="s">
        <v>153</v>
      </c>
      <c r="B261" s="278">
        <f>(B163+B172+B184+B186+B187+B189+B191+B136+B190)/SUM(B207:B217)</f>
        <v>1.5165452519267805E-2</v>
      </c>
      <c r="C261" s="278">
        <f t="shared" ref="C261:G261" si="66">(C163+C172+C184+C186+C187+C189+C191+C136+C190)/SUM(C207:C217)</f>
        <v>1.5149043495159657E-2</v>
      </c>
      <c r="D261" s="278">
        <f t="shared" si="66"/>
        <v>1.5099167047106414E-2</v>
      </c>
      <c r="E261" s="278">
        <f t="shared" si="66"/>
        <v>1.4921231797186421E-2</v>
      </c>
      <c r="F261" s="278">
        <f t="shared" si="66"/>
        <v>1.4775622559028046E-2</v>
      </c>
      <c r="G261" s="278">
        <f t="shared" si="66"/>
        <v>1.4755965986305646E-2</v>
      </c>
      <c r="I261" s="279">
        <f>AVERAGE(B261:G261)</f>
        <v>1.4977747234008998E-2</v>
      </c>
    </row>
    <row r="263" spans="1:9" x14ac:dyDescent="0.25">
      <c r="B263" s="279">
        <f>SUM(B247:B262)</f>
        <v>0.99616386384297229</v>
      </c>
      <c r="C263" s="279">
        <f>SUM(C247:C262)</f>
        <v>0.99622950872733462</v>
      </c>
      <c r="D263" s="279">
        <f>SUM(D247:D262)</f>
        <v>0.99630646994700078</v>
      </c>
      <c r="E263" s="279">
        <f t="shared" ref="E263:G263" si="67">SUM(E247:E262)</f>
        <v>0.99642478153280645</v>
      </c>
      <c r="F263" s="279">
        <f t="shared" si="67"/>
        <v>0.99650207865205531</v>
      </c>
      <c r="G263" s="279">
        <f t="shared" si="67"/>
        <v>0.99655415983922768</v>
      </c>
      <c r="I263" s="279">
        <f t="shared" ref="I263" si="68">SUM(I247:I262)</f>
        <v>0.9963634770902331</v>
      </c>
    </row>
    <row r="266" spans="1:9" x14ac:dyDescent="0.25">
      <c r="B266" s="155"/>
    </row>
  </sheetData>
  <pageMargins left="0.7" right="0.7" top="0.75" bottom="0.75" header="0.3" footer="0.3"/>
  <pageSetup scale="59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44"/>
  <sheetViews>
    <sheetView topLeftCell="B19" zoomScale="75" zoomScaleNormal="75" workbookViewId="0">
      <selection activeCell="O41" sqref="O41"/>
    </sheetView>
  </sheetViews>
  <sheetFormatPr defaultRowHeight="15" x14ac:dyDescent="0.25"/>
  <cols>
    <col min="1" max="1" width="19.42578125" customWidth="1"/>
    <col min="2" max="2" width="16.140625" customWidth="1"/>
    <col min="3" max="7" width="15.85546875" customWidth="1"/>
    <col min="8" max="12" width="15.85546875" style="344" customWidth="1"/>
    <col min="13" max="13" width="15.85546875" customWidth="1"/>
    <col min="14" max="14" width="2.85546875" customWidth="1"/>
    <col min="15" max="18" width="15.85546875" customWidth="1"/>
    <col min="19" max="24" width="12.85546875" customWidth="1"/>
  </cols>
  <sheetData>
    <row r="1" spans="1:24" ht="18.75" x14ac:dyDescent="0.3">
      <c r="A1" s="336" t="s">
        <v>277</v>
      </c>
      <c r="B1" s="218"/>
      <c r="C1" s="218"/>
      <c r="D1" s="218"/>
      <c r="E1" s="218"/>
      <c r="F1" s="218"/>
      <c r="G1" s="218"/>
      <c r="H1" s="343"/>
      <c r="I1" s="343"/>
      <c r="J1" s="343"/>
      <c r="K1" s="343"/>
      <c r="L1" s="343"/>
      <c r="M1" s="218"/>
      <c r="N1" s="218"/>
      <c r="O1" s="218"/>
      <c r="P1" s="218"/>
    </row>
    <row r="2" spans="1:24" x14ac:dyDescent="0.25">
      <c r="S2" s="112" t="str">
        <f>'6-Year - System'!B1</f>
        <v xml:space="preserve"> FY 23</v>
      </c>
      <c r="T2" s="112" t="str">
        <f>'6-Year - System'!C1</f>
        <v xml:space="preserve"> FY 24</v>
      </c>
      <c r="U2" s="112" t="str">
        <f>'6-Year - System'!D1</f>
        <v xml:space="preserve"> FY 25</v>
      </c>
      <c r="V2" s="112" t="str">
        <f>'6-Year - System'!E1</f>
        <v xml:space="preserve"> FY 26</v>
      </c>
      <c r="W2" s="112" t="str">
        <f>'6-Year - System'!F1</f>
        <v xml:space="preserve"> FY 27</v>
      </c>
      <c r="X2" s="112" t="str">
        <f>'6-Year - System'!G1</f>
        <v xml:space="preserve"> FY 28</v>
      </c>
    </row>
    <row r="3" spans="1:24" x14ac:dyDescent="0.25">
      <c r="A3" t="s">
        <v>303</v>
      </c>
      <c r="B3" s="203">
        <v>43069</v>
      </c>
      <c r="C3" s="203">
        <v>43429</v>
      </c>
      <c r="D3" s="203">
        <v>43863</v>
      </c>
      <c r="E3" s="203">
        <v>43863</v>
      </c>
      <c r="F3" s="203">
        <v>43863</v>
      </c>
      <c r="G3" s="203">
        <v>44653</v>
      </c>
      <c r="H3" s="345">
        <v>45260</v>
      </c>
      <c r="I3" s="345">
        <v>45626</v>
      </c>
      <c r="J3" s="345">
        <v>45991</v>
      </c>
      <c r="K3" s="345">
        <v>46356</v>
      </c>
      <c r="L3" s="345">
        <v>46721</v>
      </c>
      <c r="M3" s="203"/>
      <c r="R3" t="s">
        <v>238</v>
      </c>
      <c r="S3" s="342">
        <f>'FY23'!F19</f>
        <v>899</v>
      </c>
      <c r="T3" s="342">
        <f>'FY24'!F19</f>
        <v>936</v>
      </c>
      <c r="U3" s="342">
        <f>'FY25'!F19</f>
        <v>936</v>
      </c>
      <c r="V3" s="342">
        <f>'FY26'!F19</f>
        <v>936</v>
      </c>
      <c r="W3" s="342">
        <f>'FY27'!F19</f>
        <v>936</v>
      </c>
      <c r="X3" s="342">
        <f>'FY28'!F19</f>
        <v>936</v>
      </c>
    </row>
    <row r="4" spans="1:24" x14ac:dyDescent="0.25">
      <c r="A4" t="s">
        <v>304</v>
      </c>
      <c r="B4" s="203">
        <v>44499</v>
      </c>
      <c r="C4" s="203">
        <v>44859</v>
      </c>
      <c r="D4" s="203">
        <v>44928</v>
      </c>
      <c r="E4" s="203">
        <v>44928</v>
      </c>
      <c r="F4" s="203">
        <v>44928</v>
      </c>
      <c r="G4" s="203">
        <v>46083</v>
      </c>
      <c r="H4" s="345">
        <v>46690</v>
      </c>
      <c r="I4" s="345">
        <v>47056</v>
      </c>
      <c r="J4" s="345">
        <v>47421</v>
      </c>
      <c r="K4" s="345">
        <v>47786</v>
      </c>
      <c r="L4" s="345">
        <v>48151</v>
      </c>
      <c r="M4" s="203"/>
      <c r="N4" s="203"/>
      <c r="O4" s="203"/>
      <c r="P4" s="203"/>
      <c r="Q4" s="203"/>
      <c r="R4" t="s">
        <v>215</v>
      </c>
      <c r="S4" s="342">
        <f>'FY23'!R19</f>
        <v>1016</v>
      </c>
      <c r="T4" s="342">
        <f>'FY24'!R19</f>
        <v>1016</v>
      </c>
      <c r="U4" s="342">
        <f>'FY25'!R19</f>
        <v>1016</v>
      </c>
      <c r="V4" s="342">
        <f>'FY26'!R19</f>
        <v>1016</v>
      </c>
      <c r="W4" s="342">
        <f>'FY27'!R19</f>
        <v>1016</v>
      </c>
      <c r="X4" s="342">
        <f>'FY28'!R19</f>
        <v>1016</v>
      </c>
    </row>
    <row r="5" spans="1:24" x14ac:dyDescent="0.25">
      <c r="A5" t="s">
        <v>305</v>
      </c>
      <c r="B5" s="332" t="s">
        <v>306</v>
      </c>
      <c r="C5" s="332" t="s">
        <v>307</v>
      </c>
      <c r="D5" s="332" t="s">
        <v>308</v>
      </c>
      <c r="E5" s="332" t="s">
        <v>309</v>
      </c>
      <c r="F5" s="332" t="s">
        <v>310</v>
      </c>
      <c r="G5" s="332">
        <v>18</v>
      </c>
      <c r="H5" s="346" t="s">
        <v>311</v>
      </c>
      <c r="I5" s="346" t="s">
        <v>311</v>
      </c>
      <c r="J5" s="346" t="s">
        <v>311</v>
      </c>
      <c r="K5" s="346" t="s">
        <v>311</v>
      </c>
      <c r="L5" s="346" t="s">
        <v>311</v>
      </c>
      <c r="M5" s="332"/>
      <c r="R5" t="s">
        <v>231</v>
      </c>
      <c r="S5" s="342">
        <f>'FY23'!X19</f>
        <v>1199</v>
      </c>
      <c r="T5" s="342">
        <f>'FY24'!X19</f>
        <v>1215</v>
      </c>
      <c r="U5" s="342">
        <f>'FY25'!X19</f>
        <v>1215</v>
      </c>
      <c r="V5" s="342">
        <f>'FY26'!X19</f>
        <v>1215</v>
      </c>
      <c r="W5" s="342">
        <f>'FY27'!X19</f>
        <v>1215</v>
      </c>
      <c r="X5" s="342">
        <f>'FY28'!X19</f>
        <v>1215</v>
      </c>
    </row>
    <row r="6" spans="1:24" x14ac:dyDescent="0.25">
      <c r="A6" t="s">
        <v>312</v>
      </c>
      <c r="B6" s="158">
        <v>578815.55000000005</v>
      </c>
      <c r="C6" s="158">
        <v>597557.13</v>
      </c>
      <c r="D6" s="158">
        <v>1257041.3</v>
      </c>
      <c r="E6" s="158">
        <v>944217.17</v>
      </c>
      <c r="F6" s="158">
        <v>341700.71</v>
      </c>
      <c r="G6" s="158">
        <v>706553.46</v>
      </c>
      <c r="H6" s="347">
        <v>1079100</v>
      </c>
      <c r="I6" s="347">
        <v>364100</v>
      </c>
      <c r="J6" s="347">
        <v>253000</v>
      </c>
      <c r="K6" s="347">
        <v>143000</v>
      </c>
      <c r="L6" s="347">
        <v>132000</v>
      </c>
      <c r="M6" s="158"/>
      <c r="R6" t="s">
        <v>208</v>
      </c>
      <c r="S6" s="342">
        <f>'FY23'!L19</f>
        <v>2244</v>
      </c>
      <c r="T6" s="342">
        <f>'FY24'!L19</f>
        <v>2379</v>
      </c>
      <c r="U6" s="342">
        <f>'FY25'!L19</f>
        <v>2419</v>
      </c>
      <c r="V6" s="342">
        <f>'FY26'!L19</f>
        <v>2444</v>
      </c>
      <c r="W6" s="342">
        <f>'FY27'!L19</f>
        <v>2454</v>
      </c>
      <c r="X6" s="342">
        <f>'FY28'!L19</f>
        <v>2454</v>
      </c>
    </row>
    <row r="7" spans="1:24" x14ac:dyDescent="0.25">
      <c r="A7" t="s">
        <v>313</v>
      </c>
      <c r="B7" s="158">
        <v>12628.25</v>
      </c>
      <c r="C7" s="158">
        <v>13146.81</v>
      </c>
      <c r="D7" s="158">
        <v>27238.799999999999</v>
      </c>
      <c r="E7" s="158">
        <v>20460.22</v>
      </c>
      <c r="F7" s="158">
        <v>7404.31</v>
      </c>
      <c r="G7" s="158">
        <v>15523.32</v>
      </c>
      <c r="H7" s="347">
        <v>24854.31</v>
      </c>
      <c r="I7" s="347">
        <v>8386.11</v>
      </c>
      <c r="J7" s="347">
        <v>5827.21</v>
      </c>
      <c r="K7" s="347">
        <v>3293.64</v>
      </c>
      <c r="L7" s="347">
        <v>3040.28</v>
      </c>
      <c r="M7" s="158"/>
      <c r="R7" t="s">
        <v>222</v>
      </c>
      <c r="S7" s="342">
        <f>'FY23'!AD19</f>
        <v>2090</v>
      </c>
      <c r="T7" s="342">
        <f>'FY24'!AD19</f>
        <v>2254</v>
      </c>
      <c r="U7" s="342">
        <f>'FY25'!AD19</f>
        <v>2375</v>
      </c>
      <c r="V7" s="342">
        <f>'FY26'!AD19</f>
        <v>2435</v>
      </c>
      <c r="W7" s="342">
        <f>'FY27'!AD19</f>
        <v>2429</v>
      </c>
      <c r="X7" s="342">
        <f>'FY28'!AD19</f>
        <v>2428</v>
      </c>
    </row>
    <row r="8" spans="1:24" x14ac:dyDescent="0.25">
      <c r="A8" t="s">
        <v>314</v>
      </c>
      <c r="B8" s="335">
        <v>2.2769999999999999E-2</v>
      </c>
      <c r="C8" s="335">
        <v>2.6980000000000001E-2</v>
      </c>
      <c r="D8" s="335">
        <v>1.924E-2</v>
      </c>
      <c r="E8" s="335">
        <v>1.924E-2</v>
      </c>
      <c r="F8" s="335">
        <v>1.924E-2</v>
      </c>
      <c r="G8" s="335">
        <v>2.7390000000000001E-2</v>
      </c>
      <c r="H8" s="348">
        <v>0.05</v>
      </c>
      <c r="I8" s="348">
        <v>0.05</v>
      </c>
      <c r="J8" s="348">
        <v>0.05</v>
      </c>
      <c r="K8" s="348">
        <v>0.05</v>
      </c>
      <c r="L8" s="348">
        <v>0.05</v>
      </c>
      <c r="M8" s="158"/>
      <c r="R8" t="s">
        <v>258</v>
      </c>
      <c r="S8" s="342">
        <v>0</v>
      </c>
      <c r="T8" s="342">
        <f>'FY24'!AJ19</f>
        <v>645</v>
      </c>
      <c r="U8" s="342">
        <f>'FY25'!AJ19</f>
        <v>815</v>
      </c>
      <c r="V8" s="342">
        <f>'FY26'!AJ19</f>
        <v>960</v>
      </c>
      <c r="W8" s="342">
        <f>'FY27'!AJ19</f>
        <v>1080</v>
      </c>
      <c r="X8" s="342">
        <f>'FY28'!AJ19</f>
        <v>1200</v>
      </c>
    </row>
    <row r="9" spans="1:24" x14ac:dyDescent="0.25">
      <c r="R9" s="137" t="s">
        <v>315</v>
      </c>
      <c r="S9" s="342">
        <f>SUM(S3:S8)</f>
        <v>7448</v>
      </c>
      <c r="T9" s="342">
        <f t="shared" ref="T9:X9" si="0">SUM(T3:T8)</f>
        <v>8445</v>
      </c>
      <c r="U9" s="342">
        <f t="shared" si="0"/>
        <v>8776</v>
      </c>
      <c r="V9" s="342">
        <f t="shared" si="0"/>
        <v>9006</v>
      </c>
      <c r="W9" s="342">
        <f t="shared" si="0"/>
        <v>9130</v>
      </c>
      <c r="X9" s="342">
        <f t="shared" si="0"/>
        <v>9249</v>
      </c>
    </row>
    <row r="10" spans="1:24" x14ac:dyDescent="0.25">
      <c r="O10" s="112" t="s">
        <v>316</v>
      </c>
      <c r="P10" s="112" t="s">
        <v>317</v>
      </c>
      <c r="S10" s="342"/>
      <c r="T10" s="342"/>
      <c r="U10" s="342"/>
      <c r="V10" s="342"/>
      <c r="W10" s="342"/>
      <c r="X10" s="342"/>
    </row>
    <row r="11" spans="1:24" x14ac:dyDescent="0.25">
      <c r="A11" s="330">
        <v>2018</v>
      </c>
      <c r="B11" s="159">
        <f>B7*8</f>
        <v>101026</v>
      </c>
      <c r="C11" s="331"/>
      <c r="D11" s="331"/>
      <c r="E11" s="331"/>
      <c r="F11" s="331"/>
      <c r="G11" s="331"/>
      <c r="H11" s="349"/>
      <c r="I11" s="349"/>
      <c r="J11" s="349"/>
      <c r="K11" s="349"/>
      <c r="L11" s="349"/>
      <c r="O11" s="159">
        <f t="shared" ref="O11:O23" si="1">SUM(B11:N11)</f>
        <v>101026</v>
      </c>
      <c r="P11" s="330" t="s">
        <v>318</v>
      </c>
      <c r="Q11" s="334" t="b">
        <f>O11=(O31+O51+O71+O91+O111+O131)</f>
        <v>1</v>
      </c>
      <c r="R11" t="s">
        <v>242</v>
      </c>
      <c r="S11" s="342">
        <f>'FY23'!AP19</f>
        <v>88</v>
      </c>
      <c r="T11" s="342">
        <f>'FY24'!AV19</f>
        <v>170</v>
      </c>
      <c r="U11" s="342">
        <f>'FY25'!AV19</f>
        <v>250</v>
      </c>
      <c r="V11" s="342">
        <f>'FY26'!AV19</f>
        <v>320</v>
      </c>
      <c r="W11" s="342">
        <f>'FY27'!AV19</f>
        <v>390</v>
      </c>
      <c r="X11" s="342">
        <f>'FY28'!AV19</f>
        <v>410</v>
      </c>
    </row>
    <row r="12" spans="1:24" x14ac:dyDescent="0.25">
      <c r="A12" s="330">
        <v>2019</v>
      </c>
      <c r="B12" s="159">
        <f>B7*12</f>
        <v>151539</v>
      </c>
      <c r="C12" s="159">
        <f>C7*8</f>
        <v>105174.48</v>
      </c>
      <c r="D12" s="331"/>
      <c r="E12" s="331"/>
      <c r="F12" s="331"/>
      <c r="G12" s="331"/>
      <c r="H12" s="349"/>
      <c r="I12" s="349"/>
      <c r="J12" s="349"/>
      <c r="K12" s="349"/>
      <c r="L12" s="349"/>
      <c r="O12" s="159">
        <f t="shared" si="1"/>
        <v>256713.47999999998</v>
      </c>
      <c r="P12" s="330" t="s">
        <v>319</v>
      </c>
      <c r="Q12" s="334" t="b">
        <f t="shared" ref="Q12:Q23" si="2">O12=(O32+O52+O72+O92+O112+O132)</f>
        <v>1</v>
      </c>
      <c r="R12" s="137" t="s">
        <v>320</v>
      </c>
      <c r="S12" s="342">
        <f t="shared" ref="S12:X12" si="3">S9+S11</f>
        <v>7536</v>
      </c>
      <c r="T12" s="342">
        <f t="shared" si="3"/>
        <v>8615</v>
      </c>
      <c r="U12" s="342">
        <f t="shared" si="3"/>
        <v>9026</v>
      </c>
      <c r="V12" s="342">
        <f t="shared" si="3"/>
        <v>9326</v>
      </c>
      <c r="W12" s="342">
        <f t="shared" si="3"/>
        <v>9520</v>
      </c>
      <c r="X12" s="342">
        <f t="shared" si="3"/>
        <v>9659</v>
      </c>
    </row>
    <row r="13" spans="1:24" x14ac:dyDescent="0.25">
      <c r="A13" s="330">
        <v>2020</v>
      </c>
      <c r="B13" s="159">
        <f>B7*12</f>
        <v>151539</v>
      </c>
      <c r="C13" s="159">
        <f>C7*12</f>
        <v>157761.72</v>
      </c>
      <c r="D13" s="159">
        <f>D7*5</f>
        <v>136194</v>
      </c>
      <c r="E13" s="159">
        <f>E7*5</f>
        <v>102301.1</v>
      </c>
      <c r="F13" s="159">
        <f>F7*5</f>
        <v>37021.550000000003</v>
      </c>
      <c r="G13" s="331"/>
      <c r="H13" s="349"/>
      <c r="I13" s="349"/>
      <c r="J13" s="349"/>
      <c r="K13" s="349"/>
      <c r="L13" s="349"/>
      <c r="O13" s="159">
        <f t="shared" si="1"/>
        <v>584817.37</v>
      </c>
      <c r="P13" s="330" t="s">
        <v>321</v>
      </c>
      <c r="Q13" s="334" t="b">
        <f t="shared" si="2"/>
        <v>1</v>
      </c>
      <c r="S13" t="b">
        <f>S12='6-Year - System'!B19</f>
        <v>1</v>
      </c>
      <c r="T13" t="b">
        <f>T12='6-Year - System'!C19</f>
        <v>1</v>
      </c>
      <c r="U13" t="b">
        <f>U12='6-Year - System'!D19</f>
        <v>1</v>
      </c>
      <c r="V13" t="b">
        <f>V12='6-Year - System'!E19</f>
        <v>1</v>
      </c>
      <c r="W13" t="b">
        <f>W12='6-Year - System'!F19</f>
        <v>1</v>
      </c>
      <c r="X13" t="b">
        <f>X12='6-Year - System'!G19</f>
        <v>1</v>
      </c>
    </row>
    <row r="14" spans="1:24" x14ac:dyDescent="0.25">
      <c r="A14" s="330">
        <v>2021</v>
      </c>
      <c r="B14" s="159">
        <f>B7*12</f>
        <v>151539</v>
      </c>
      <c r="C14" s="159">
        <f>C7*12</f>
        <v>157761.72</v>
      </c>
      <c r="D14" s="159">
        <f>D7*12</f>
        <v>326865.59999999998</v>
      </c>
      <c r="E14" s="159">
        <f>E7*12</f>
        <v>245522.64</v>
      </c>
      <c r="F14" s="159">
        <f>F7*12</f>
        <v>88851.72</v>
      </c>
      <c r="G14" s="331"/>
      <c r="H14" s="349"/>
      <c r="I14" s="349"/>
      <c r="J14" s="349"/>
      <c r="K14" s="349"/>
      <c r="L14" s="349"/>
      <c r="O14" s="159">
        <f t="shared" si="1"/>
        <v>970540.67999999993</v>
      </c>
      <c r="P14" s="330" t="s">
        <v>322</v>
      </c>
      <c r="Q14" s="334" t="b">
        <f t="shared" si="2"/>
        <v>1</v>
      </c>
    </row>
    <row r="15" spans="1:24" x14ac:dyDescent="0.25">
      <c r="A15" s="330">
        <v>2022</v>
      </c>
      <c r="B15" s="159">
        <f>(B7*4)+(B6*0.05)</f>
        <v>79453.777499999997</v>
      </c>
      <c r="C15" s="159">
        <f>C7*12</f>
        <v>157761.72</v>
      </c>
      <c r="D15" s="159">
        <f>D7*12</f>
        <v>326865.59999999998</v>
      </c>
      <c r="E15" s="159">
        <f>E7*12</f>
        <v>245522.64</v>
      </c>
      <c r="F15" s="159">
        <f>F7*12</f>
        <v>88851.72</v>
      </c>
      <c r="G15" s="159">
        <f>G7*3</f>
        <v>46569.96</v>
      </c>
      <c r="H15" s="349"/>
      <c r="I15" s="349"/>
      <c r="J15" s="349"/>
      <c r="K15" s="349"/>
      <c r="L15" s="349"/>
      <c r="O15" s="159">
        <f t="shared" si="1"/>
        <v>945025.41749999986</v>
      </c>
      <c r="P15" s="330" t="s">
        <v>323</v>
      </c>
      <c r="Q15" s="334" t="b">
        <f t="shared" si="2"/>
        <v>1</v>
      </c>
      <c r="S15" s="112" t="str">
        <f>'6-Year - System'!B1</f>
        <v xml:space="preserve"> FY 23</v>
      </c>
      <c r="T15" s="112" t="str">
        <f>'6-Year - System'!C1</f>
        <v xml:space="preserve"> FY 24</v>
      </c>
      <c r="U15" s="112" t="str">
        <f>'6-Year - System'!D1</f>
        <v xml:space="preserve"> FY 25</v>
      </c>
      <c r="V15" s="112" t="str">
        <f>'6-Year - System'!E1</f>
        <v xml:space="preserve"> FY 26</v>
      </c>
      <c r="W15" s="112" t="str">
        <f>'6-Year - System'!F1</f>
        <v xml:space="preserve"> FY 27</v>
      </c>
      <c r="X15" s="112" t="str">
        <f>'6-Year - System'!G1</f>
        <v xml:space="preserve"> FY 28</v>
      </c>
    </row>
    <row r="16" spans="1:24" x14ac:dyDescent="0.25">
      <c r="A16" s="330">
        <v>2023</v>
      </c>
      <c r="B16" s="331"/>
      <c r="C16" s="159">
        <f>(C7*4)+(C6*0.05)</f>
        <v>82465.0965</v>
      </c>
      <c r="D16" s="159">
        <f>D7*12</f>
        <v>326865.59999999998</v>
      </c>
      <c r="E16" s="159">
        <f>E7*12</f>
        <v>245522.64</v>
      </c>
      <c r="F16" s="159">
        <f>F7*12</f>
        <v>88851.72</v>
      </c>
      <c r="G16" s="159">
        <f>G7*12</f>
        <v>186279.84</v>
      </c>
      <c r="H16" s="349"/>
      <c r="I16" s="349"/>
      <c r="J16" s="349"/>
      <c r="K16" s="349"/>
      <c r="L16" s="349"/>
      <c r="O16" s="159">
        <f t="shared" si="1"/>
        <v>929984.89649999992</v>
      </c>
      <c r="P16" s="353" t="s">
        <v>324</v>
      </c>
      <c r="Q16" s="334" t="b">
        <f t="shared" si="2"/>
        <v>1</v>
      </c>
      <c r="R16" t="s">
        <v>238</v>
      </c>
      <c r="T16" s="342">
        <f>T3-S3</f>
        <v>37</v>
      </c>
      <c r="U16" s="342">
        <f t="shared" ref="U16:X16" si="4">U3-T3</f>
        <v>0</v>
      </c>
      <c r="V16" s="342">
        <f t="shared" si="4"/>
        <v>0</v>
      </c>
      <c r="W16" s="342">
        <f t="shared" si="4"/>
        <v>0</v>
      </c>
      <c r="X16" s="342">
        <f t="shared" si="4"/>
        <v>0</v>
      </c>
    </row>
    <row r="17" spans="1:24" x14ac:dyDescent="0.25">
      <c r="A17" s="330">
        <v>2024</v>
      </c>
      <c r="B17" s="331"/>
      <c r="C17" s="331"/>
      <c r="D17" s="159">
        <f>(D7*7)+(D6*0.05)</f>
        <v>253523.66500000001</v>
      </c>
      <c r="E17" s="159">
        <f>(E7*7)+(E6*0.05)</f>
        <v>190432.39850000001</v>
      </c>
      <c r="F17" s="159">
        <f>(F7*7)+(F6*0.05)</f>
        <v>68915.205500000011</v>
      </c>
      <c r="G17" s="159">
        <f>G7*12</f>
        <v>186279.84</v>
      </c>
      <c r="H17" s="350">
        <f>H7*8</f>
        <v>198834.48</v>
      </c>
      <c r="I17" s="349"/>
      <c r="J17" s="349"/>
      <c r="K17" s="349"/>
      <c r="L17" s="349"/>
      <c r="O17" s="159">
        <f t="shared" si="1"/>
        <v>897985.58900000004</v>
      </c>
      <c r="P17" s="352" t="s">
        <v>325</v>
      </c>
      <c r="Q17" s="334" t="b">
        <f t="shared" si="2"/>
        <v>1</v>
      </c>
      <c r="R17" t="s">
        <v>215</v>
      </c>
      <c r="T17" s="342">
        <f t="shared" ref="T17:X22" si="5">T4-S4</f>
        <v>0</v>
      </c>
      <c r="U17" s="342">
        <f t="shared" si="5"/>
        <v>0</v>
      </c>
      <c r="V17" s="342">
        <f t="shared" si="5"/>
        <v>0</v>
      </c>
      <c r="W17" s="342">
        <f t="shared" si="5"/>
        <v>0</v>
      </c>
      <c r="X17" s="342">
        <f t="shared" si="5"/>
        <v>0</v>
      </c>
    </row>
    <row r="18" spans="1:24" x14ac:dyDescent="0.25">
      <c r="A18" s="330">
        <v>2025</v>
      </c>
      <c r="B18" s="331"/>
      <c r="C18" s="331"/>
      <c r="D18" s="331"/>
      <c r="E18" s="331"/>
      <c r="F18" s="331"/>
      <c r="G18" s="159">
        <f>G7*12</f>
        <v>186279.84</v>
      </c>
      <c r="H18" s="350">
        <f>H7*12</f>
        <v>298251.72000000003</v>
      </c>
      <c r="I18" s="350">
        <f>I7*8</f>
        <v>67088.88</v>
      </c>
      <c r="J18" s="349"/>
      <c r="K18" s="349"/>
      <c r="L18" s="349"/>
      <c r="O18" s="159">
        <f t="shared" si="1"/>
        <v>551620.44000000006</v>
      </c>
      <c r="P18" s="352" t="s">
        <v>326</v>
      </c>
      <c r="Q18" s="334" t="b">
        <f t="shared" si="2"/>
        <v>1</v>
      </c>
      <c r="R18" t="s">
        <v>231</v>
      </c>
      <c r="T18" s="342">
        <f t="shared" si="5"/>
        <v>16</v>
      </c>
      <c r="U18" s="342">
        <f t="shared" si="5"/>
        <v>0</v>
      </c>
      <c r="V18" s="342">
        <f t="shared" si="5"/>
        <v>0</v>
      </c>
      <c r="W18" s="342">
        <f t="shared" si="5"/>
        <v>0</v>
      </c>
      <c r="X18" s="342">
        <f t="shared" si="5"/>
        <v>0</v>
      </c>
    </row>
    <row r="19" spans="1:24" x14ac:dyDescent="0.25">
      <c r="A19" s="330">
        <v>2026</v>
      </c>
      <c r="B19" s="331"/>
      <c r="C19" s="331"/>
      <c r="D19" s="331"/>
      <c r="E19" s="331"/>
      <c r="F19" s="331"/>
      <c r="G19" s="159">
        <f>(G7*9)+(G6*0.05)</f>
        <v>175037.55300000001</v>
      </c>
      <c r="H19" s="350">
        <f>H7*12</f>
        <v>298251.72000000003</v>
      </c>
      <c r="I19" s="350">
        <f>I7*12</f>
        <v>100633.32</v>
      </c>
      <c r="J19" s="350">
        <f>J7*8</f>
        <v>46617.68</v>
      </c>
      <c r="K19" s="349"/>
      <c r="L19" s="349"/>
      <c r="O19" s="159">
        <f t="shared" si="1"/>
        <v>620540.27300000016</v>
      </c>
      <c r="P19" s="352" t="s">
        <v>327</v>
      </c>
      <c r="Q19" s="334" t="b">
        <f t="shared" si="2"/>
        <v>1</v>
      </c>
      <c r="R19" t="s">
        <v>208</v>
      </c>
      <c r="T19" s="342">
        <f t="shared" si="5"/>
        <v>135</v>
      </c>
      <c r="U19" s="342">
        <f>U6-T6</f>
        <v>40</v>
      </c>
      <c r="V19" s="342">
        <f>V6-U6</f>
        <v>25</v>
      </c>
      <c r="W19" s="342">
        <f>W6-V6</f>
        <v>10</v>
      </c>
      <c r="X19" s="342">
        <f t="shared" si="5"/>
        <v>0</v>
      </c>
    </row>
    <row r="20" spans="1:24" x14ac:dyDescent="0.25">
      <c r="A20" s="330">
        <v>2027</v>
      </c>
      <c r="B20" s="331"/>
      <c r="C20" s="331"/>
      <c r="D20" s="331"/>
      <c r="E20" s="331"/>
      <c r="F20" s="331"/>
      <c r="G20" s="331"/>
      <c r="H20" s="350">
        <f>H7*12</f>
        <v>298251.72000000003</v>
      </c>
      <c r="I20" s="350">
        <f>I7*12</f>
        <v>100633.32</v>
      </c>
      <c r="J20" s="350">
        <f>J7*12</f>
        <v>69926.52</v>
      </c>
      <c r="K20" s="350">
        <f>K7*8</f>
        <v>26349.119999999999</v>
      </c>
      <c r="L20" s="349"/>
      <c r="O20" s="159">
        <f t="shared" si="1"/>
        <v>495160.68000000005</v>
      </c>
      <c r="P20" s="352" t="s">
        <v>328</v>
      </c>
      <c r="Q20" s="334" t="b">
        <f t="shared" si="2"/>
        <v>0</v>
      </c>
      <c r="R20" t="s">
        <v>222</v>
      </c>
      <c r="T20" s="342">
        <f t="shared" si="5"/>
        <v>164</v>
      </c>
      <c r="U20" s="342">
        <f t="shared" si="5"/>
        <v>121</v>
      </c>
      <c r="V20" s="342">
        <f t="shared" si="5"/>
        <v>60</v>
      </c>
      <c r="W20" s="342">
        <f t="shared" si="5"/>
        <v>-6</v>
      </c>
      <c r="X20" s="342">
        <f>X7-W7</f>
        <v>-1</v>
      </c>
    </row>
    <row r="21" spans="1:24" x14ac:dyDescent="0.25">
      <c r="A21" s="330">
        <v>2028</v>
      </c>
      <c r="B21" s="331"/>
      <c r="C21" s="331"/>
      <c r="D21" s="331"/>
      <c r="E21" s="331"/>
      <c r="F21" s="331"/>
      <c r="G21" s="331"/>
      <c r="H21" s="350">
        <f>(H7*9)+(H6*0.05)</f>
        <v>277643.79000000004</v>
      </c>
      <c r="I21" s="350">
        <f>I7*12</f>
        <v>100633.32</v>
      </c>
      <c r="J21" s="350">
        <f>J7*12</f>
        <v>69926.52</v>
      </c>
      <c r="K21" s="350">
        <f>K7*12</f>
        <v>39523.68</v>
      </c>
      <c r="L21" s="350">
        <f>L7*8</f>
        <v>24322.240000000002</v>
      </c>
      <c r="O21" s="159">
        <f t="shared" si="1"/>
        <v>512049.55000000005</v>
      </c>
      <c r="P21" s="352" t="s">
        <v>329</v>
      </c>
      <c r="Q21" s="334" t="b">
        <f t="shared" si="2"/>
        <v>0</v>
      </c>
      <c r="R21" t="s">
        <v>258</v>
      </c>
      <c r="T21" s="342">
        <f t="shared" si="5"/>
        <v>645</v>
      </c>
      <c r="U21" s="342">
        <f t="shared" si="5"/>
        <v>170</v>
      </c>
      <c r="V21" s="342">
        <f t="shared" si="5"/>
        <v>145</v>
      </c>
      <c r="W21" s="342">
        <f t="shared" si="5"/>
        <v>120</v>
      </c>
      <c r="X21" s="342">
        <f t="shared" si="5"/>
        <v>120</v>
      </c>
    </row>
    <row r="22" spans="1:24" x14ac:dyDescent="0.25">
      <c r="A22" s="330">
        <v>2029</v>
      </c>
      <c r="B22" s="331"/>
      <c r="C22" s="331"/>
      <c r="D22" s="331"/>
      <c r="E22" s="331"/>
      <c r="F22" s="331"/>
      <c r="G22" s="331"/>
      <c r="H22" s="349"/>
      <c r="I22" s="350">
        <f>(I7*9)+(I6*0.05)</f>
        <v>93679.99</v>
      </c>
      <c r="J22" s="350">
        <f>J7*12</f>
        <v>69926.52</v>
      </c>
      <c r="K22" s="350">
        <f>K7*12</f>
        <v>39523.68</v>
      </c>
      <c r="L22" s="350">
        <f>L7*12</f>
        <v>36483.360000000001</v>
      </c>
      <c r="O22" s="159">
        <f t="shared" si="1"/>
        <v>239613.55</v>
      </c>
      <c r="P22" s="352" t="s">
        <v>330</v>
      </c>
      <c r="Q22" s="334" t="b">
        <f t="shared" si="2"/>
        <v>0</v>
      </c>
      <c r="R22" s="137" t="s">
        <v>315</v>
      </c>
      <c r="T22" s="342">
        <f t="shared" si="5"/>
        <v>997</v>
      </c>
      <c r="U22" s="342">
        <f t="shared" si="5"/>
        <v>331</v>
      </c>
      <c r="V22" s="342">
        <f t="shared" si="5"/>
        <v>230</v>
      </c>
      <c r="W22" s="342">
        <f t="shared" si="5"/>
        <v>124</v>
      </c>
      <c r="X22" s="342">
        <f t="shared" si="5"/>
        <v>119</v>
      </c>
    </row>
    <row r="23" spans="1:24" x14ac:dyDescent="0.25">
      <c r="A23" s="330">
        <v>2030</v>
      </c>
      <c r="B23" s="331"/>
      <c r="C23" s="331"/>
      <c r="D23" s="331"/>
      <c r="E23" s="331"/>
      <c r="F23" s="331"/>
      <c r="G23" s="331"/>
      <c r="H23" s="349"/>
      <c r="I23" s="349"/>
      <c r="J23" s="350">
        <f>(J7*9)+(J6*0.05)</f>
        <v>65094.89</v>
      </c>
      <c r="K23" s="350">
        <f>K7*12</f>
        <v>39523.68</v>
      </c>
      <c r="L23" s="350">
        <f>L7*12</f>
        <v>36483.360000000001</v>
      </c>
      <c r="O23" s="159">
        <f t="shared" si="1"/>
        <v>141101.93</v>
      </c>
      <c r="P23" s="352" t="s">
        <v>331</v>
      </c>
      <c r="Q23" s="334" t="b">
        <f t="shared" si="2"/>
        <v>0</v>
      </c>
      <c r="T23" s="342"/>
    </row>
    <row r="24" spans="1:24" x14ac:dyDescent="0.25">
      <c r="P24" s="212"/>
      <c r="S24" s="112" t="str">
        <f>'6-Year - System'!B1</f>
        <v xml:space="preserve"> FY 23</v>
      </c>
      <c r="T24" s="112" t="str">
        <f>'6-Year - System'!C1</f>
        <v xml:space="preserve"> FY 24</v>
      </c>
      <c r="U24" s="112" t="str">
        <f>'6-Year - System'!D1</f>
        <v xml:space="preserve"> FY 25</v>
      </c>
      <c r="V24" s="112" t="str">
        <f>'6-Year - System'!E1</f>
        <v xml:space="preserve"> FY 26</v>
      </c>
      <c r="W24" s="112" t="str">
        <f>'6-Year - System'!F1</f>
        <v xml:space="preserve"> FY 27</v>
      </c>
      <c r="X24" s="112" t="str">
        <f>'6-Year - System'!G1</f>
        <v xml:space="preserve"> FY 28</v>
      </c>
    </row>
    <row r="25" spans="1:24" ht="15.75" x14ac:dyDescent="0.25">
      <c r="A25" s="333" t="s">
        <v>332</v>
      </c>
      <c r="P25" s="212"/>
      <c r="R25" t="s">
        <v>238</v>
      </c>
      <c r="T25" s="342">
        <f>IF(T16*1100&gt;25000,T16*1100,0)</f>
        <v>40700</v>
      </c>
      <c r="U25" s="342">
        <f t="shared" ref="U25:X25" si="6">IF(U16*1100&gt;25000,U16*1100,0)</f>
        <v>0</v>
      </c>
      <c r="V25" s="342">
        <f t="shared" si="6"/>
        <v>0</v>
      </c>
      <c r="W25" s="342">
        <f t="shared" si="6"/>
        <v>0</v>
      </c>
      <c r="X25" s="342">
        <f t="shared" si="6"/>
        <v>0</v>
      </c>
    </row>
    <row r="26" spans="1:24" x14ac:dyDescent="0.25">
      <c r="P26" s="212"/>
      <c r="R26" t="s">
        <v>215</v>
      </c>
      <c r="T26" s="342">
        <f t="shared" ref="T26:X30" si="7">IF(T17*1100&gt;25000,T17*1100,0)</f>
        <v>0</v>
      </c>
      <c r="U26" s="342">
        <f t="shared" si="7"/>
        <v>0</v>
      </c>
      <c r="V26" s="342">
        <f t="shared" si="7"/>
        <v>0</v>
      </c>
      <c r="W26" s="342">
        <f t="shared" si="7"/>
        <v>0</v>
      </c>
      <c r="X26" s="342">
        <f t="shared" si="7"/>
        <v>0</v>
      </c>
    </row>
    <row r="27" spans="1:24" x14ac:dyDescent="0.25">
      <c r="A27" t="s">
        <v>312</v>
      </c>
      <c r="B27" s="158">
        <f>(B28/$B$7)*$B$6</f>
        <v>19679.705782511435</v>
      </c>
      <c r="C27" s="158">
        <f>(C28/$C$7)*$C$6</f>
        <v>48983.848053611488</v>
      </c>
      <c r="D27" s="158">
        <f>(D28/$D$7)*$D$6</f>
        <v>0</v>
      </c>
      <c r="E27" s="158">
        <f>(E28/$E$7)*$E$6</f>
        <v>107200.2621934857</v>
      </c>
      <c r="F27" s="158">
        <f>(F28/$F$7)*$F$6</f>
        <v>0</v>
      </c>
      <c r="G27" s="158">
        <v>4046.35</v>
      </c>
      <c r="H27" s="347">
        <f>T25</f>
        <v>40700</v>
      </c>
      <c r="I27" s="347">
        <f t="shared" ref="I27:L27" si="8">U25</f>
        <v>0</v>
      </c>
      <c r="J27" s="347">
        <f t="shared" si="8"/>
        <v>0</v>
      </c>
      <c r="K27" s="347">
        <f t="shared" si="8"/>
        <v>0</v>
      </c>
      <c r="L27" s="347">
        <f t="shared" si="8"/>
        <v>0</v>
      </c>
      <c r="M27" s="158"/>
      <c r="P27" s="212"/>
      <c r="R27" t="s">
        <v>231</v>
      </c>
      <c r="T27" s="342">
        <f t="shared" si="7"/>
        <v>0</v>
      </c>
      <c r="U27" s="342">
        <f t="shared" si="7"/>
        <v>0</v>
      </c>
      <c r="V27" s="342">
        <f t="shared" si="7"/>
        <v>0</v>
      </c>
      <c r="W27" s="342">
        <f t="shared" si="7"/>
        <v>0</v>
      </c>
      <c r="X27" s="342">
        <f t="shared" si="7"/>
        <v>0</v>
      </c>
    </row>
    <row r="28" spans="1:24" x14ac:dyDescent="0.25">
      <c r="A28" t="s">
        <v>313</v>
      </c>
      <c r="B28" s="158">
        <v>429.36</v>
      </c>
      <c r="C28" s="158">
        <v>1077.69</v>
      </c>
      <c r="D28" s="158">
        <v>0</v>
      </c>
      <c r="E28" s="158">
        <v>2322.92</v>
      </c>
      <c r="F28" s="158">
        <v>0</v>
      </c>
      <c r="G28" s="158">
        <f>(G27/$G$6)*$G$7</f>
        <v>88.900259411368538</v>
      </c>
      <c r="H28" s="347">
        <f>H27/H6*H7</f>
        <v>937.42045871559628</v>
      </c>
      <c r="I28" s="347">
        <f t="shared" ref="I28:L28" si="9">I27/I6*I7</f>
        <v>0</v>
      </c>
      <c r="J28" s="347">
        <f t="shared" si="9"/>
        <v>0</v>
      </c>
      <c r="K28" s="347">
        <f t="shared" si="9"/>
        <v>0</v>
      </c>
      <c r="L28" s="347">
        <f t="shared" si="9"/>
        <v>0</v>
      </c>
      <c r="M28" s="158"/>
      <c r="P28" s="212"/>
      <c r="R28" t="s">
        <v>208</v>
      </c>
      <c r="T28" s="342">
        <f t="shared" si="7"/>
        <v>148500</v>
      </c>
      <c r="U28" s="342">
        <f t="shared" si="7"/>
        <v>44000</v>
      </c>
      <c r="V28" s="342">
        <f t="shared" si="7"/>
        <v>27500</v>
      </c>
      <c r="W28" s="342">
        <f t="shared" si="7"/>
        <v>0</v>
      </c>
      <c r="X28" s="342">
        <f t="shared" si="7"/>
        <v>0</v>
      </c>
    </row>
    <row r="29" spans="1:24" x14ac:dyDescent="0.25">
      <c r="A29" t="s">
        <v>305</v>
      </c>
      <c r="B29" s="332" t="str">
        <f>$B$5</f>
        <v>10</v>
      </c>
      <c r="C29" s="332" t="str">
        <f>$C$5</f>
        <v>12</v>
      </c>
      <c r="D29" s="332" t="str">
        <f>$D$5</f>
        <v>14</v>
      </c>
      <c r="E29" s="332" t="str">
        <f>$E$5</f>
        <v>15</v>
      </c>
      <c r="F29" s="332" t="str">
        <f>$F$5</f>
        <v>16</v>
      </c>
      <c r="G29" s="332">
        <f>$G$5</f>
        <v>18</v>
      </c>
      <c r="H29" s="346"/>
      <c r="I29" s="346"/>
      <c r="J29" s="346"/>
      <c r="K29" s="346"/>
      <c r="L29" s="346"/>
      <c r="P29" s="212"/>
      <c r="R29" t="s">
        <v>222</v>
      </c>
      <c r="T29" s="342">
        <f t="shared" si="7"/>
        <v>180400</v>
      </c>
      <c r="U29" s="342">
        <f t="shared" si="7"/>
        <v>133100</v>
      </c>
      <c r="V29" s="342">
        <f t="shared" si="7"/>
        <v>66000</v>
      </c>
      <c r="W29" s="342">
        <f t="shared" si="7"/>
        <v>0</v>
      </c>
      <c r="X29" s="342">
        <f t="shared" si="7"/>
        <v>0</v>
      </c>
    </row>
    <row r="30" spans="1:24" x14ac:dyDescent="0.25">
      <c r="O30" s="112" t="s">
        <v>316</v>
      </c>
      <c r="P30" s="351" t="s">
        <v>317</v>
      </c>
      <c r="R30" t="s">
        <v>258</v>
      </c>
      <c r="T30" s="342">
        <f t="shared" si="7"/>
        <v>709500</v>
      </c>
      <c r="U30" s="342">
        <f t="shared" si="7"/>
        <v>187000</v>
      </c>
      <c r="V30" s="342">
        <f t="shared" si="7"/>
        <v>159500</v>
      </c>
      <c r="W30" s="342">
        <f t="shared" si="7"/>
        <v>132000</v>
      </c>
      <c r="X30" s="342">
        <f t="shared" si="7"/>
        <v>132000</v>
      </c>
    </row>
    <row r="31" spans="1:24" x14ac:dyDescent="0.25">
      <c r="A31" s="330">
        <v>2018</v>
      </c>
      <c r="B31" s="159">
        <f>($B$28/$B$7)*B11</f>
        <v>3434.8799999999997</v>
      </c>
      <c r="C31" s="331"/>
      <c r="D31" s="331"/>
      <c r="E31" s="331"/>
      <c r="F31" s="331"/>
      <c r="G31" s="331"/>
      <c r="H31" s="349"/>
      <c r="I31" s="349"/>
      <c r="J31" s="349"/>
      <c r="K31" s="349"/>
      <c r="L31" s="349"/>
      <c r="O31" s="159">
        <f t="shared" ref="O31:O43" si="10">SUM(B31:N31)</f>
        <v>3434.8799999999997</v>
      </c>
      <c r="P31" s="352" t="s">
        <v>318</v>
      </c>
      <c r="R31" s="137" t="s">
        <v>315</v>
      </c>
      <c r="T31" s="342">
        <f>SUM(T25:T30)</f>
        <v>1079100</v>
      </c>
      <c r="U31" s="342">
        <f t="shared" ref="U31:X31" si="11">SUM(U25:U30)</f>
        <v>364100</v>
      </c>
      <c r="V31" s="342">
        <f t="shared" si="11"/>
        <v>253000</v>
      </c>
      <c r="W31" s="342">
        <f t="shared" si="11"/>
        <v>132000</v>
      </c>
      <c r="X31" s="342">
        <f t="shared" si="11"/>
        <v>132000</v>
      </c>
    </row>
    <row r="32" spans="1:24" x14ac:dyDescent="0.25">
      <c r="A32" s="330">
        <v>2019</v>
      </c>
      <c r="B32" s="159">
        <f>($B$28/$B$7)*B12</f>
        <v>5152.32</v>
      </c>
      <c r="C32" s="159">
        <f>($C$28/$C$7)*C12</f>
        <v>8621.52</v>
      </c>
      <c r="D32" s="331"/>
      <c r="E32" s="331"/>
      <c r="F32" s="331"/>
      <c r="G32" s="331"/>
      <c r="H32" s="349"/>
      <c r="I32" s="349"/>
      <c r="J32" s="349"/>
      <c r="K32" s="349"/>
      <c r="L32" s="349"/>
      <c r="O32" s="159">
        <f t="shared" si="10"/>
        <v>13773.84</v>
      </c>
      <c r="P32" s="352" t="s">
        <v>319</v>
      </c>
    </row>
    <row r="33" spans="1:16" x14ac:dyDescent="0.25">
      <c r="A33" s="330">
        <v>2020</v>
      </c>
      <c r="B33" s="159">
        <f>($B$28/$B$7)*B13</f>
        <v>5152.32</v>
      </c>
      <c r="C33" s="159">
        <f>($C$28/$C$7)*C13</f>
        <v>12932.28</v>
      </c>
      <c r="D33" s="159">
        <f>($D$28/$D$7)*D13</f>
        <v>0</v>
      </c>
      <c r="E33" s="159">
        <f>($E$28/$E$7)*E13</f>
        <v>11614.6</v>
      </c>
      <c r="F33" s="159">
        <f>($F$28/$F$7)*F13</f>
        <v>0</v>
      </c>
      <c r="G33" s="331"/>
      <c r="H33" s="349"/>
      <c r="I33" s="349"/>
      <c r="J33" s="349"/>
      <c r="K33" s="349"/>
      <c r="L33" s="349"/>
      <c r="O33" s="159">
        <f t="shared" si="10"/>
        <v>29699.199999999997</v>
      </c>
      <c r="P33" s="352" t="s">
        <v>321</v>
      </c>
    </row>
    <row r="34" spans="1:16" x14ac:dyDescent="0.25">
      <c r="A34" s="330">
        <v>2021</v>
      </c>
      <c r="B34" s="159">
        <f>($B$28/$B$7)*B14</f>
        <v>5152.32</v>
      </c>
      <c r="C34" s="159">
        <f>($C$28/$C$7)*C14</f>
        <v>12932.28</v>
      </c>
      <c r="D34" s="159">
        <f>($D$28/$D$7)*D14</f>
        <v>0</v>
      </c>
      <c r="E34" s="159">
        <f>($E$28/$E$7)*E14</f>
        <v>27875.040000000001</v>
      </c>
      <c r="F34" s="159">
        <f>($F$28/$F$7)*F14</f>
        <v>0</v>
      </c>
      <c r="G34" s="331"/>
      <c r="H34" s="349"/>
      <c r="I34" s="349"/>
      <c r="J34" s="349"/>
      <c r="K34" s="349"/>
      <c r="L34" s="349"/>
      <c r="O34" s="159">
        <f t="shared" si="10"/>
        <v>45959.64</v>
      </c>
      <c r="P34" s="352" t="s">
        <v>322</v>
      </c>
    </row>
    <row r="35" spans="1:16" x14ac:dyDescent="0.25">
      <c r="A35" s="330">
        <v>2022</v>
      </c>
      <c r="B35" s="159">
        <f>($B$28/$B$7)*B15</f>
        <v>2701.4252891255715</v>
      </c>
      <c r="C35" s="159">
        <f>($C$28/$C$7)*C15</f>
        <v>12932.28</v>
      </c>
      <c r="D35" s="159">
        <f>($D$28/$D$7)*D15</f>
        <v>0</v>
      </c>
      <c r="E35" s="159">
        <f>($E$28/$E$7)*E15</f>
        <v>27875.040000000001</v>
      </c>
      <c r="F35" s="159">
        <f>($F$28/$F$7)*F15</f>
        <v>0</v>
      </c>
      <c r="G35" s="159">
        <f>G28*3</f>
        <v>266.7007782341056</v>
      </c>
      <c r="H35" s="349"/>
      <c r="I35" s="349"/>
      <c r="J35" s="349"/>
      <c r="K35" s="349"/>
      <c r="L35" s="349"/>
      <c r="O35" s="159">
        <f t="shared" si="10"/>
        <v>43775.446067359677</v>
      </c>
      <c r="P35" s="352" t="s">
        <v>323</v>
      </c>
    </row>
    <row r="36" spans="1:16" x14ac:dyDescent="0.25">
      <c r="A36" s="330">
        <v>2023</v>
      </c>
      <c r="B36" s="331"/>
      <c r="C36" s="159">
        <f>($C$28/$C$7)*C16</f>
        <v>6759.9524026805748</v>
      </c>
      <c r="D36" s="159">
        <f>($D$28/$D$7)*D16</f>
        <v>0</v>
      </c>
      <c r="E36" s="159">
        <f>($E$28/$E$7)*E16</f>
        <v>27875.040000000001</v>
      </c>
      <c r="F36" s="159">
        <f>($F$28/$F$7)*F16</f>
        <v>0</v>
      </c>
      <c r="G36" s="159">
        <f>G28*12</f>
        <v>1066.8031129364224</v>
      </c>
      <c r="H36" s="349"/>
      <c r="I36" s="349"/>
      <c r="J36" s="349"/>
      <c r="K36" s="349"/>
      <c r="L36" s="349"/>
      <c r="O36" s="159">
        <f t="shared" si="10"/>
        <v>35701.795515616999</v>
      </c>
      <c r="P36" s="353" t="s">
        <v>324</v>
      </c>
    </row>
    <row r="37" spans="1:16" x14ac:dyDescent="0.25">
      <c r="A37" s="330">
        <v>2024</v>
      </c>
      <c r="B37" s="331"/>
      <c r="C37" s="331"/>
      <c r="D37" s="159">
        <f>($D$28/$D$7)*D17</f>
        <v>0</v>
      </c>
      <c r="E37" s="159">
        <f>($E$28/$E$7)*E17</f>
        <v>21620.453109674287</v>
      </c>
      <c r="F37" s="159">
        <f>($F$28/$F$7)*F17</f>
        <v>0</v>
      </c>
      <c r="G37" s="159">
        <f>G28*12</f>
        <v>1066.8031129364224</v>
      </c>
      <c r="H37" s="350">
        <f>$H$27/$H$6*H17</f>
        <v>7499.3636697247703</v>
      </c>
      <c r="I37" s="349"/>
      <c r="J37" s="349"/>
      <c r="K37" s="349"/>
      <c r="L37" s="349"/>
      <c r="O37" s="159">
        <f t="shared" si="10"/>
        <v>30186.619892335479</v>
      </c>
      <c r="P37" s="352" t="s">
        <v>325</v>
      </c>
    </row>
    <row r="38" spans="1:16" x14ac:dyDescent="0.25">
      <c r="A38" s="330">
        <v>2025</v>
      </c>
      <c r="B38" s="331"/>
      <c r="C38" s="331"/>
      <c r="D38" s="331"/>
      <c r="E38" s="331"/>
      <c r="F38" s="331"/>
      <c r="G38" s="159">
        <f>G28*12</f>
        <v>1066.8031129364224</v>
      </c>
      <c r="H38" s="350">
        <f t="shared" ref="H38:H41" si="12">$H$27/$H$6*H18</f>
        <v>11249.045504587157</v>
      </c>
      <c r="I38" s="350">
        <f>$I$27/$I$6*I18</f>
        <v>0</v>
      </c>
      <c r="J38" s="349"/>
      <c r="K38" s="349"/>
      <c r="L38" s="349"/>
      <c r="O38" s="159">
        <f t="shared" si="10"/>
        <v>12315.848617523579</v>
      </c>
      <c r="P38" s="352" t="s">
        <v>326</v>
      </c>
    </row>
    <row r="39" spans="1:16" x14ac:dyDescent="0.25">
      <c r="A39" s="330">
        <v>2026</v>
      </c>
      <c r="B39" s="331"/>
      <c r="C39" s="331"/>
      <c r="D39" s="331"/>
      <c r="E39" s="331"/>
      <c r="F39" s="331"/>
      <c r="G39" s="159">
        <f>(G28*9)+(G27*0.05)</f>
        <v>1002.4198347023168</v>
      </c>
      <c r="H39" s="350">
        <f t="shared" si="12"/>
        <v>11249.045504587157</v>
      </c>
      <c r="I39" s="350">
        <f t="shared" ref="I39:I42" si="13">$I$27/$I$6*I19</f>
        <v>0</v>
      </c>
      <c r="J39" s="350">
        <f>$J$27/$J$6*J19</f>
        <v>0</v>
      </c>
      <c r="K39" s="349"/>
      <c r="L39" s="349"/>
      <c r="O39" s="159">
        <f t="shared" si="10"/>
        <v>12251.465339289474</v>
      </c>
      <c r="P39" s="352" t="s">
        <v>327</v>
      </c>
    </row>
    <row r="40" spans="1:16" x14ac:dyDescent="0.25">
      <c r="A40" s="330">
        <v>2027</v>
      </c>
      <c r="B40" s="331"/>
      <c r="C40" s="331"/>
      <c r="D40" s="331"/>
      <c r="E40" s="331"/>
      <c r="F40" s="331"/>
      <c r="G40" s="331"/>
      <c r="H40" s="350">
        <f t="shared" si="12"/>
        <v>11249.045504587157</v>
      </c>
      <c r="I40" s="350">
        <f t="shared" si="13"/>
        <v>0</v>
      </c>
      <c r="J40" s="350">
        <f t="shared" ref="J40:J43" si="14">$J$27/$J$6*J20</f>
        <v>0</v>
      </c>
      <c r="K40" s="350">
        <f>$K$27/$K$6*K20</f>
        <v>0</v>
      </c>
      <c r="L40" s="349"/>
      <c r="O40" s="159">
        <f t="shared" si="10"/>
        <v>11249.045504587157</v>
      </c>
      <c r="P40" s="352" t="s">
        <v>328</v>
      </c>
    </row>
    <row r="41" spans="1:16" x14ac:dyDescent="0.25">
      <c r="A41" s="330">
        <v>2028</v>
      </c>
      <c r="B41" s="331"/>
      <c r="C41" s="331"/>
      <c r="D41" s="331"/>
      <c r="E41" s="331"/>
      <c r="F41" s="331"/>
      <c r="G41" s="331"/>
      <c r="H41" s="350">
        <f t="shared" si="12"/>
        <v>10471.784128440368</v>
      </c>
      <c r="I41" s="350">
        <f t="shared" si="13"/>
        <v>0</v>
      </c>
      <c r="J41" s="350">
        <f t="shared" si="14"/>
        <v>0</v>
      </c>
      <c r="K41" s="350">
        <f t="shared" ref="K41:K43" si="15">$K$27/$K$6*K21</f>
        <v>0</v>
      </c>
      <c r="L41" s="350">
        <f>$L$27/$L$6*L21</f>
        <v>0</v>
      </c>
      <c r="O41" s="159">
        <f t="shared" si="10"/>
        <v>10471.784128440368</v>
      </c>
      <c r="P41" s="352" t="s">
        <v>329</v>
      </c>
    </row>
    <row r="42" spans="1:16" x14ac:dyDescent="0.25">
      <c r="A42" s="330">
        <v>2029</v>
      </c>
      <c r="B42" s="331"/>
      <c r="C42" s="331"/>
      <c r="D42" s="331"/>
      <c r="E42" s="331"/>
      <c r="F42" s="331"/>
      <c r="G42" s="331"/>
      <c r="H42" s="349"/>
      <c r="I42" s="350">
        <f t="shared" si="13"/>
        <v>0</v>
      </c>
      <c r="J42" s="350">
        <f t="shared" si="14"/>
        <v>0</v>
      </c>
      <c r="K42" s="350">
        <f t="shared" si="15"/>
        <v>0</v>
      </c>
      <c r="L42" s="350">
        <f t="shared" ref="L42:L43" si="16">$L$27/$L$6*L22</f>
        <v>0</v>
      </c>
      <c r="O42" s="159">
        <f t="shared" si="10"/>
        <v>0</v>
      </c>
      <c r="P42" s="352" t="s">
        <v>330</v>
      </c>
    </row>
    <row r="43" spans="1:16" x14ac:dyDescent="0.25">
      <c r="A43" s="330">
        <v>2030</v>
      </c>
      <c r="B43" s="331"/>
      <c r="C43" s="331"/>
      <c r="D43" s="331"/>
      <c r="E43" s="331"/>
      <c r="F43" s="331"/>
      <c r="G43" s="331"/>
      <c r="H43" s="349"/>
      <c r="I43" s="349"/>
      <c r="J43" s="350">
        <f t="shared" si="14"/>
        <v>0</v>
      </c>
      <c r="K43" s="350">
        <f t="shared" si="15"/>
        <v>0</v>
      </c>
      <c r="L43" s="350">
        <f t="shared" si="16"/>
        <v>0</v>
      </c>
      <c r="O43" s="159">
        <f t="shared" si="10"/>
        <v>0</v>
      </c>
      <c r="P43" s="352" t="s">
        <v>331</v>
      </c>
    </row>
    <row r="44" spans="1:16" x14ac:dyDescent="0.25">
      <c r="P44" s="212"/>
    </row>
    <row r="45" spans="1:16" ht="15.75" x14ac:dyDescent="0.25">
      <c r="A45" s="333" t="s">
        <v>333</v>
      </c>
      <c r="P45" s="212"/>
    </row>
    <row r="46" spans="1:16" x14ac:dyDescent="0.25">
      <c r="P46" s="212"/>
    </row>
    <row r="47" spans="1:16" x14ac:dyDescent="0.25">
      <c r="A47" t="s">
        <v>312</v>
      </c>
      <c r="B47" s="158">
        <f>(B48/$B$7)*$B$6</f>
        <v>59039.117347534302</v>
      </c>
      <c r="C47" s="158">
        <f>(C48/$C$7)*$C$6</f>
        <v>11255.435508834464</v>
      </c>
      <c r="D47" s="158">
        <f>(D48/$D$7)*$D$6</f>
        <v>0</v>
      </c>
      <c r="E47" s="158">
        <f>(E48/$E$7)*$E$6</f>
        <v>369020.65356438007</v>
      </c>
      <c r="F47" s="158">
        <f>(F48/$F$7)*$F$6</f>
        <v>0</v>
      </c>
      <c r="G47" s="158">
        <v>0</v>
      </c>
      <c r="H47" s="347">
        <f>T26</f>
        <v>0</v>
      </c>
      <c r="I47" s="347">
        <f t="shared" ref="I47:L47" si="17">U26</f>
        <v>0</v>
      </c>
      <c r="J47" s="347">
        <f t="shared" si="17"/>
        <v>0</v>
      </c>
      <c r="K47" s="347">
        <f t="shared" si="17"/>
        <v>0</v>
      </c>
      <c r="L47" s="347">
        <f t="shared" si="17"/>
        <v>0</v>
      </c>
      <c r="M47" s="158"/>
      <c r="P47" s="212"/>
    </row>
    <row r="48" spans="1:16" x14ac:dyDescent="0.25">
      <c r="A48" t="s">
        <v>313</v>
      </c>
      <c r="B48" s="158">
        <v>1288.08</v>
      </c>
      <c r="C48" s="158">
        <v>247.63</v>
      </c>
      <c r="D48" s="158">
        <v>0</v>
      </c>
      <c r="E48" s="158">
        <v>7996.3</v>
      </c>
      <c r="F48" s="158">
        <v>0</v>
      </c>
      <c r="G48" s="158">
        <v>0</v>
      </c>
      <c r="H48" s="347">
        <v>0</v>
      </c>
      <c r="I48" s="347">
        <v>0</v>
      </c>
      <c r="J48" s="347">
        <v>0</v>
      </c>
      <c r="K48" s="347">
        <v>0</v>
      </c>
      <c r="L48" s="347">
        <v>0</v>
      </c>
      <c r="M48" s="158"/>
      <c r="P48" s="212"/>
    </row>
    <row r="49" spans="1:16" x14ac:dyDescent="0.25">
      <c r="A49" t="s">
        <v>305</v>
      </c>
      <c r="B49" s="332" t="str">
        <f>$B$5</f>
        <v>10</v>
      </c>
      <c r="C49" s="332" t="str">
        <f>$C$5</f>
        <v>12</v>
      </c>
      <c r="D49" s="332" t="str">
        <f>$D$5</f>
        <v>14</v>
      </c>
      <c r="E49" s="332" t="str">
        <f>$E$5</f>
        <v>15</v>
      </c>
      <c r="F49" s="332" t="str">
        <f>$F$5</f>
        <v>16</v>
      </c>
      <c r="G49" s="332">
        <f>$G$5</f>
        <v>18</v>
      </c>
      <c r="H49" s="346"/>
      <c r="I49" s="346"/>
      <c r="J49" s="346"/>
      <c r="K49" s="346"/>
      <c r="L49" s="346"/>
      <c r="P49" s="212"/>
    </row>
    <row r="50" spans="1:16" x14ac:dyDescent="0.25">
      <c r="O50" s="112" t="s">
        <v>316</v>
      </c>
      <c r="P50" s="351" t="s">
        <v>317</v>
      </c>
    </row>
    <row r="51" spans="1:16" x14ac:dyDescent="0.25">
      <c r="A51" s="330">
        <v>2018</v>
      </c>
      <c r="B51" s="159">
        <f>($B$48/$B$7)*B11</f>
        <v>10304.64</v>
      </c>
      <c r="C51" s="331"/>
      <c r="D51" s="331"/>
      <c r="E51" s="331"/>
      <c r="F51" s="331"/>
      <c r="G51" s="331"/>
      <c r="H51" s="349"/>
      <c r="I51" s="349"/>
      <c r="J51" s="349"/>
      <c r="K51" s="349"/>
      <c r="L51" s="349"/>
      <c r="O51" s="159">
        <f t="shared" ref="O51:O63" si="18">SUM(B51:N51)</f>
        <v>10304.64</v>
      </c>
      <c r="P51" s="352" t="s">
        <v>318</v>
      </c>
    </row>
    <row r="52" spans="1:16" x14ac:dyDescent="0.25">
      <c r="A52" s="330">
        <v>2019</v>
      </c>
      <c r="B52" s="159">
        <f>($B$48/$B$7)*B12</f>
        <v>15456.96</v>
      </c>
      <c r="C52" s="159">
        <f>($C$48/$C$7)*C12</f>
        <v>1981.04</v>
      </c>
      <c r="D52" s="331"/>
      <c r="E52" s="331"/>
      <c r="F52" s="331"/>
      <c r="G52" s="331"/>
      <c r="H52" s="349"/>
      <c r="I52" s="349"/>
      <c r="J52" s="349"/>
      <c r="K52" s="349"/>
      <c r="L52" s="349"/>
      <c r="O52" s="159">
        <f t="shared" si="18"/>
        <v>17438</v>
      </c>
      <c r="P52" s="352" t="s">
        <v>319</v>
      </c>
    </row>
    <row r="53" spans="1:16" x14ac:dyDescent="0.25">
      <c r="A53" s="330">
        <v>2020</v>
      </c>
      <c r="B53" s="159">
        <f>($B$48/$B$7)*B13</f>
        <v>15456.96</v>
      </c>
      <c r="C53" s="159">
        <f>($C$48/$C$7)*C13</f>
        <v>2971.5600000000004</v>
      </c>
      <c r="D53" s="159">
        <f>($D$48/$D$7)*D13</f>
        <v>0</v>
      </c>
      <c r="E53" s="159">
        <f>($E$48/$E$7)*E13</f>
        <v>39981.5</v>
      </c>
      <c r="F53" s="159">
        <f>($F$48/$F$7)*F13</f>
        <v>0</v>
      </c>
      <c r="G53" s="331"/>
      <c r="H53" s="349"/>
      <c r="I53" s="349"/>
      <c r="J53" s="349"/>
      <c r="K53" s="349"/>
      <c r="L53" s="349"/>
      <c r="O53" s="159">
        <f t="shared" si="18"/>
        <v>58410.020000000004</v>
      </c>
      <c r="P53" s="352" t="s">
        <v>321</v>
      </c>
    </row>
    <row r="54" spans="1:16" x14ac:dyDescent="0.25">
      <c r="A54" s="330">
        <v>2021</v>
      </c>
      <c r="B54" s="159">
        <f>($B$48/$B$7)*B14</f>
        <v>15456.96</v>
      </c>
      <c r="C54" s="159">
        <f>($C$48/$C$7)*C14</f>
        <v>2971.5600000000004</v>
      </c>
      <c r="D54" s="159">
        <f>($D$48/$D$7)*D14</f>
        <v>0</v>
      </c>
      <c r="E54" s="159">
        <f>($E$48/$E$7)*E14</f>
        <v>95955.6</v>
      </c>
      <c r="F54" s="159">
        <f>($F$48/$F$7)*F14</f>
        <v>0</v>
      </c>
      <c r="G54" s="331"/>
      <c r="H54" s="349"/>
      <c r="I54" s="349"/>
      <c r="J54" s="349"/>
      <c r="K54" s="349"/>
      <c r="L54" s="349"/>
      <c r="O54" s="159">
        <f t="shared" si="18"/>
        <v>114384.12000000001</v>
      </c>
      <c r="P54" s="352" t="s">
        <v>322</v>
      </c>
    </row>
    <row r="55" spans="1:16" x14ac:dyDescent="0.25">
      <c r="A55" s="330">
        <v>2022</v>
      </c>
      <c r="B55" s="159">
        <f>($B$48/$B$7)*B15</f>
        <v>8104.2758673767139</v>
      </c>
      <c r="C55" s="159">
        <f>($C$48/$C$7)*C15</f>
        <v>2971.5600000000004</v>
      </c>
      <c r="D55" s="159">
        <f>($D$48/$D$7)*D15</f>
        <v>0</v>
      </c>
      <c r="E55" s="159">
        <f>($E$48/$E$7)*E15</f>
        <v>95955.6</v>
      </c>
      <c r="F55" s="159">
        <f>($F$48/$F$7)*F15</f>
        <v>0</v>
      </c>
      <c r="G55" s="159">
        <f>G48*3</f>
        <v>0</v>
      </c>
      <c r="H55" s="349"/>
      <c r="I55" s="349"/>
      <c r="J55" s="349"/>
      <c r="K55" s="349"/>
      <c r="L55" s="349"/>
      <c r="O55" s="159">
        <f t="shared" si="18"/>
        <v>107031.43586737671</v>
      </c>
      <c r="P55" s="352" t="s">
        <v>323</v>
      </c>
    </row>
    <row r="56" spans="1:16" x14ac:dyDescent="0.25">
      <c r="A56" s="330">
        <v>2023</v>
      </c>
      <c r="B56" s="331"/>
      <c r="C56" s="159">
        <f>($C$48/$C$7)*C16</f>
        <v>1553.2917754417233</v>
      </c>
      <c r="D56" s="159">
        <f>($D$48/$D$7)*D16</f>
        <v>0</v>
      </c>
      <c r="E56" s="159">
        <f>($E$48/$E$7)*E16</f>
        <v>95955.6</v>
      </c>
      <c r="F56" s="159">
        <f>($F$48/$F$7)*F16</f>
        <v>0</v>
      </c>
      <c r="G56" s="159">
        <f>G48*12</f>
        <v>0</v>
      </c>
      <c r="H56" s="349"/>
      <c r="I56" s="349"/>
      <c r="J56" s="349"/>
      <c r="K56" s="349"/>
      <c r="L56" s="349"/>
      <c r="O56" s="159">
        <f t="shared" si="18"/>
        <v>97508.891775441734</v>
      </c>
      <c r="P56" s="353" t="s">
        <v>324</v>
      </c>
    </row>
    <row r="57" spans="1:16" x14ac:dyDescent="0.25">
      <c r="A57" s="330">
        <v>2024</v>
      </c>
      <c r="B57" s="331"/>
      <c r="C57" s="331"/>
      <c r="D57" s="159">
        <f>($D$48/$D$7)*D17</f>
        <v>0</v>
      </c>
      <c r="E57" s="159">
        <f>($E$48/$E$7)*E17</f>
        <v>74425.132678219015</v>
      </c>
      <c r="F57" s="159">
        <f>($F$48/$F$7)*F17</f>
        <v>0</v>
      </c>
      <c r="G57" s="159">
        <f>G48*12</f>
        <v>0</v>
      </c>
      <c r="H57" s="350">
        <f>H47*8</f>
        <v>0</v>
      </c>
      <c r="I57" s="349"/>
      <c r="J57" s="349"/>
      <c r="K57" s="349"/>
      <c r="L57" s="349"/>
      <c r="O57" s="159">
        <f t="shared" si="18"/>
        <v>74425.132678219015</v>
      </c>
      <c r="P57" s="352" t="s">
        <v>325</v>
      </c>
    </row>
    <row r="58" spans="1:16" x14ac:dyDescent="0.25">
      <c r="A58" s="330">
        <v>2025</v>
      </c>
      <c r="B58" s="331"/>
      <c r="C58" s="331"/>
      <c r="D58" s="331"/>
      <c r="E58" s="331"/>
      <c r="F58" s="331"/>
      <c r="G58" s="159">
        <f>G48*12</f>
        <v>0</v>
      </c>
      <c r="H58" s="350">
        <f>H47*12</f>
        <v>0</v>
      </c>
      <c r="I58" s="350">
        <f>$I$47/$I$6*I18</f>
        <v>0</v>
      </c>
      <c r="J58" s="349"/>
      <c r="K58" s="349"/>
      <c r="L58" s="349"/>
      <c r="O58" s="159">
        <f t="shared" si="18"/>
        <v>0</v>
      </c>
      <c r="P58" s="352" t="s">
        <v>326</v>
      </c>
    </row>
    <row r="59" spans="1:16" x14ac:dyDescent="0.25">
      <c r="A59" s="330">
        <v>2026</v>
      </c>
      <c r="B59" s="331"/>
      <c r="C59" s="331"/>
      <c r="D59" s="331"/>
      <c r="E59" s="331"/>
      <c r="F59" s="331"/>
      <c r="G59" s="159">
        <f>(G48*9)+(G47*0.05)</f>
        <v>0</v>
      </c>
      <c r="H59" s="350">
        <f>H47*12</f>
        <v>0</v>
      </c>
      <c r="I59" s="350">
        <f t="shared" ref="I59:I62" si="19">$I$47/$I$6*I19</f>
        <v>0</v>
      </c>
      <c r="J59" s="350">
        <f>$J$47/$J$6*J19</f>
        <v>0</v>
      </c>
      <c r="K59" s="349"/>
      <c r="L59" s="349"/>
      <c r="O59" s="159">
        <f t="shared" si="18"/>
        <v>0</v>
      </c>
      <c r="P59" s="352" t="s">
        <v>327</v>
      </c>
    </row>
    <row r="60" spans="1:16" x14ac:dyDescent="0.25">
      <c r="A60" s="330">
        <v>2027</v>
      </c>
      <c r="B60" s="331"/>
      <c r="C60" s="331"/>
      <c r="D60" s="331"/>
      <c r="E60" s="331"/>
      <c r="F60" s="331"/>
      <c r="G60" s="331"/>
      <c r="H60" s="350">
        <f>H47*12</f>
        <v>0</v>
      </c>
      <c r="I60" s="350">
        <f t="shared" si="19"/>
        <v>0</v>
      </c>
      <c r="J60" s="350">
        <f t="shared" ref="J60:J63" si="20">$J$47/$J$6*J20</f>
        <v>0</v>
      </c>
      <c r="K60" s="350">
        <f>$K$47/$K$6*K20</f>
        <v>0</v>
      </c>
      <c r="L60" s="349"/>
      <c r="O60" s="159">
        <f t="shared" si="18"/>
        <v>0</v>
      </c>
      <c r="P60" s="352" t="s">
        <v>328</v>
      </c>
    </row>
    <row r="61" spans="1:16" x14ac:dyDescent="0.25">
      <c r="A61" s="330">
        <v>2028</v>
      </c>
      <c r="B61" s="331"/>
      <c r="C61" s="331"/>
      <c r="D61" s="331"/>
      <c r="E61" s="331"/>
      <c r="F61" s="331"/>
      <c r="G61" s="331"/>
      <c r="H61" s="350">
        <f>(H47*9)+(H46*0.05)</f>
        <v>0</v>
      </c>
      <c r="I61" s="350">
        <f t="shared" si="19"/>
        <v>0</v>
      </c>
      <c r="J61" s="350">
        <f t="shared" si="20"/>
        <v>0</v>
      </c>
      <c r="K61" s="350">
        <f t="shared" ref="K61:K63" si="21">$K$47/$K$6*K21</f>
        <v>0</v>
      </c>
      <c r="L61" s="350">
        <f>$L$47/$L$6*L21</f>
        <v>0</v>
      </c>
      <c r="O61" s="159">
        <f t="shared" si="18"/>
        <v>0</v>
      </c>
      <c r="P61" s="352" t="s">
        <v>329</v>
      </c>
    </row>
    <row r="62" spans="1:16" x14ac:dyDescent="0.25">
      <c r="A62" s="330">
        <v>2029</v>
      </c>
      <c r="B62" s="331"/>
      <c r="C62" s="331"/>
      <c r="D62" s="331"/>
      <c r="E62" s="331"/>
      <c r="F62" s="331"/>
      <c r="G62" s="331"/>
      <c r="H62" s="349"/>
      <c r="I62" s="350">
        <f t="shared" si="19"/>
        <v>0</v>
      </c>
      <c r="J62" s="350">
        <f t="shared" si="20"/>
        <v>0</v>
      </c>
      <c r="K62" s="350">
        <f t="shared" si="21"/>
        <v>0</v>
      </c>
      <c r="L62" s="350">
        <f t="shared" ref="L62:L63" si="22">$L$47/$L$6*L22</f>
        <v>0</v>
      </c>
      <c r="O62" s="159">
        <f t="shared" si="18"/>
        <v>0</v>
      </c>
      <c r="P62" s="352" t="s">
        <v>330</v>
      </c>
    </row>
    <row r="63" spans="1:16" x14ac:dyDescent="0.25">
      <c r="A63" s="330">
        <v>2030</v>
      </c>
      <c r="B63" s="331"/>
      <c r="C63" s="331"/>
      <c r="D63" s="331"/>
      <c r="E63" s="331"/>
      <c r="F63" s="331"/>
      <c r="G63" s="331"/>
      <c r="H63" s="349"/>
      <c r="I63" s="349"/>
      <c r="J63" s="350">
        <f t="shared" si="20"/>
        <v>0</v>
      </c>
      <c r="K63" s="350">
        <f t="shared" si="21"/>
        <v>0</v>
      </c>
      <c r="L63" s="350">
        <f t="shared" si="22"/>
        <v>0</v>
      </c>
      <c r="O63" s="159">
        <f t="shared" si="18"/>
        <v>0</v>
      </c>
      <c r="P63" s="352" t="s">
        <v>331</v>
      </c>
    </row>
    <row r="64" spans="1:16" x14ac:dyDescent="0.25">
      <c r="P64" s="212"/>
    </row>
    <row r="65" spans="1:16" ht="15.75" x14ac:dyDescent="0.25">
      <c r="A65" s="333" t="s">
        <v>334</v>
      </c>
      <c r="P65" s="212"/>
    </row>
    <row r="66" spans="1:16" x14ac:dyDescent="0.25">
      <c r="P66" s="212"/>
    </row>
    <row r="67" spans="1:16" x14ac:dyDescent="0.25">
      <c r="A67" t="s">
        <v>312</v>
      </c>
      <c r="B67" s="158">
        <f>(B68/$B$7)*$B$6</f>
        <v>121551.15091255716</v>
      </c>
      <c r="C67" s="158">
        <f>(C68/$C$7)*$C$6</f>
        <v>67751.694744048174</v>
      </c>
      <c r="D67" s="158">
        <f>(D68/$D$7)*$D$6</f>
        <v>0</v>
      </c>
      <c r="E67" s="158">
        <f>(E68/$E$7)*$E$6</f>
        <v>467996.25424213422</v>
      </c>
      <c r="F67" s="158">
        <f>(F68/$F$7)*$F$6</f>
        <v>0</v>
      </c>
      <c r="G67" s="158">
        <v>0</v>
      </c>
      <c r="H67" s="347">
        <f>T27</f>
        <v>0</v>
      </c>
      <c r="I67" s="347">
        <f t="shared" ref="I67:L67" si="23">U27</f>
        <v>0</v>
      </c>
      <c r="J67" s="347">
        <f t="shared" si="23"/>
        <v>0</v>
      </c>
      <c r="K67" s="347">
        <f t="shared" si="23"/>
        <v>0</v>
      </c>
      <c r="L67" s="347">
        <f t="shared" si="23"/>
        <v>0</v>
      </c>
      <c r="M67" s="158"/>
      <c r="P67" s="212"/>
    </row>
    <row r="68" spans="1:16" x14ac:dyDescent="0.25">
      <c r="A68" t="s">
        <v>313</v>
      </c>
      <c r="B68" s="158">
        <v>2651.93</v>
      </c>
      <c r="C68" s="158">
        <v>1490.6</v>
      </c>
      <c r="D68" s="158">
        <v>0</v>
      </c>
      <c r="E68" s="158">
        <v>10141</v>
      </c>
      <c r="F68" s="158">
        <v>0</v>
      </c>
      <c r="G68" s="158">
        <v>0</v>
      </c>
      <c r="H68" s="347">
        <f>H67/H6*H7</f>
        <v>0</v>
      </c>
      <c r="I68" s="347">
        <f t="shared" ref="I68:L68" si="24">I67/I6*I7</f>
        <v>0</v>
      </c>
      <c r="J68" s="347">
        <f t="shared" si="24"/>
        <v>0</v>
      </c>
      <c r="K68" s="347">
        <f t="shared" si="24"/>
        <v>0</v>
      </c>
      <c r="L68" s="347">
        <f t="shared" si="24"/>
        <v>0</v>
      </c>
      <c r="M68" s="158"/>
      <c r="P68" s="212"/>
    </row>
    <row r="69" spans="1:16" x14ac:dyDescent="0.25">
      <c r="A69" t="s">
        <v>305</v>
      </c>
      <c r="B69" s="332" t="str">
        <f>$B$5</f>
        <v>10</v>
      </c>
      <c r="C69" s="332" t="str">
        <f>$C$5</f>
        <v>12</v>
      </c>
      <c r="D69" s="332" t="str">
        <f>$D$5</f>
        <v>14</v>
      </c>
      <c r="E69" s="332" t="str">
        <f>$E$5</f>
        <v>15</v>
      </c>
      <c r="F69" s="332" t="str">
        <f>$F$5</f>
        <v>16</v>
      </c>
      <c r="G69" s="332">
        <f>$G$5</f>
        <v>18</v>
      </c>
      <c r="H69" s="346"/>
      <c r="I69" s="346"/>
      <c r="J69" s="346"/>
      <c r="K69" s="346"/>
      <c r="L69" s="346"/>
      <c r="P69" s="212"/>
    </row>
    <row r="70" spans="1:16" x14ac:dyDescent="0.25">
      <c r="O70" s="112" t="s">
        <v>316</v>
      </c>
      <c r="P70" s="351" t="s">
        <v>317</v>
      </c>
    </row>
    <row r="71" spans="1:16" x14ac:dyDescent="0.25">
      <c r="A71" s="330">
        <v>2018</v>
      </c>
      <c r="B71" s="159">
        <f>($B$68/$B$7)*B11</f>
        <v>21215.439999999999</v>
      </c>
      <c r="C71" s="331"/>
      <c r="D71" s="331"/>
      <c r="E71" s="331"/>
      <c r="F71" s="331"/>
      <c r="G71" s="331"/>
      <c r="H71" s="349"/>
      <c r="I71" s="349"/>
      <c r="J71" s="349"/>
      <c r="K71" s="349"/>
      <c r="L71" s="349"/>
      <c r="O71" s="159">
        <f t="shared" ref="O71:O83" si="25">SUM(B71:N71)</f>
        <v>21215.439999999999</v>
      </c>
      <c r="P71" s="352" t="s">
        <v>318</v>
      </c>
    </row>
    <row r="72" spans="1:16" x14ac:dyDescent="0.25">
      <c r="A72" s="330">
        <v>2019</v>
      </c>
      <c r="B72" s="159">
        <f>($B$68/$B$7)*B12</f>
        <v>31823.159999999996</v>
      </c>
      <c r="C72" s="159">
        <f>($C$68/$C$7)*C12</f>
        <v>11924.8</v>
      </c>
      <c r="D72" s="331"/>
      <c r="E72" s="331"/>
      <c r="F72" s="331"/>
      <c r="G72" s="331"/>
      <c r="H72" s="349"/>
      <c r="I72" s="349"/>
      <c r="J72" s="349"/>
      <c r="K72" s="349"/>
      <c r="L72" s="349"/>
      <c r="O72" s="159">
        <f t="shared" si="25"/>
        <v>43747.959999999992</v>
      </c>
      <c r="P72" s="352" t="s">
        <v>319</v>
      </c>
    </row>
    <row r="73" spans="1:16" x14ac:dyDescent="0.25">
      <c r="A73" s="330">
        <v>2020</v>
      </c>
      <c r="B73" s="159">
        <f>($B$68/$B$7)*B13</f>
        <v>31823.159999999996</v>
      </c>
      <c r="C73" s="159">
        <f>($C$68/$C$7)*C13</f>
        <v>17887.2</v>
      </c>
      <c r="D73" s="159">
        <f>($D$68/$D$7)*D13</f>
        <v>0</v>
      </c>
      <c r="E73" s="159">
        <f>($E$68/$E$7)*E13</f>
        <v>50705</v>
      </c>
      <c r="F73" s="159">
        <f>($F$68/$F$7)*F13</f>
        <v>0</v>
      </c>
      <c r="G73" s="331"/>
      <c r="H73" s="349"/>
      <c r="I73" s="349"/>
      <c r="J73" s="349"/>
      <c r="K73" s="349"/>
      <c r="L73" s="349"/>
      <c r="O73" s="159">
        <f t="shared" si="25"/>
        <v>100415.36</v>
      </c>
      <c r="P73" s="352" t="s">
        <v>321</v>
      </c>
    </row>
    <row r="74" spans="1:16" x14ac:dyDescent="0.25">
      <c r="A74" s="330">
        <v>2021</v>
      </c>
      <c r="B74" s="159">
        <f>($B$68/$B$7)*B14</f>
        <v>31823.159999999996</v>
      </c>
      <c r="C74" s="159">
        <f>($C$68/$C$7)*C14</f>
        <v>17887.2</v>
      </c>
      <c r="D74" s="159">
        <f>($D$68/$D$7)*D14</f>
        <v>0</v>
      </c>
      <c r="E74" s="159">
        <f>($E$68/$E$7)*E14</f>
        <v>121692</v>
      </c>
      <c r="F74" s="159">
        <f>($F$68/$F$7)*F14</f>
        <v>0</v>
      </c>
      <c r="G74" s="331"/>
      <c r="H74" s="349"/>
      <c r="I74" s="349"/>
      <c r="J74" s="349"/>
      <c r="K74" s="349"/>
      <c r="L74" s="349"/>
      <c r="O74" s="159">
        <f t="shared" si="25"/>
        <v>171402.36</v>
      </c>
      <c r="P74" s="352" t="s">
        <v>322</v>
      </c>
    </row>
    <row r="75" spans="1:16" x14ac:dyDescent="0.25">
      <c r="A75" s="330">
        <v>2022</v>
      </c>
      <c r="B75" s="159">
        <f>($B$68/$B$7)*B15</f>
        <v>16685.277545627858</v>
      </c>
      <c r="C75" s="159">
        <f>($C$68/$C$7)*C15</f>
        <v>17887.2</v>
      </c>
      <c r="D75" s="159">
        <f>($D$68/$D$7)*D15</f>
        <v>0</v>
      </c>
      <c r="E75" s="159">
        <f>($E$68/$E$7)*E15</f>
        <v>121692</v>
      </c>
      <c r="F75" s="159">
        <f>($F$68/$F$7)*F15</f>
        <v>0</v>
      </c>
      <c r="G75" s="159">
        <f>G68*3</f>
        <v>0</v>
      </c>
      <c r="H75" s="349"/>
      <c r="I75" s="349"/>
      <c r="J75" s="349"/>
      <c r="K75" s="349"/>
      <c r="L75" s="349"/>
      <c r="O75" s="159">
        <f t="shared" si="25"/>
        <v>156264.47754562786</v>
      </c>
      <c r="P75" s="352" t="s">
        <v>323</v>
      </c>
    </row>
    <row r="76" spans="1:16" x14ac:dyDescent="0.25">
      <c r="A76" s="330">
        <v>2023</v>
      </c>
      <c r="B76" s="331"/>
      <c r="C76" s="159">
        <f>($C$68/$C$7)*C16</f>
        <v>9349.9847372024087</v>
      </c>
      <c r="D76" s="159">
        <f>($D$68/$D$7)*D16</f>
        <v>0</v>
      </c>
      <c r="E76" s="159">
        <f>($E$68/$E$7)*E16</f>
        <v>121692</v>
      </c>
      <c r="F76" s="159">
        <f>($F$68/$F$7)*F16</f>
        <v>0</v>
      </c>
      <c r="G76" s="159">
        <f>G68*12</f>
        <v>0</v>
      </c>
      <c r="H76" s="349"/>
      <c r="I76" s="349"/>
      <c r="J76" s="349"/>
      <c r="K76" s="349"/>
      <c r="L76" s="349"/>
      <c r="O76" s="159">
        <f t="shared" si="25"/>
        <v>131041.98473720241</v>
      </c>
      <c r="P76" s="353" t="s">
        <v>324</v>
      </c>
    </row>
    <row r="77" spans="1:16" x14ac:dyDescent="0.25">
      <c r="A77" s="330">
        <v>2024</v>
      </c>
      <c r="B77" s="331"/>
      <c r="C77" s="331"/>
      <c r="D77" s="159">
        <f>($D$68/$D$7)*D17</f>
        <v>0</v>
      </c>
      <c r="E77" s="159">
        <f>($E$68/$E$7)*E17</f>
        <v>94386.812712106708</v>
      </c>
      <c r="F77" s="159">
        <f>($F$68/$F$7)*F17</f>
        <v>0</v>
      </c>
      <c r="G77" s="159">
        <f>G68*12</f>
        <v>0</v>
      </c>
      <c r="H77" s="350">
        <f>$H$67/$H$6*H17</f>
        <v>0</v>
      </c>
      <c r="I77" s="349"/>
      <c r="J77" s="349"/>
      <c r="K77" s="349"/>
      <c r="L77" s="349"/>
      <c r="O77" s="159">
        <f t="shared" si="25"/>
        <v>94386.812712106708</v>
      </c>
      <c r="P77" s="352" t="s">
        <v>325</v>
      </c>
    </row>
    <row r="78" spans="1:16" x14ac:dyDescent="0.25">
      <c r="A78" s="330">
        <v>2025</v>
      </c>
      <c r="B78" s="331"/>
      <c r="C78" s="331"/>
      <c r="D78" s="331"/>
      <c r="E78" s="331"/>
      <c r="F78" s="331"/>
      <c r="G78" s="159">
        <f>G68*12</f>
        <v>0</v>
      </c>
      <c r="H78" s="350">
        <f t="shared" ref="H78:H81" si="26">$H$67/$H$6*H18</f>
        <v>0</v>
      </c>
      <c r="I78" s="350">
        <f>$I$67/$I$6*I18</f>
        <v>0</v>
      </c>
      <c r="J78" s="349"/>
      <c r="K78" s="349"/>
      <c r="L78" s="349"/>
      <c r="O78" s="159">
        <f t="shared" si="25"/>
        <v>0</v>
      </c>
      <c r="P78" s="352" t="s">
        <v>326</v>
      </c>
    </row>
    <row r="79" spans="1:16" x14ac:dyDescent="0.25">
      <c r="A79" s="330">
        <v>2026</v>
      </c>
      <c r="B79" s="331"/>
      <c r="C79" s="331"/>
      <c r="D79" s="331"/>
      <c r="E79" s="331"/>
      <c r="F79" s="331"/>
      <c r="G79" s="159">
        <f>(G68*9)+(G67*0.05)</f>
        <v>0</v>
      </c>
      <c r="H79" s="350">
        <f t="shared" si="26"/>
        <v>0</v>
      </c>
      <c r="I79" s="350">
        <f t="shared" ref="I79:I82" si="27">$I$67/$I$6*I19</f>
        <v>0</v>
      </c>
      <c r="J79" s="350">
        <f>$J$67/$J$6*J19</f>
        <v>0</v>
      </c>
      <c r="K79" s="349"/>
      <c r="L79" s="349"/>
      <c r="O79" s="159">
        <f t="shared" si="25"/>
        <v>0</v>
      </c>
      <c r="P79" s="352" t="s">
        <v>327</v>
      </c>
    </row>
    <row r="80" spans="1:16" x14ac:dyDescent="0.25">
      <c r="A80" s="330">
        <v>2027</v>
      </c>
      <c r="B80" s="331"/>
      <c r="C80" s="331"/>
      <c r="D80" s="331"/>
      <c r="E80" s="331"/>
      <c r="F80" s="331"/>
      <c r="G80" s="331"/>
      <c r="H80" s="350">
        <f t="shared" si="26"/>
        <v>0</v>
      </c>
      <c r="I80" s="350">
        <f t="shared" si="27"/>
        <v>0</v>
      </c>
      <c r="J80" s="350">
        <f t="shared" ref="J80:J83" si="28">$J$67/$J$6*J20</f>
        <v>0</v>
      </c>
      <c r="K80" s="350">
        <f>$K$67/$K$6*K20</f>
        <v>0</v>
      </c>
      <c r="L80" s="349"/>
      <c r="O80" s="159">
        <f t="shared" si="25"/>
        <v>0</v>
      </c>
      <c r="P80" s="352" t="s">
        <v>328</v>
      </c>
    </row>
    <row r="81" spans="1:16" x14ac:dyDescent="0.25">
      <c r="A81" s="330">
        <v>2028</v>
      </c>
      <c r="B81" s="331"/>
      <c r="C81" s="331"/>
      <c r="D81" s="331"/>
      <c r="E81" s="331"/>
      <c r="F81" s="331"/>
      <c r="G81" s="331"/>
      <c r="H81" s="350">
        <f t="shared" si="26"/>
        <v>0</v>
      </c>
      <c r="I81" s="350">
        <f t="shared" si="27"/>
        <v>0</v>
      </c>
      <c r="J81" s="350">
        <f t="shared" si="28"/>
        <v>0</v>
      </c>
      <c r="K81" s="350">
        <f t="shared" ref="K81:K83" si="29">$K$67/$K$6*K21</f>
        <v>0</v>
      </c>
      <c r="L81" s="350">
        <f>$L$67/$L$6*L21</f>
        <v>0</v>
      </c>
      <c r="O81" s="159">
        <f t="shared" si="25"/>
        <v>0</v>
      </c>
      <c r="P81" s="352" t="s">
        <v>329</v>
      </c>
    </row>
    <row r="82" spans="1:16" x14ac:dyDescent="0.25">
      <c r="A82" s="330">
        <v>2029</v>
      </c>
      <c r="B82" s="331"/>
      <c r="C82" s="331"/>
      <c r="D82" s="331"/>
      <c r="E82" s="331"/>
      <c r="F82" s="331"/>
      <c r="G82" s="331"/>
      <c r="H82" s="349"/>
      <c r="I82" s="350">
        <f t="shared" si="27"/>
        <v>0</v>
      </c>
      <c r="J82" s="350">
        <f t="shared" si="28"/>
        <v>0</v>
      </c>
      <c r="K82" s="350">
        <f t="shared" si="29"/>
        <v>0</v>
      </c>
      <c r="L82" s="350">
        <f t="shared" ref="L82:L83" si="30">$L$67/$L$6*L22</f>
        <v>0</v>
      </c>
      <c r="O82" s="159">
        <f t="shared" si="25"/>
        <v>0</v>
      </c>
      <c r="P82" s="352" t="s">
        <v>330</v>
      </c>
    </row>
    <row r="83" spans="1:16" x14ac:dyDescent="0.25">
      <c r="A83" s="330">
        <v>2030</v>
      </c>
      <c r="B83" s="331"/>
      <c r="C83" s="331"/>
      <c r="D83" s="331"/>
      <c r="E83" s="331"/>
      <c r="F83" s="331"/>
      <c r="G83" s="331"/>
      <c r="H83" s="349"/>
      <c r="I83" s="349"/>
      <c r="J83" s="350">
        <f t="shared" si="28"/>
        <v>0</v>
      </c>
      <c r="K83" s="350">
        <f t="shared" si="29"/>
        <v>0</v>
      </c>
      <c r="L83" s="350">
        <f t="shared" si="30"/>
        <v>0</v>
      </c>
      <c r="O83" s="159">
        <f t="shared" si="25"/>
        <v>0</v>
      </c>
      <c r="P83" s="352" t="s">
        <v>331</v>
      </c>
    </row>
    <row r="84" spans="1:16" x14ac:dyDescent="0.25">
      <c r="P84" s="212"/>
    </row>
    <row r="85" spans="1:16" ht="15.75" x14ac:dyDescent="0.25">
      <c r="A85" s="333" t="s">
        <v>335</v>
      </c>
      <c r="P85" s="212"/>
    </row>
    <row r="86" spans="1:16" x14ac:dyDescent="0.25">
      <c r="P86" s="212"/>
    </row>
    <row r="87" spans="1:16" x14ac:dyDescent="0.25">
      <c r="A87" t="s">
        <v>312</v>
      </c>
      <c r="B87" s="158">
        <f>(B88/$B$7)*$B$6</f>
        <v>378545.57595739712</v>
      </c>
      <c r="C87" s="158">
        <f>(C88/$C$7)*$C$6</f>
        <v>469566.15169350588</v>
      </c>
      <c r="D87" s="158">
        <f>(D88/$D$7)*$D$6</f>
        <v>0</v>
      </c>
      <c r="E87" s="158">
        <f>(E88/$E$7)*$E$6</f>
        <v>0</v>
      </c>
      <c r="F87" s="158">
        <f>(F88/$F$7)*$F$6</f>
        <v>341700.71</v>
      </c>
      <c r="G87" s="158">
        <v>461137.46</v>
      </c>
      <c r="H87" s="347">
        <f>T28</f>
        <v>148500</v>
      </c>
      <c r="I87" s="347">
        <f t="shared" ref="I87:L87" si="31">U28</f>
        <v>44000</v>
      </c>
      <c r="J87" s="347">
        <f t="shared" si="31"/>
        <v>27500</v>
      </c>
      <c r="K87" s="347">
        <f t="shared" si="31"/>
        <v>0</v>
      </c>
      <c r="L87" s="347">
        <f t="shared" si="31"/>
        <v>0</v>
      </c>
      <c r="M87" s="158"/>
      <c r="P87" s="212"/>
    </row>
    <row r="88" spans="1:16" x14ac:dyDescent="0.25">
      <c r="A88" t="s">
        <v>313</v>
      </c>
      <c r="B88" s="158">
        <v>8258.8799999999992</v>
      </c>
      <c r="C88" s="158">
        <v>10330.89</v>
      </c>
      <c r="D88" s="158">
        <v>0</v>
      </c>
      <c r="E88" s="158">
        <v>0</v>
      </c>
      <c r="F88" s="158">
        <v>7404.31</v>
      </c>
      <c r="G88" s="158">
        <f>(G87/$G$6)*$G$7</f>
        <v>10131.412215527473</v>
      </c>
      <c r="H88" s="347">
        <f>H87/H6*H7</f>
        <v>3420.3178899082573</v>
      </c>
      <c r="I88" s="347">
        <f t="shared" ref="I88:L88" si="32">I87/I6*I7</f>
        <v>1013.4271903323264</v>
      </c>
      <c r="J88" s="347">
        <f t="shared" si="32"/>
        <v>633.39239130434783</v>
      </c>
      <c r="K88" s="347">
        <f t="shared" si="32"/>
        <v>0</v>
      </c>
      <c r="L88" s="347">
        <f t="shared" si="32"/>
        <v>0</v>
      </c>
      <c r="M88" s="158"/>
      <c r="P88" s="212"/>
    </row>
    <row r="89" spans="1:16" x14ac:dyDescent="0.25">
      <c r="A89" t="s">
        <v>305</v>
      </c>
      <c r="B89" s="332" t="str">
        <f>$B$5</f>
        <v>10</v>
      </c>
      <c r="C89" s="332" t="str">
        <f>$C$5</f>
        <v>12</v>
      </c>
      <c r="D89" s="332" t="str">
        <f>$D$5</f>
        <v>14</v>
      </c>
      <c r="E89" s="332" t="str">
        <f>$E$5</f>
        <v>15</v>
      </c>
      <c r="F89" s="332" t="str">
        <f>$F$5</f>
        <v>16</v>
      </c>
      <c r="G89" s="332">
        <f>$G$5</f>
        <v>18</v>
      </c>
      <c r="H89" s="346"/>
      <c r="I89" s="346"/>
      <c r="J89" s="346"/>
      <c r="K89" s="346"/>
      <c r="L89" s="346"/>
      <c r="P89" s="212"/>
    </row>
    <row r="90" spans="1:16" x14ac:dyDescent="0.25">
      <c r="O90" s="112" t="s">
        <v>316</v>
      </c>
      <c r="P90" s="351" t="s">
        <v>317</v>
      </c>
    </row>
    <row r="91" spans="1:16" x14ac:dyDescent="0.25">
      <c r="A91" s="330">
        <v>2018</v>
      </c>
      <c r="B91" s="159">
        <f>($B$88/$B$7)*B11</f>
        <v>66071.039999999994</v>
      </c>
      <c r="C91" s="331"/>
      <c r="D91" s="331"/>
      <c r="E91" s="331"/>
      <c r="F91" s="331"/>
      <c r="G91" s="331"/>
      <c r="H91" s="349"/>
      <c r="I91" s="349"/>
      <c r="J91" s="349"/>
      <c r="K91" s="349"/>
      <c r="L91" s="349"/>
      <c r="O91" s="159">
        <f t="shared" ref="O91:O103" si="33">SUM(B91:N91)</f>
        <v>66071.039999999994</v>
      </c>
      <c r="P91" s="352" t="s">
        <v>318</v>
      </c>
    </row>
    <row r="92" spans="1:16" x14ac:dyDescent="0.25">
      <c r="A92" s="330">
        <v>2019</v>
      </c>
      <c r="B92" s="159">
        <f>($B$88/$B$7)*B12</f>
        <v>99106.559999999983</v>
      </c>
      <c r="C92" s="159">
        <f>($C$88/$C$7)*C12</f>
        <v>82647.12</v>
      </c>
      <c r="D92" s="331"/>
      <c r="E92" s="331"/>
      <c r="F92" s="331"/>
      <c r="G92" s="331"/>
      <c r="H92" s="349"/>
      <c r="I92" s="349"/>
      <c r="J92" s="349"/>
      <c r="K92" s="349"/>
      <c r="L92" s="349"/>
      <c r="O92" s="159">
        <f t="shared" si="33"/>
        <v>181753.68</v>
      </c>
      <c r="P92" s="352" t="s">
        <v>319</v>
      </c>
    </row>
    <row r="93" spans="1:16" x14ac:dyDescent="0.25">
      <c r="A93" s="330">
        <v>2020</v>
      </c>
      <c r="B93" s="159">
        <f>($B$88/$B$7)*B13</f>
        <v>99106.559999999983</v>
      </c>
      <c r="C93" s="159">
        <f>($C$88/$C$7)*C13</f>
        <v>123970.68000000001</v>
      </c>
      <c r="D93" s="159">
        <f>($D$88/$D$7)*D13</f>
        <v>0</v>
      </c>
      <c r="E93" s="159">
        <f>($E$88/$E$7)*E12</f>
        <v>0</v>
      </c>
      <c r="F93" s="159">
        <f>($F$88/$F$7)*F13</f>
        <v>37021.550000000003</v>
      </c>
      <c r="G93" s="331"/>
      <c r="H93" s="349"/>
      <c r="I93" s="349"/>
      <c r="J93" s="349"/>
      <c r="K93" s="349"/>
      <c r="L93" s="349"/>
      <c r="O93" s="159">
        <f t="shared" si="33"/>
        <v>260098.78999999998</v>
      </c>
      <c r="P93" s="352" t="s">
        <v>321</v>
      </c>
    </row>
    <row r="94" spans="1:16" x14ac:dyDescent="0.25">
      <c r="A94" s="330">
        <v>2021</v>
      </c>
      <c r="B94" s="159">
        <f>($B$88/$B$7)*B14</f>
        <v>99106.559999999983</v>
      </c>
      <c r="C94" s="159">
        <f>($C$88/$C$7)*C14</f>
        <v>123970.68000000001</v>
      </c>
      <c r="D94" s="159">
        <f>($D$88/$D$7)*D14</f>
        <v>0</v>
      </c>
      <c r="E94" s="159">
        <f>($E$88/$E$7)*E13</f>
        <v>0</v>
      </c>
      <c r="F94" s="159">
        <f>($F$88/$F$7)*F14</f>
        <v>88851.72</v>
      </c>
      <c r="G94" s="331"/>
      <c r="H94" s="349"/>
      <c r="I94" s="349"/>
      <c r="J94" s="349"/>
      <c r="K94" s="349"/>
      <c r="L94" s="349"/>
      <c r="O94" s="159">
        <f t="shared" si="33"/>
        <v>311928.95999999996</v>
      </c>
      <c r="P94" s="352" t="s">
        <v>322</v>
      </c>
    </row>
    <row r="95" spans="1:16" x14ac:dyDescent="0.25">
      <c r="A95" s="330">
        <v>2022</v>
      </c>
      <c r="B95" s="159">
        <f>($B$88/$B$7)*B15</f>
        <v>51962.798797869851</v>
      </c>
      <c r="C95" s="159">
        <f>($C$88/$C$7)*C15</f>
        <v>123970.68000000001</v>
      </c>
      <c r="D95" s="159">
        <f>($D$88/$D$7)*D15</f>
        <v>0</v>
      </c>
      <c r="E95" s="159">
        <f>($E$88/$E$7)*E14</f>
        <v>0</v>
      </c>
      <c r="F95" s="159">
        <f>($F$88/$F$7)*F15</f>
        <v>88851.72</v>
      </c>
      <c r="G95" s="159">
        <f>G88*3</f>
        <v>30394.236646582416</v>
      </c>
      <c r="H95" s="349"/>
      <c r="I95" s="349"/>
      <c r="J95" s="349"/>
      <c r="K95" s="349"/>
      <c r="L95" s="349"/>
      <c r="O95" s="159">
        <f t="shared" si="33"/>
        <v>295179.43544445228</v>
      </c>
      <c r="P95" s="352" t="s">
        <v>323</v>
      </c>
    </row>
    <row r="96" spans="1:16" x14ac:dyDescent="0.25">
      <c r="A96" s="330">
        <v>2023</v>
      </c>
      <c r="B96" s="331"/>
      <c r="C96" s="159">
        <f>($C$88/$C$7)*C16</f>
        <v>64801.867584675296</v>
      </c>
      <c r="D96" s="159">
        <f>($D$88/$D$7)*D16</f>
        <v>0</v>
      </c>
      <c r="E96" s="159">
        <f>($E$88/$E$7)*E15</f>
        <v>0</v>
      </c>
      <c r="F96" s="159">
        <f>($F$88/$F$7)*F16</f>
        <v>88851.72</v>
      </c>
      <c r="G96" s="159">
        <f>G88*12</f>
        <v>121576.94658632966</v>
      </c>
      <c r="H96" s="349"/>
      <c r="I96" s="349"/>
      <c r="J96" s="349"/>
      <c r="K96" s="349"/>
      <c r="L96" s="349"/>
      <c r="O96" s="159">
        <f t="shared" si="33"/>
        <v>275230.53417100495</v>
      </c>
      <c r="P96" s="353" t="s">
        <v>324</v>
      </c>
    </row>
    <row r="97" spans="1:17" x14ac:dyDescent="0.25">
      <c r="A97" s="330">
        <v>2024</v>
      </c>
      <c r="B97" s="331"/>
      <c r="C97" s="331"/>
      <c r="D97" s="159">
        <f>($D$88/$D$7)*D17</f>
        <v>0</v>
      </c>
      <c r="E97" s="159">
        <f>($E$88/$E$7)*E16</f>
        <v>0</v>
      </c>
      <c r="F97" s="159">
        <f>($F$88/$F$7)*F17</f>
        <v>68915.205500000011</v>
      </c>
      <c r="G97" s="159">
        <f>G88*12</f>
        <v>121576.94658632966</v>
      </c>
      <c r="H97" s="350">
        <f>$H$87/$H$6*H17</f>
        <v>27362.543119266058</v>
      </c>
      <c r="I97" s="349"/>
      <c r="J97" s="349"/>
      <c r="K97" s="349"/>
      <c r="L97" s="349"/>
      <c r="O97" s="159">
        <f t="shared" si="33"/>
        <v>217854.69520559572</v>
      </c>
      <c r="P97" s="352" t="s">
        <v>325</v>
      </c>
      <c r="Q97" s="159"/>
    </row>
    <row r="98" spans="1:17" x14ac:dyDescent="0.25">
      <c r="A98" s="330">
        <v>2025</v>
      </c>
      <c r="B98" s="331"/>
      <c r="C98" s="331"/>
      <c r="D98" s="331"/>
      <c r="E98" s="331"/>
      <c r="F98" s="331"/>
      <c r="G98" s="159">
        <f>G88*12</f>
        <v>121576.94658632966</v>
      </c>
      <c r="H98" s="350">
        <f t="shared" ref="H98:H101" si="34">$H$87/$H$6*H18</f>
        <v>41043.814678899093</v>
      </c>
      <c r="I98" s="350">
        <f>$I$87/$I$6*I18</f>
        <v>8107.4175226586112</v>
      </c>
      <c r="J98" s="349"/>
      <c r="K98" s="349"/>
      <c r="L98" s="349"/>
      <c r="O98" s="159">
        <f t="shared" si="33"/>
        <v>170728.17878788739</v>
      </c>
      <c r="P98" s="352" t="s">
        <v>326</v>
      </c>
      <c r="Q98" s="159"/>
    </row>
    <row r="99" spans="1:17" x14ac:dyDescent="0.25">
      <c r="A99" s="330">
        <v>2026</v>
      </c>
      <c r="B99" s="331"/>
      <c r="C99" s="331"/>
      <c r="D99" s="331"/>
      <c r="E99" s="331"/>
      <c r="F99" s="331"/>
      <c r="G99" s="159">
        <f>(G88*9)+(G87*0.05)</f>
        <v>114239.58293974726</v>
      </c>
      <c r="H99" s="350">
        <f t="shared" si="34"/>
        <v>41043.814678899093</v>
      </c>
      <c r="I99" s="350">
        <f t="shared" ref="I99:I102" si="35">$I$87/$I$6*I19</f>
        <v>12161.126283987916</v>
      </c>
      <c r="J99" s="350">
        <f>$J$87/$J$6*J19</f>
        <v>5067.1391304347826</v>
      </c>
      <c r="K99" s="349"/>
      <c r="L99" s="349"/>
      <c r="O99" s="159">
        <f t="shared" si="33"/>
        <v>172511.66303306905</v>
      </c>
      <c r="P99" s="352" t="s">
        <v>327</v>
      </c>
      <c r="Q99" s="159"/>
    </row>
    <row r="100" spans="1:17" x14ac:dyDescent="0.25">
      <c r="A100" s="330">
        <v>2027</v>
      </c>
      <c r="B100" s="331"/>
      <c r="C100" s="331"/>
      <c r="D100" s="331"/>
      <c r="E100" s="331"/>
      <c r="F100" s="331"/>
      <c r="G100" s="331"/>
      <c r="H100" s="350">
        <f t="shared" si="34"/>
        <v>41043.814678899093</v>
      </c>
      <c r="I100" s="350">
        <f t="shared" si="35"/>
        <v>12161.126283987916</v>
      </c>
      <c r="J100" s="350">
        <f t="shared" ref="J100:J103" si="36">$J$87/$J$6*J20</f>
        <v>7600.7086956521744</v>
      </c>
      <c r="K100" s="350">
        <f>$K$87/$K$6*K20</f>
        <v>0</v>
      </c>
      <c r="L100" s="349"/>
      <c r="O100" s="159">
        <f t="shared" si="33"/>
        <v>60805.64965853918</v>
      </c>
      <c r="P100" s="352" t="s">
        <v>328</v>
      </c>
      <c r="Q100" s="159"/>
    </row>
    <row r="101" spans="1:17" x14ac:dyDescent="0.25">
      <c r="A101" s="330">
        <v>2028</v>
      </c>
      <c r="B101" s="331"/>
      <c r="C101" s="331"/>
      <c r="D101" s="331"/>
      <c r="E101" s="331"/>
      <c r="F101" s="331"/>
      <c r="G101" s="331"/>
      <c r="H101" s="350">
        <f t="shared" si="34"/>
        <v>38207.861009174318</v>
      </c>
      <c r="I101" s="350">
        <f t="shared" si="35"/>
        <v>12161.126283987916</v>
      </c>
      <c r="J101" s="350">
        <f t="shared" si="36"/>
        <v>7600.7086956521744</v>
      </c>
      <c r="K101" s="350">
        <f t="shared" ref="K101:K103" si="37">$K$87/$K$6*K21</f>
        <v>0</v>
      </c>
      <c r="L101" s="350">
        <f>$L$87/$L$6*L21</f>
        <v>0</v>
      </c>
      <c r="O101" s="159">
        <f t="shared" si="33"/>
        <v>57969.695988814412</v>
      </c>
      <c r="P101" s="352" t="s">
        <v>329</v>
      </c>
      <c r="Q101" s="159"/>
    </row>
    <row r="102" spans="1:17" x14ac:dyDescent="0.25">
      <c r="A102" s="330">
        <v>2029</v>
      </c>
      <c r="B102" s="331"/>
      <c r="C102" s="331"/>
      <c r="D102" s="331"/>
      <c r="E102" s="331"/>
      <c r="F102" s="331"/>
      <c r="G102" s="331"/>
      <c r="H102" s="349"/>
      <c r="I102" s="350">
        <f t="shared" si="35"/>
        <v>11320.844712990938</v>
      </c>
      <c r="J102" s="350">
        <f t="shared" si="36"/>
        <v>7600.7086956521744</v>
      </c>
      <c r="K102" s="350">
        <f t="shared" si="37"/>
        <v>0</v>
      </c>
      <c r="L102" s="350">
        <f t="shared" ref="L102:L103" si="38">$L$87/$L$6*L22</f>
        <v>0</v>
      </c>
      <c r="O102" s="159">
        <f t="shared" si="33"/>
        <v>18921.553408643114</v>
      </c>
      <c r="P102" s="352" t="s">
        <v>330</v>
      </c>
      <c r="Q102" s="159"/>
    </row>
    <row r="103" spans="1:17" x14ac:dyDescent="0.25">
      <c r="A103" s="330">
        <v>2030</v>
      </c>
      <c r="B103" s="331"/>
      <c r="C103" s="331"/>
      <c r="D103" s="331"/>
      <c r="E103" s="331"/>
      <c r="F103" s="331"/>
      <c r="G103" s="331"/>
      <c r="H103" s="349"/>
      <c r="I103" s="349"/>
      <c r="J103" s="350">
        <f t="shared" si="36"/>
        <v>7075.5315217391299</v>
      </c>
      <c r="K103" s="350">
        <f t="shared" si="37"/>
        <v>0</v>
      </c>
      <c r="L103" s="350">
        <f t="shared" si="38"/>
        <v>0</v>
      </c>
      <c r="O103" s="159">
        <f t="shared" si="33"/>
        <v>7075.5315217391299</v>
      </c>
      <c r="P103" s="352" t="s">
        <v>331</v>
      </c>
    </row>
    <row r="104" spans="1:17" x14ac:dyDescent="0.25">
      <c r="P104" s="212"/>
    </row>
    <row r="105" spans="1:17" ht="15.75" x14ac:dyDescent="0.25">
      <c r="A105" s="333" t="s">
        <v>336</v>
      </c>
      <c r="P105" s="212"/>
    </row>
    <row r="106" spans="1:17" x14ac:dyDescent="0.25">
      <c r="P106" s="212"/>
    </row>
    <row r="107" spans="1:17" x14ac:dyDescent="0.25">
      <c r="A107" t="s">
        <v>312</v>
      </c>
      <c r="B107" s="158">
        <f>(B108/$B$7)*$B$6</f>
        <v>0</v>
      </c>
      <c r="C107" s="158">
        <f>(C108/$C$7)*$C$6</f>
        <v>0</v>
      </c>
      <c r="D107" s="158">
        <f>(D108/$D$7)*$D$6</f>
        <v>1257041.3</v>
      </c>
      <c r="E107" s="158">
        <f>(E108/$E$7)*$E$6</f>
        <v>0</v>
      </c>
      <c r="F107" s="158">
        <f>(F108/$F$7)*$F$6</f>
        <v>0</v>
      </c>
      <c r="G107" s="158">
        <v>241369.65</v>
      </c>
      <c r="H107" s="347">
        <f>T29</f>
        <v>180400</v>
      </c>
      <c r="I107" s="347">
        <f t="shared" ref="I107:L107" si="39">U29</f>
        <v>133100</v>
      </c>
      <c r="J107" s="347">
        <f t="shared" si="39"/>
        <v>66000</v>
      </c>
      <c r="K107" s="347">
        <f t="shared" si="39"/>
        <v>0</v>
      </c>
      <c r="L107" s="347">
        <f t="shared" si="39"/>
        <v>0</v>
      </c>
      <c r="M107" s="158"/>
      <c r="P107" s="212"/>
    </row>
    <row r="108" spans="1:17" x14ac:dyDescent="0.25">
      <c r="A108" t="s">
        <v>313</v>
      </c>
      <c r="B108" s="158">
        <v>0</v>
      </c>
      <c r="C108" s="158">
        <v>0</v>
      </c>
      <c r="D108" s="158">
        <v>27238.799999999999</v>
      </c>
      <c r="E108" s="158">
        <v>0</v>
      </c>
      <c r="F108" s="158">
        <v>0</v>
      </c>
      <c r="G108" s="158">
        <f>(G107/$G$6)*$G$7</f>
        <v>5303.0075250611617</v>
      </c>
      <c r="H108" s="347">
        <f>H107/H6*H7</f>
        <v>4155.0528440366979</v>
      </c>
      <c r="I108" s="347">
        <f t="shared" ref="I108:L108" si="40">I107/I6*I7</f>
        <v>3065.6172507552874</v>
      </c>
      <c r="J108" s="347">
        <f t="shared" si="40"/>
        <v>1520.1417391304346</v>
      </c>
      <c r="K108" s="347">
        <f t="shared" si="40"/>
        <v>0</v>
      </c>
      <c r="L108" s="347">
        <f t="shared" si="40"/>
        <v>0</v>
      </c>
      <c r="M108" s="158"/>
      <c r="P108" s="212"/>
    </row>
    <row r="109" spans="1:17" x14ac:dyDescent="0.25">
      <c r="A109" t="s">
        <v>305</v>
      </c>
      <c r="B109" s="332" t="str">
        <f>$B$5</f>
        <v>10</v>
      </c>
      <c r="C109" s="332" t="str">
        <f>$C$5</f>
        <v>12</v>
      </c>
      <c r="D109" s="332" t="str">
        <f>$D$5</f>
        <v>14</v>
      </c>
      <c r="E109" s="332" t="str">
        <f>$E$5</f>
        <v>15</v>
      </c>
      <c r="F109" s="332" t="str">
        <f>$F$5</f>
        <v>16</v>
      </c>
      <c r="G109" s="332">
        <f>$G$5</f>
        <v>18</v>
      </c>
      <c r="H109" s="346"/>
      <c r="I109" s="346"/>
      <c r="J109" s="346"/>
      <c r="K109" s="346"/>
      <c r="L109" s="346"/>
      <c r="P109" s="212"/>
    </row>
    <row r="110" spans="1:17" x14ac:dyDescent="0.25">
      <c r="O110" s="112" t="s">
        <v>316</v>
      </c>
      <c r="P110" s="351" t="s">
        <v>317</v>
      </c>
    </row>
    <row r="111" spans="1:17" x14ac:dyDescent="0.25">
      <c r="A111" s="330">
        <v>2018</v>
      </c>
      <c r="B111" s="159">
        <f>($B$108/$B$7)*B11</f>
        <v>0</v>
      </c>
      <c r="C111" s="331"/>
      <c r="D111" s="331"/>
      <c r="E111" s="331"/>
      <c r="F111" s="331"/>
      <c r="G111" s="331"/>
      <c r="H111" s="349"/>
      <c r="I111" s="349"/>
      <c r="J111" s="349"/>
      <c r="K111" s="349"/>
      <c r="L111" s="349"/>
      <c r="O111" s="159">
        <f t="shared" ref="O111:O123" si="41">SUM(B111:N111)</f>
        <v>0</v>
      </c>
      <c r="P111" s="352" t="s">
        <v>318</v>
      </c>
    </row>
    <row r="112" spans="1:17" x14ac:dyDescent="0.25">
      <c r="A112" s="330">
        <v>2019</v>
      </c>
      <c r="B112" s="159">
        <f>($B$108/$B$7)*B12</f>
        <v>0</v>
      </c>
      <c r="C112" s="159">
        <f>($C$108/$C$7)*C12</f>
        <v>0</v>
      </c>
      <c r="D112" s="331"/>
      <c r="E112" s="331"/>
      <c r="F112" s="331"/>
      <c r="G112" s="331"/>
      <c r="H112" s="349"/>
      <c r="I112" s="349"/>
      <c r="J112" s="349"/>
      <c r="K112" s="349"/>
      <c r="L112" s="349"/>
      <c r="O112" s="159">
        <f t="shared" si="41"/>
        <v>0</v>
      </c>
      <c r="P112" s="352" t="s">
        <v>319</v>
      </c>
    </row>
    <row r="113" spans="1:16" x14ac:dyDescent="0.25">
      <c r="A113" s="330">
        <v>2020</v>
      </c>
      <c r="B113" s="159">
        <f>($B$108/$B$7)*B13</f>
        <v>0</v>
      </c>
      <c r="C113" s="159">
        <f>($C$108/$C$7)*C13</f>
        <v>0</v>
      </c>
      <c r="D113" s="159">
        <f>($D$108/$D$7)*D13</f>
        <v>136194</v>
      </c>
      <c r="E113" s="159">
        <f>($E$108/$E$7)*E12</f>
        <v>0</v>
      </c>
      <c r="F113" s="159">
        <f>($F$108/$F$7)*F13</f>
        <v>0</v>
      </c>
      <c r="G113" s="331"/>
      <c r="H113" s="349"/>
      <c r="I113" s="349"/>
      <c r="J113" s="349"/>
      <c r="K113" s="349"/>
      <c r="L113" s="349"/>
      <c r="O113" s="159">
        <f t="shared" si="41"/>
        <v>136194</v>
      </c>
      <c r="P113" s="352" t="s">
        <v>321</v>
      </c>
    </row>
    <row r="114" spans="1:16" x14ac:dyDescent="0.25">
      <c r="A114" s="330">
        <v>2021</v>
      </c>
      <c r="B114" s="159">
        <f>($B$108/$B$7)*B14</f>
        <v>0</v>
      </c>
      <c r="C114" s="159">
        <f>($C$108/$C$7)*C14</f>
        <v>0</v>
      </c>
      <c r="D114" s="159">
        <f>($D$108/$D$7)*D14</f>
        <v>326865.59999999998</v>
      </c>
      <c r="E114" s="159">
        <f>($E$108/$E$7)*E13</f>
        <v>0</v>
      </c>
      <c r="F114" s="159">
        <f>($F$108/$F$7)*F14</f>
        <v>0</v>
      </c>
      <c r="G114" s="331"/>
      <c r="H114" s="349"/>
      <c r="I114" s="349"/>
      <c r="J114" s="349"/>
      <c r="K114" s="349"/>
      <c r="L114" s="349"/>
      <c r="O114" s="159">
        <f t="shared" si="41"/>
        <v>326865.59999999998</v>
      </c>
      <c r="P114" s="352" t="s">
        <v>322</v>
      </c>
    </row>
    <row r="115" spans="1:16" x14ac:dyDescent="0.25">
      <c r="A115" s="330">
        <v>2022</v>
      </c>
      <c r="B115" s="159">
        <f>($B$108/$B$7)*B15</f>
        <v>0</v>
      </c>
      <c r="C115" s="159">
        <f>($C$108/$C$7)*C15</f>
        <v>0</v>
      </c>
      <c r="D115" s="159">
        <f>($D$108/$D$7)*D15</f>
        <v>326865.59999999998</v>
      </c>
      <c r="E115" s="159">
        <f>($E$108/$E$7)*E14</f>
        <v>0</v>
      </c>
      <c r="F115" s="159">
        <f>($F$108/$F$7)*F15</f>
        <v>0</v>
      </c>
      <c r="G115" s="159">
        <f>G108*3</f>
        <v>15909.022575183484</v>
      </c>
      <c r="H115" s="349"/>
      <c r="I115" s="349"/>
      <c r="J115" s="349"/>
      <c r="K115" s="349"/>
      <c r="L115" s="349"/>
      <c r="O115" s="159">
        <f t="shared" si="41"/>
        <v>342774.62257518346</v>
      </c>
      <c r="P115" s="352" t="s">
        <v>323</v>
      </c>
    </row>
    <row r="116" spans="1:16" x14ac:dyDescent="0.25">
      <c r="A116" s="330">
        <v>2023</v>
      </c>
      <c r="B116" s="331"/>
      <c r="C116" s="159">
        <f>($C$108/$C$7)*C16</f>
        <v>0</v>
      </c>
      <c r="D116" s="159">
        <f>($D$108/$D$7)*D16</f>
        <v>326865.59999999998</v>
      </c>
      <c r="E116" s="159">
        <f>($E$108/$E$7)*E15</f>
        <v>0</v>
      </c>
      <c r="F116" s="159">
        <f>($F$108/$F$7)*F16</f>
        <v>0</v>
      </c>
      <c r="G116" s="159">
        <f>G108*12</f>
        <v>63636.090300733937</v>
      </c>
      <c r="H116" s="349"/>
      <c r="I116" s="349"/>
      <c r="J116" s="349"/>
      <c r="K116" s="349"/>
      <c r="L116" s="349"/>
      <c r="O116" s="159">
        <f t="shared" si="41"/>
        <v>390501.6903007339</v>
      </c>
      <c r="P116" s="353" t="s">
        <v>324</v>
      </c>
    </row>
    <row r="117" spans="1:16" x14ac:dyDescent="0.25">
      <c r="A117" s="330">
        <v>2024</v>
      </c>
      <c r="B117" s="331"/>
      <c r="C117" s="331"/>
      <c r="D117" s="159">
        <f>($D$108/$D$7)*D17</f>
        <v>253523.66500000001</v>
      </c>
      <c r="E117" s="159">
        <f>($E$108/$E$7)*E16</f>
        <v>0</v>
      </c>
      <c r="F117" s="159">
        <f>($F$108/$F$7)*F17</f>
        <v>0</v>
      </c>
      <c r="G117" s="159">
        <f>G108*12</f>
        <v>63636.090300733937</v>
      </c>
      <c r="H117" s="350">
        <f>$H$107/$H$6*H17</f>
        <v>33240.422752293583</v>
      </c>
      <c r="I117" s="349"/>
      <c r="J117" s="349"/>
      <c r="K117" s="349"/>
      <c r="L117" s="349"/>
      <c r="O117" s="159">
        <f t="shared" si="41"/>
        <v>350400.17805302754</v>
      </c>
      <c r="P117" s="352" t="s">
        <v>325</v>
      </c>
    </row>
    <row r="118" spans="1:16" x14ac:dyDescent="0.25">
      <c r="A118" s="330">
        <v>2025</v>
      </c>
      <c r="B118" s="331"/>
      <c r="C118" s="331"/>
      <c r="D118" s="331"/>
      <c r="E118" s="331"/>
      <c r="F118" s="331"/>
      <c r="G118" s="159">
        <f>G108*12</f>
        <v>63636.090300733937</v>
      </c>
      <c r="H118" s="350">
        <f t="shared" ref="H118:H121" si="42">$H$107/$H$6*H18</f>
        <v>49860.634128440375</v>
      </c>
      <c r="I118" s="350">
        <f>$I$107/$I$6*I18</f>
        <v>24524.938006042299</v>
      </c>
      <c r="J118" s="349"/>
      <c r="K118" s="349"/>
      <c r="L118" s="349"/>
      <c r="O118" s="159">
        <f t="shared" si="41"/>
        <v>138021.6624352166</v>
      </c>
      <c r="P118" s="352" t="s">
        <v>326</v>
      </c>
    </row>
    <row r="119" spans="1:16" x14ac:dyDescent="0.25">
      <c r="A119" s="330">
        <v>2026</v>
      </c>
      <c r="B119" s="331"/>
      <c r="C119" s="331"/>
      <c r="D119" s="331"/>
      <c r="E119" s="331"/>
      <c r="F119" s="331"/>
      <c r="G119" s="159">
        <f>(G108*9)+(G107*0.05)</f>
        <v>59795.550225550454</v>
      </c>
      <c r="H119" s="350">
        <f t="shared" si="42"/>
        <v>49860.634128440375</v>
      </c>
      <c r="I119" s="350">
        <f t="shared" ref="I119:I122" si="43">$I$107/$I$6*I19</f>
        <v>36787.407009063449</v>
      </c>
      <c r="J119" s="350">
        <f>$J$107/$J$6*J19</f>
        <v>12161.133913043477</v>
      </c>
      <c r="K119" s="349"/>
      <c r="L119" s="349"/>
      <c r="O119" s="159">
        <f t="shared" si="41"/>
        <v>158604.72527609777</v>
      </c>
      <c r="P119" s="352" t="s">
        <v>327</v>
      </c>
    </row>
    <row r="120" spans="1:16" x14ac:dyDescent="0.25">
      <c r="A120" s="330">
        <v>2027</v>
      </c>
      <c r="B120" s="331"/>
      <c r="C120" s="331"/>
      <c r="D120" s="331"/>
      <c r="E120" s="331"/>
      <c r="F120" s="331"/>
      <c r="G120" s="331"/>
      <c r="H120" s="350">
        <f t="shared" si="42"/>
        <v>49860.634128440375</v>
      </c>
      <c r="I120" s="350">
        <f t="shared" si="43"/>
        <v>36787.407009063449</v>
      </c>
      <c r="J120" s="350">
        <f t="shared" ref="J120:J123" si="44">$J$107/$J$6*J20</f>
        <v>18241.700869565218</v>
      </c>
      <c r="K120" s="350">
        <f>$K$107/$K$6*K20</f>
        <v>0</v>
      </c>
      <c r="L120" s="349"/>
      <c r="O120" s="159">
        <f t="shared" si="41"/>
        <v>104889.74200706904</v>
      </c>
      <c r="P120" s="352" t="s">
        <v>328</v>
      </c>
    </row>
    <row r="121" spans="1:16" x14ac:dyDescent="0.25">
      <c r="A121" s="330">
        <v>2028</v>
      </c>
      <c r="B121" s="331"/>
      <c r="C121" s="331"/>
      <c r="D121" s="331"/>
      <c r="E121" s="331"/>
      <c r="F121" s="331"/>
      <c r="G121" s="331"/>
      <c r="H121" s="350">
        <f t="shared" si="42"/>
        <v>46415.475596330281</v>
      </c>
      <c r="I121" s="350">
        <f t="shared" si="43"/>
        <v>36787.407009063449</v>
      </c>
      <c r="J121" s="350">
        <f t="shared" si="44"/>
        <v>18241.700869565218</v>
      </c>
      <c r="K121" s="350">
        <f t="shared" ref="K121:K123" si="45">$K$107/$K$6*K21</f>
        <v>0</v>
      </c>
      <c r="L121" s="350">
        <f>$L$107/$L$6*L21</f>
        <v>0</v>
      </c>
      <c r="O121" s="159">
        <f t="shared" si="41"/>
        <v>101444.58347495896</v>
      </c>
      <c r="P121" s="352" t="s">
        <v>329</v>
      </c>
    </row>
    <row r="122" spans="1:16" x14ac:dyDescent="0.25">
      <c r="A122" s="330">
        <v>2029</v>
      </c>
      <c r="B122" s="331"/>
      <c r="C122" s="331"/>
      <c r="D122" s="331"/>
      <c r="E122" s="331"/>
      <c r="F122" s="331"/>
      <c r="G122" s="331"/>
      <c r="H122" s="349"/>
      <c r="I122" s="350">
        <f t="shared" si="43"/>
        <v>34245.555256797583</v>
      </c>
      <c r="J122" s="350">
        <f t="shared" si="44"/>
        <v>18241.700869565218</v>
      </c>
      <c r="K122" s="350">
        <f t="shared" si="45"/>
        <v>0</v>
      </c>
      <c r="L122" s="350">
        <f t="shared" ref="L122:L123" si="46">$L$107/$L$6*L22</f>
        <v>0</v>
      </c>
      <c r="O122" s="159">
        <f t="shared" si="41"/>
        <v>52487.256126362801</v>
      </c>
      <c r="P122" s="352" t="s">
        <v>330</v>
      </c>
    </row>
    <row r="123" spans="1:16" x14ac:dyDescent="0.25">
      <c r="A123" s="330">
        <v>2030</v>
      </c>
      <c r="B123" s="331"/>
      <c r="C123" s="331"/>
      <c r="D123" s="331"/>
      <c r="E123" s="331"/>
      <c r="F123" s="331"/>
      <c r="G123" s="331"/>
      <c r="H123" s="349"/>
      <c r="I123" s="349"/>
      <c r="J123" s="350">
        <f t="shared" si="44"/>
        <v>16981.275652173914</v>
      </c>
      <c r="K123" s="350">
        <f t="shared" si="45"/>
        <v>0</v>
      </c>
      <c r="L123" s="350">
        <f t="shared" si="46"/>
        <v>0</v>
      </c>
      <c r="O123" s="159">
        <f t="shared" si="41"/>
        <v>16981.275652173914</v>
      </c>
      <c r="P123" s="352" t="s">
        <v>331</v>
      </c>
    </row>
    <row r="124" spans="1:16" x14ac:dyDescent="0.25">
      <c r="P124" s="212"/>
    </row>
    <row r="125" spans="1:16" ht="15.75" x14ac:dyDescent="0.25">
      <c r="A125" s="333" t="s">
        <v>337</v>
      </c>
      <c r="P125" s="212"/>
    </row>
    <row r="126" spans="1:16" x14ac:dyDescent="0.25">
      <c r="P126" s="212"/>
    </row>
    <row r="127" spans="1:16" x14ac:dyDescent="0.25">
      <c r="A127" t="s">
        <v>312</v>
      </c>
      <c r="B127" s="158">
        <f>(B128/$B$7)*$B$6</f>
        <v>0</v>
      </c>
      <c r="C127" s="158">
        <v>0</v>
      </c>
      <c r="D127" s="158">
        <v>0</v>
      </c>
      <c r="E127" s="158">
        <v>0</v>
      </c>
      <c r="F127" s="158">
        <v>0</v>
      </c>
      <c r="G127" s="158">
        <v>0</v>
      </c>
      <c r="H127" s="347">
        <f>T30</f>
        <v>709500</v>
      </c>
      <c r="I127" s="347">
        <f t="shared" ref="I127:L127" si="47">U30</f>
        <v>187000</v>
      </c>
      <c r="J127" s="347">
        <f t="shared" si="47"/>
        <v>159500</v>
      </c>
      <c r="K127" s="347">
        <f t="shared" si="47"/>
        <v>132000</v>
      </c>
      <c r="L127" s="347">
        <f t="shared" si="47"/>
        <v>132000</v>
      </c>
      <c r="M127" s="158"/>
      <c r="P127" s="212"/>
    </row>
    <row r="128" spans="1:16" x14ac:dyDescent="0.25">
      <c r="A128" t="s">
        <v>313</v>
      </c>
      <c r="B128" s="158">
        <v>0</v>
      </c>
      <c r="C128" s="158">
        <v>0</v>
      </c>
      <c r="D128" s="158">
        <v>0</v>
      </c>
      <c r="E128" s="158">
        <v>0</v>
      </c>
      <c r="F128" s="158">
        <v>0</v>
      </c>
      <c r="G128" s="158">
        <v>0</v>
      </c>
      <c r="H128" s="347">
        <f>H127/H6*H7</f>
        <v>16341.518807339451</v>
      </c>
      <c r="I128" s="347">
        <f t="shared" ref="I128:L128" si="48">I127/I6*I7</f>
        <v>4307.0655589123871</v>
      </c>
      <c r="J128" s="347">
        <f t="shared" si="48"/>
        <v>3673.6758695652175</v>
      </c>
      <c r="K128" s="347">
        <f t="shared" si="48"/>
        <v>3040.2830769230768</v>
      </c>
      <c r="L128" s="347">
        <f t="shared" si="48"/>
        <v>3040.28</v>
      </c>
      <c r="M128" s="158"/>
      <c r="P128" s="212"/>
    </row>
    <row r="129" spans="1:16" x14ac:dyDescent="0.25">
      <c r="A129" t="s">
        <v>305</v>
      </c>
      <c r="B129" s="332"/>
      <c r="C129" s="332"/>
      <c r="D129" s="332"/>
      <c r="E129" s="332"/>
      <c r="F129" s="332"/>
      <c r="G129" s="332"/>
      <c r="H129" s="346"/>
      <c r="I129" s="346"/>
      <c r="J129" s="346"/>
      <c r="K129" s="346"/>
      <c r="L129" s="346"/>
      <c r="P129" s="212"/>
    </row>
    <row r="130" spans="1:16" x14ac:dyDescent="0.25">
      <c r="O130" s="112" t="s">
        <v>316</v>
      </c>
      <c r="P130" s="351" t="s">
        <v>317</v>
      </c>
    </row>
    <row r="131" spans="1:16" x14ac:dyDescent="0.25">
      <c r="A131" s="330">
        <v>2018</v>
      </c>
      <c r="B131" s="159">
        <f>($B$108/$B$7)*B31</f>
        <v>0</v>
      </c>
      <c r="C131" s="331"/>
      <c r="D131" s="331"/>
      <c r="E131" s="331"/>
      <c r="F131" s="331"/>
      <c r="G131" s="331"/>
      <c r="H131" s="349"/>
      <c r="I131" s="349"/>
      <c r="J131" s="349"/>
      <c r="K131" s="349"/>
      <c r="L131" s="349"/>
      <c r="O131" s="159">
        <f t="shared" ref="O131:O143" si="49">SUM(B131:N131)</f>
        <v>0</v>
      </c>
      <c r="P131" s="352" t="s">
        <v>318</v>
      </c>
    </row>
    <row r="132" spans="1:16" x14ac:dyDescent="0.25">
      <c r="A132" s="330">
        <v>2019</v>
      </c>
      <c r="B132" s="159">
        <f>($B$108/$B$7)*B32</f>
        <v>0</v>
      </c>
      <c r="C132" s="159">
        <f>($C$108/$C$7)*C32</f>
        <v>0</v>
      </c>
      <c r="D132" s="331"/>
      <c r="E132" s="331"/>
      <c r="F132" s="331"/>
      <c r="G132" s="331"/>
      <c r="H132" s="349"/>
      <c r="I132" s="349"/>
      <c r="J132" s="349"/>
      <c r="K132" s="349"/>
      <c r="L132" s="349"/>
      <c r="O132" s="159">
        <f t="shared" si="49"/>
        <v>0</v>
      </c>
      <c r="P132" s="352" t="s">
        <v>319</v>
      </c>
    </row>
    <row r="133" spans="1:16" x14ac:dyDescent="0.25">
      <c r="A133" s="330">
        <v>2020</v>
      </c>
      <c r="B133" s="159">
        <f>($B$108/$B$7)*B33</f>
        <v>0</v>
      </c>
      <c r="C133" s="159">
        <f>($C$108/$C$7)*C33</f>
        <v>0</v>
      </c>
      <c r="D133" s="159">
        <f>($D$108/$D$7)*D33</f>
        <v>0</v>
      </c>
      <c r="E133" s="159">
        <f>($E$108/$E$7)*E32</f>
        <v>0</v>
      </c>
      <c r="F133" s="159">
        <f>($F$108/$F$7)*F33</f>
        <v>0</v>
      </c>
      <c r="G133" s="331"/>
      <c r="H133" s="349"/>
      <c r="I133" s="349"/>
      <c r="J133" s="349"/>
      <c r="K133" s="349"/>
      <c r="L133" s="349"/>
      <c r="O133" s="159">
        <f t="shared" si="49"/>
        <v>0</v>
      </c>
      <c r="P133" s="352" t="s">
        <v>321</v>
      </c>
    </row>
    <row r="134" spans="1:16" x14ac:dyDescent="0.25">
      <c r="A134" s="330">
        <v>2021</v>
      </c>
      <c r="B134" s="159">
        <f>($B$108/$B$7)*B34</f>
        <v>0</v>
      </c>
      <c r="C134" s="159">
        <f>($C$108/$C$7)*C34</f>
        <v>0</v>
      </c>
      <c r="D134" s="159">
        <f>($D$108/$D$7)*D34</f>
        <v>0</v>
      </c>
      <c r="E134" s="159">
        <f>($E$108/$E$7)*E33</f>
        <v>0</v>
      </c>
      <c r="F134" s="159">
        <f>($F$108/$F$7)*F34</f>
        <v>0</v>
      </c>
      <c r="G134" s="331"/>
      <c r="H134" s="349"/>
      <c r="I134" s="349"/>
      <c r="J134" s="349"/>
      <c r="K134" s="349"/>
      <c r="L134" s="349"/>
      <c r="O134" s="159">
        <f t="shared" si="49"/>
        <v>0</v>
      </c>
      <c r="P134" s="352" t="s">
        <v>322</v>
      </c>
    </row>
    <row r="135" spans="1:16" x14ac:dyDescent="0.25">
      <c r="A135" s="330">
        <v>2022</v>
      </c>
      <c r="B135" s="159">
        <f>($B$108/$B$7)*B35</f>
        <v>0</v>
      </c>
      <c r="C135" s="159">
        <f>($C$108/$C$7)*C35</f>
        <v>0</v>
      </c>
      <c r="D135" s="159">
        <f>($D$108/$D$7)*D35</f>
        <v>0</v>
      </c>
      <c r="E135" s="159">
        <f>($E$108/$E$7)*E34</f>
        <v>0</v>
      </c>
      <c r="F135" s="159">
        <f>($F$108/$F$7)*F35</f>
        <v>0</v>
      </c>
      <c r="G135" s="159">
        <f>G128*3</f>
        <v>0</v>
      </c>
      <c r="H135" s="349"/>
      <c r="I135" s="349"/>
      <c r="J135" s="349"/>
      <c r="K135" s="349"/>
      <c r="L135" s="349"/>
      <c r="O135" s="159">
        <f t="shared" si="49"/>
        <v>0</v>
      </c>
      <c r="P135" s="352" t="s">
        <v>323</v>
      </c>
    </row>
    <row r="136" spans="1:16" x14ac:dyDescent="0.25">
      <c r="A136" s="330">
        <v>2023</v>
      </c>
      <c r="B136" s="331"/>
      <c r="C136" s="159">
        <f>($C$108/$C$7)*C36</f>
        <v>0</v>
      </c>
      <c r="D136" s="159">
        <f>($D$108/$D$7)*D36</f>
        <v>0</v>
      </c>
      <c r="E136" s="159">
        <f>($E$108/$E$7)*E35</f>
        <v>0</v>
      </c>
      <c r="F136" s="159">
        <f>($F$108/$F$7)*F36</f>
        <v>0</v>
      </c>
      <c r="G136" s="159">
        <f>G128*12</f>
        <v>0</v>
      </c>
      <c r="H136" s="349"/>
      <c r="I136" s="349"/>
      <c r="J136" s="349"/>
      <c r="K136" s="349"/>
      <c r="L136" s="349"/>
      <c r="O136" s="159">
        <f t="shared" si="49"/>
        <v>0</v>
      </c>
      <c r="P136" s="353" t="s">
        <v>324</v>
      </c>
    </row>
    <row r="137" spans="1:16" x14ac:dyDescent="0.25">
      <c r="A137" s="330">
        <v>2024</v>
      </c>
      <c r="B137" s="331"/>
      <c r="C137" s="331"/>
      <c r="D137" s="159">
        <f>($D$108/$D$7)*D37</f>
        <v>0</v>
      </c>
      <c r="E137" s="159">
        <f>($E$108/$E$7)*E36</f>
        <v>0</v>
      </c>
      <c r="F137" s="159">
        <f>($F$108/$F$7)*F37</f>
        <v>0</v>
      </c>
      <c r="G137" s="159">
        <f>G128*12</f>
        <v>0</v>
      </c>
      <c r="H137" s="350">
        <f>$H$127/$H$6*H17</f>
        <v>130732.15045871561</v>
      </c>
      <c r="I137" s="349"/>
      <c r="J137" s="349"/>
      <c r="K137" s="349"/>
      <c r="L137" s="349"/>
      <c r="O137" s="159">
        <f t="shared" si="49"/>
        <v>130732.15045871561</v>
      </c>
      <c r="P137" s="352" t="s">
        <v>325</v>
      </c>
    </row>
    <row r="138" spans="1:16" x14ac:dyDescent="0.25">
      <c r="A138" s="330">
        <v>2025</v>
      </c>
      <c r="B138" s="331"/>
      <c r="C138" s="331"/>
      <c r="D138" s="331"/>
      <c r="E138" s="331"/>
      <c r="F138" s="331"/>
      <c r="G138" s="159">
        <f>G128*12</f>
        <v>0</v>
      </c>
      <c r="H138" s="350">
        <f t="shared" ref="H138:H141" si="50">$H$127/$H$6*H18</f>
        <v>196098.22568807341</v>
      </c>
      <c r="I138" s="350">
        <f>$I$127/$I$6*I18</f>
        <v>34456.524471299097</v>
      </c>
      <c r="J138" s="349"/>
      <c r="K138" s="349"/>
      <c r="L138" s="349"/>
      <c r="O138" s="159">
        <f t="shared" si="49"/>
        <v>230554.75015937252</v>
      </c>
      <c r="P138" s="352" t="s">
        <v>326</v>
      </c>
    </row>
    <row r="139" spans="1:16" x14ac:dyDescent="0.25">
      <c r="A139" s="330">
        <v>2026</v>
      </c>
      <c r="B139" s="331"/>
      <c r="C139" s="331"/>
      <c r="D139" s="331"/>
      <c r="E139" s="331"/>
      <c r="F139" s="331"/>
      <c r="G139" s="159">
        <f>(G128*9)+(G127*0.05)</f>
        <v>0</v>
      </c>
      <c r="H139" s="350">
        <f t="shared" si="50"/>
        <v>196098.22568807341</v>
      </c>
      <c r="I139" s="350">
        <f t="shared" ref="I139:I142" si="51">$I$127/$I$6*I19</f>
        <v>51684.786706948653</v>
      </c>
      <c r="J139" s="350">
        <f>$J$127/$J$6*J19</f>
        <v>29389.40695652174</v>
      </c>
      <c r="K139" s="349"/>
      <c r="L139" s="349"/>
      <c r="O139" s="159">
        <f t="shared" si="49"/>
        <v>277172.41935154382</v>
      </c>
      <c r="P139" s="330" t="s">
        <v>327</v>
      </c>
    </row>
    <row r="140" spans="1:16" x14ac:dyDescent="0.25">
      <c r="A140" s="330">
        <v>2027</v>
      </c>
      <c r="B140" s="331"/>
      <c r="C140" s="331"/>
      <c r="D140" s="331"/>
      <c r="E140" s="331"/>
      <c r="F140" s="331"/>
      <c r="G140" s="331"/>
      <c r="H140" s="350">
        <f t="shared" si="50"/>
        <v>196098.22568807341</v>
      </c>
      <c r="I140" s="350">
        <f t="shared" si="51"/>
        <v>51684.786706948653</v>
      </c>
      <c r="J140" s="350">
        <f t="shared" ref="J140:J143" si="52">$J$127/$J$6*J20</f>
        <v>44084.110434782611</v>
      </c>
      <c r="K140" s="350">
        <f>$K$127/$K$6*K20</f>
        <v>24322.264615384614</v>
      </c>
      <c r="L140" s="349"/>
      <c r="O140" s="159">
        <f t="shared" si="49"/>
        <v>316189.38744518929</v>
      </c>
      <c r="P140" s="330" t="s">
        <v>328</v>
      </c>
    </row>
    <row r="141" spans="1:16" x14ac:dyDescent="0.25">
      <c r="A141" s="330">
        <v>2028</v>
      </c>
      <c r="B141" s="331"/>
      <c r="C141" s="331"/>
      <c r="D141" s="331"/>
      <c r="E141" s="331"/>
      <c r="F141" s="331"/>
      <c r="G141" s="331"/>
      <c r="H141" s="350">
        <f t="shared" si="50"/>
        <v>182548.66926605508</v>
      </c>
      <c r="I141" s="350">
        <f t="shared" si="51"/>
        <v>51684.786706948653</v>
      </c>
      <c r="J141" s="350">
        <f t="shared" si="52"/>
        <v>44084.110434782611</v>
      </c>
      <c r="K141" s="350">
        <f t="shared" ref="K141:K143" si="53">$K$127/$K$6*K21</f>
        <v>36483.396923076929</v>
      </c>
      <c r="L141" s="350">
        <f>$L$127/$L$6*L21</f>
        <v>24322.240000000002</v>
      </c>
      <c r="O141" s="159">
        <f t="shared" si="49"/>
        <v>339123.20333086327</v>
      </c>
      <c r="P141" s="330" t="s">
        <v>329</v>
      </c>
    </row>
    <row r="142" spans="1:16" x14ac:dyDescent="0.25">
      <c r="A142" s="330">
        <v>2029</v>
      </c>
      <c r="B142" s="331"/>
      <c r="C142" s="331"/>
      <c r="D142" s="331"/>
      <c r="E142" s="331"/>
      <c r="F142" s="331"/>
      <c r="G142" s="331"/>
      <c r="H142" s="349"/>
      <c r="I142" s="350">
        <f t="shared" si="51"/>
        <v>48113.59003021149</v>
      </c>
      <c r="J142" s="350">
        <f t="shared" si="52"/>
        <v>44084.110434782611</v>
      </c>
      <c r="K142" s="350">
        <f t="shared" si="53"/>
        <v>36483.396923076929</v>
      </c>
      <c r="L142" s="350">
        <f t="shared" ref="L142:L143" si="54">$L$127/$L$6*L22</f>
        <v>36483.360000000001</v>
      </c>
      <c r="O142" s="159">
        <f t="shared" si="49"/>
        <v>165164.45738807102</v>
      </c>
      <c r="P142" s="330" t="s">
        <v>330</v>
      </c>
    </row>
    <row r="143" spans="1:16" x14ac:dyDescent="0.25">
      <c r="A143" s="330">
        <v>2030</v>
      </c>
      <c r="B143" s="331"/>
      <c r="C143" s="331"/>
      <c r="D143" s="331"/>
      <c r="E143" s="331"/>
      <c r="F143" s="331"/>
      <c r="G143" s="331"/>
      <c r="H143" s="349"/>
      <c r="I143" s="349"/>
      <c r="J143" s="350">
        <f t="shared" si="52"/>
        <v>41038.08282608696</v>
      </c>
      <c r="K143" s="350">
        <f t="shared" si="53"/>
        <v>36483.396923076929</v>
      </c>
      <c r="L143" s="350">
        <f t="shared" si="54"/>
        <v>36483.360000000001</v>
      </c>
      <c r="O143" s="159">
        <f t="shared" si="49"/>
        <v>114004.83974916389</v>
      </c>
      <c r="P143" s="330" t="s">
        <v>331</v>
      </c>
    </row>
    <row r="144" spans="1:16" x14ac:dyDescent="0.25">
      <c r="B144" t="b">
        <f>SUM(B11:B23)=(SUM(B111:B123)+SUM(B91:B103)+SUM(B71:B83)+SUM(B51:B63)+SUM(B31:B43)+SUM(B131:B142))</f>
        <v>1</v>
      </c>
      <c r="C144" t="b">
        <f t="shared" ref="C144:G144" si="55">SUM(C11:C23)=(SUM(C111:C123)+SUM(C91:C103)+SUM(C71:C83)+SUM(C51:C63)+SUM(C31:C43)+SUM(C131:C142))</f>
        <v>1</v>
      </c>
      <c r="D144" t="b">
        <f t="shared" si="55"/>
        <v>1</v>
      </c>
      <c r="E144" t="b">
        <f t="shared" si="55"/>
        <v>1</v>
      </c>
      <c r="F144" t="b">
        <f t="shared" si="55"/>
        <v>1</v>
      </c>
      <c r="G144" t="b">
        <f t="shared" si="55"/>
        <v>1</v>
      </c>
      <c r="H144" s="344" t="b">
        <f t="shared" ref="H144" si="56">ROUND(SUM(H11:H23),0)=ROUND(SUM(H111:H123)+SUM(H91:H103)+SUM(H71:H83)+SUM(H51:H63)+SUM(H31:H43)+SUM(H131:H143),0)</f>
        <v>1</v>
      </c>
      <c r="I144" s="344" t="b">
        <f t="shared" ref="I144" si="57">ROUND(SUM(I11:I23),0)=ROUND(SUM(I111:I123)+SUM(I91:I103)+SUM(I71:I83)+SUM(I51:I63)+SUM(I31:I43)+SUM(I131:I143),0)</f>
        <v>1</v>
      </c>
      <c r="J144" s="344" t="b">
        <f t="shared" ref="J144" si="58">ROUND(SUM(J11:J23),0)=ROUND(SUM(J111:J123)+SUM(J91:J103)+SUM(J71:J83)+SUM(J51:J63)+SUM(J31:J43)+SUM(J131:J143),0)</f>
        <v>1</v>
      </c>
      <c r="K144" s="344" t="b">
        <f t="shared" ref="K144" si="59">ROUND(SUM(K11:K23),0)=ROUND(SUM(K111:K123)+SUM(K91:K103)+SUM(K71:K83)+SUM(K51:K63)+SUM(K31:K43)+SUM(K131:K143),0)</f>
        <v>0</v>
      </c>
      <c r="L144" s="344" t="b">
        <f t="shared" ref="L144" si="60">ROUND(SUM(L11:L23),0)=ROUND(SUM(L111:L123)+SUM(L91:L103)+SUM(L71:L83)+SUM(L51:L63)+SUM(L31:L43)+SUM(L131:L143),0)</f>
        <v>1</v>
      </c>
    </row>
  </sheetData>
  <pageMargins left="0.7" right="0.7" top="0.75" bottom="0.75" header="0.3" footer="0.3"/>
  <pageSetup orientation="portrait" horizontalDpi="100" verticalDpi="1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65"/>
  <sheetViews>
    <sheetView topLeftCell="A4" zoomScale="75" zoomScaleNormal="75" workbookViewId="0">
      <selection activeCell="C4" sqref="C4"/>
    </sheetView>
  </sheetViews>
  <sheetFormatPr defaultRowHeight="15" x14ac:dyDescent="0.25"/>
  <cols>
    <col min="2" max="2" width="23.85546875" style="109" customWidth="1"/>
    <col min="3" max="3" width="30.140625" style="109" customWidth="1"/>
    <col min="4" max="4" width="11.140625" style="109" bestFit="1" customWidth="1"/>
    <col min="5" max="5" width="12.5703125" style="109" bestFit="1" customWidth="1"/>
    <col min="6" max="6" width="16.42578125" style="109" bestFit="1" customWidth="1"/>
    <col min="7" max="7" width="16.42578125" bestFit="1" customWidth="1"/>
    <col min="8" max="8" width="17.42578125" bestFit="1" customWidth="1"/>
    <col min="10" max="10" width="16.85546875" customWidth="1"/>
    <col min="11" max="11" width="28.140625" customWidth="1"/>
  </cols>
  <sheetData>
    <row r="1" spans="1:11" x14ac:dyDescent="0.25">
      <c r="A1" s="146"/>
      <c r="B1" s="7"/>
      <c r="C1" s="7" t="s">
        <v>238</v>
      </c>
      <c r="D1" s="7" t="s">
        <v>215</v>
      </c>
      <c r="E1" s="7" t="s">
        <v>231</v>
      </c>
      <c r="F1" s="7"/>
      <c r="G1" s="146"/>
    </row>
    <row r="2" spans="1:11" x14ac:dyDescent="0.25">
      <c r="A2" s="146"/>
      <c r="B2" s="7"/>
      <c r="C2" s="7">
        <v>950</v>
      </c>
      <c r="D2" s="7">
        <v>1000</v>
      </c>
      <c r="E2" s="7">
        <v>1200</v>
      </c>
      <c r="F2" s="7">
        <f>SUM(C2:E2)</f>
        <v>3150</v>
      </c>
      <c r="G2" s="146"/>
    </row>
    <row r="3" spans="1:11" x14ac:dyDescent="0.25">
      <c r="A3" s="146"/>
      <c r="B3" s="7"/>
      <c r="C3" s="19">
        <f>C2/F2</f>
        <v>0.30158730158730157</v>
      </c>
      <c r="D3" s="19">
        <f>D2/F2</f>
        <v>0.31746031746031744</v>
      </c>
      <c r="E3" s="19">
        <f>E2/F2</f>
        <v>0.38095238095238093</v>
      </c>
      <c r="F3" s="19"/>
      <c r="G3" s="146"/>
    </row>
    <row r="4" spans="1:11" x14ac:dyDescent="0.25">
      <c r="A4" s="146" t="s">
        <v>225</v>
      </c>
      <c r="B4" s="7">
        <v>2967500</v>
      </c>
      <c r="C4" s="7">
        <f>$B$4*C3</f>
        <v>894960.3174603174</v>
      </c>
      <c r="D4" s="7">
        <f t="shared" ref="D4:E4" si="0">$B$4*D3</f>
        <v>942063.49206349195</v>
      </c>
      <c r="E4" s="7">
        <f t="shared" si="0"/>
        <v>1130476.1904761903</v>
      </c>
      <c r="F4" s="7">
        <f>SUM(C4:E4)</f>
        <v>2967499.9999999995</v>
      </c>
      <c r="G4" s="201">
        <f>F4-B4</f>
        <v>0</v>
      </c>
    </row>
    <row r="5" spans="1:11" x14ac:dyDescent="0.25">
      <c r="A5" s="146" t="s">
        <v>338</v>
      </c>
      <c r="B5" s="7">
        <v>3045000</v>
      </c>
      <c r="C5" s="7">
        <f>$B$5*C3</f>
        <v>918333.33333333326</v>
      </c>
      <c r="D5" s="7">
        <f t="shared" ref="D5:E5" si="1">$B$5*D3</f>
        <v>966666.66666666663</v>
      </c>
      <c r="E5" s="7">
        <f t="shared" si="1"/>
        <v>1160000</v>
      </c>
      <c r="F5" s="7">
        <f t="shared" ref="F5:F8" si="2">SUM(C5:E5)</f>
        <v>3045000</v>
      </c>
      <c r="G5" s="201">
        <f t="shared" ref="G5:G8" si="3">F5-B5</f>
        <v>0</v>
      </c>
    </row>
    <row r="6" spans="1:11" x14ac:dyDescent="0.25">
      <c r="A6" s="146" t="s">
        <v>339</v>
      </c>
      <c r="B6" s="7">
        <v>3053000</v>
      </c>
      <c r="C6" s="7">
        <f>$B$6*C3</f>
        <v>920746.03174603172</v>
      </c>
      <c r="D6" s="7">
        <f t="shared" ref="D6:E6" si="4">$B$6*D3</f>
        <v>969206.34920634911</v>
      </c>
      <c r="E6" s="7">
        <f t="shared" si="4"/>
        <v>1163047.6190476189</v>
      </c>
      <c r="F6" s="7">
        <f t="shared" si="2"/>
        <v>3053000</v>
      </c>
      <c r="G6" s="201">
        <f t="shared" si="3"/>
        <v>0</v>
      </c>
    </row>
    <row r="7" spans="1:11" x14ac:dyDescent="0.25">
      <c r="A7" s="146" t="s">
        <v>340</v>
      </c>
      <c r="B7" s="7">
        <v>3057500</v>
      </c>
      <c r="C7" s="7">
        <f>$B$7*C3</f>
        <v>922103.17460317456</v>
      </c>
      <c r="D7" s="7">
        <f t="shared" ref="D7:E7" si="5">$B$7*D3</f>
        <v>970634.92063492059</v>
      </c>
      <c r="E7" s="7">
        <f t="shared" si="5"/>
        <v>1164761.9047619046</v>
      </c>
      <c r="F7" s="7">
        <f t="shared" si="2"/>
        <v>3057500</v>
      </c>
      <c r="G7" s="201">
        <f t="shared" si="3"/>
        <v>0</v>
      </c>
    </row>
    <row r="8" spans="1:11" x14ac:dyDescent="0.25">
      <c r="A8" s="146" t="s">
        <v>341</v>
      </c>
      <c r="B8" s="7">
        <v>3055500</v>
      </c>
      <c r="C8" s="7">
        <f>$B$8*C3</f>
        <v>921500</v>
      </c>
      <c r="D8" s="7">
        <f t="shared" ref="D8:E8" si="6">$B$8*D3</f>
        <v>970000</v>
      </c>
      <c r="E8" s="7">
        <f t="shared" si="6"/>
        <v>1164000</v>
      </c>
      <c r="F8" s="7">
        <f t="shared" si="2"/>
        <v>3055500</v>
      </c>
      <c r="G8" s="201">
        <f t="shared" si="3"/>
        <v>0</v>
      </c>
    </row>
    <row r="9" spans="1:11" x14ac:dyDescent="0.25">
      <c r="A9" s="146" t="s">
        <v>342</v>
      </c>
      <c r="B9" s="7">
        <v>3056000</v>
      </c>
      <c r="C9" s="7">
        <f>$B$9*C3</f>
        <v>921650.79365079361</v>
      </c>
      <c r="D9" s="7">
        <f>$B$9*D3</f>
        <v>970158.73015873006</v>
      </c>
      <c r="E9" s="7">
        <f>$B$9*E3</f>
        <v>1164190.4761904762</v>
      </c>
      <c r="F9" s="7">
        <f t="shared" ref="F9" si="7">SUM(C9:E9)</f>
        <v>3056000</v>
      </c>
      <c r="G9" s="201">
        <f t="shared" ref="G9" si="8">F9-B9</f>
        <v>0</v>
      </c>
    </row>
    <row r="13" spans="1:11" ht="15.75" x14ac:dyDescent="0.25">
      <c r="A13" s="202"/>
      <c r="B13" s="390" t="s">
        <v>343</v>
      </c>
      <c r="C13" s="390"/>
      <c r="D13" s="202"/>
      <c r="E13" s="390" t="s">
        <v>344</v>
      </c>
      <c r="F13" s="390"/>
      <c r="G13" s="390"/>
      <c r="H13" s="390"/>
      <c r="I13" s="202"/>
      <c r="J13" s="390" t="s">
        <v>345</v>
      </c>
      <c r="K13" s="390"/>
    </row>
    <row r="14" spans="1:11" ht="15.75" x14ac:dyDescent="0.25">
      <c r="A14" s="202"/>
      <c r="B14" s="390" t="s">
        <v>346</v>
      </c>
      <c r="C14" s="390"/>
      <c r="D14" s="202"/>
      <c r="E14" s="390" t="s">
        <v>347</v>
      </c>
      <c r="F14" s="390"/>
      <c r="G14" s="390"/>
      <c r="H14" s="390"/>
      <c r="I14" s="202"/>
      <c r="J14" s="390" t="s">
        <v>347</v>
      </c>
      <c r="K14" s="390"/>
    </row>
    <row r="15" spans="1:11" x14ac:dyDescent="0.25">
      <c r="B15"/>
      <c r="C15"/>
      <c r="D15"/>
      <c r="E15"/>
      <c r="F15"/>
    </row>
    <row r="16" spans="1:11" x14ac:dyDescent="0.25">
      <c r="B16" s="203"/>
      <c r="C16" s="159"/>
      <c r="D16"/>
      <c r="E16" s="203"/>
      <c r="F16" s="204" t="s">
        <v>348</v>
      </c>
      <c r="G16" s="204" t="s">
        <v>349</v>
      </c>
      <c r="H16" s="159"/>
      <c r="J16" s="203"/>
      <c r="K16" s="159"/>
    </row>
    <row r="17" spans="2:11" x14ac:dyDescent="0.25">
      <c r="B17" s="203">
        <v>43617</v>
      </c>
      <c r="C17" s="159">
        <v>1138227.49</v>
      </c>
      <c r="D17"/>
      <c r="E17" s="203"/>
      <c r="F17" s="159"/>
      <c r="G17" s="159"/>
      <c r="H17" s="159"/>
      <c r="J17" s="203"/>
      <c r="K17" s="159"/>
    </row>
    <row r="18" spans="2:11" x14ac:dyDescent="0.25">
      <c r="B18" s="203">
        <v>43983</v>
      </c>
      <c r="C18" s="159">
        <v>2736527.79</v>
      </c>
      <c r="D18"/>
      <c r="E18" s="203"/>
      <c r="F18"/>
      <c r="G18" s="159"/>
      <c r="H18" s="159"/>
      <c r="J18" s="203">
        <v>43983</v>
      </c>
      <c r="K18" s="159">
        <v>0</v>
      </c>
    </row>
    <row r="19" spans="2:11" x14ac:dyDescent="0.25">
      <c r="B19" s="203">
        <v>44348</v>
      </c>
      <c r="C19" s="159">
        <v>2752202.08</v>
      </c>
      <c r="D19"/>
      <c r="E19" s="203">
        <v>44348</v>
      </c>
      <c r="F19" s="159">
        <v>1381186.38</v>
      </c>
      <c r="G19" s="159">
        <v>32714.61</v>
      </c>
      <c r="H19" s="159">
        <f>SUM(F19:G19)</f>
        <v>1413900.99</v>
      </c>
      <c r="J19" s="203">
        <v>44348</v>
      </c>
      <c r="K19" s="159">
        <v>1683302.67</v>
      </c>
    </row>
    <row r="20" spans="2:11" x14ac:dyDescent="0.25">
      <c r="B20" s="203">
        <v>44713</v>
      </c>
      <c r="C20" s="159">
        <v>2932509.38</v>
      </c>
      <c r="D20"/>
      <c r="E20" s="203">
        <v>44713</v>
      </c>
      <c r="F20" s="159">
        <v>2084865</v>
      </c>
      <c r="G20" s="159">
        <v>51882.2</v>
      </c>
      <c r="H20" s="159">
        <f t="shared" ref="H20:H52" si="9">SUM(F20:G20)</f>
        <v>2136747.2000000002</v>
      </c>
      <c r="J20" s="203">
        <v>44713</v>
      </c>
      <c r="K20" s="159">
        <v>2427933.33</v>
      </c>
    </row>
    <row r="21" spans="2:11" x14ac:dyDescent="0.25">
      <c r="B21" s="203">
        <v>45078</v>
      </c>
      <c r="C21" s="159">
        <v>2967108.33</v>
      </c>
      <c r="D21"/>
      <c r="E21" s="203">
        <v>45078</v>
      </c>
      <c r="F21" s="159">
        <v>2084865</v>
      </c>
      <c r="G21" s="159">
        <v>878164.67</v>
      </c>
      <c r="H21" s="159">
        <f t="shared" si="9"/>
        <v>2963029.67</v>
      </c>
      <c r="J21" s="203">
        <v>45078</v>
      </c>
      <c r="K21" s="159">
        <v>2492766.67</v>
      </c>
    </row>
    <row r="22" spans="2:11" x14ac:dyDescent="0.25">
      <c r="B22" s="203">
        <v>45444</v>
      </c>
      <c r="C22" s="159">
        <v>3044400</v>
      </c>
      <c r="D22"/>
      <c r="E22" s="203">
        <v>45444</v>
      </c>
      <c r="F22" s="159">
        <v>2084865</v>
      </c>
      <c r="G22" s="159">
        <v>1044947.93</v>
      </c>
      <c r="H22" s="159">
        <f t="shared" si="9"/>
        <v>3129812.93</v>
      </c>
      <c r="J22" s="203">
        <v>45444</v>
      </c>
      <c r="K22" s="159">
        <v>2494250</v>
      </c>
    </row>
    <row r="23" spans="2:11" x14ac:dyDescent="0.25">
      <c r="B23" s="203">
        <v>45809</v>
      </c>
      <c r="C23" s="159">
        <v>3052879.17</v>
      </c>
      <c r="D23"/>
      <c r="E23" s="203">
        <v>45809</v>
      </c>
      <c r="F23" s="159">
        <v>2084865</v>
      </c>
      <c r="G23" s="159">
        <v>1305020.8400000001</v>
      </c>
      <c r="H23" s="159">
        <f t="shared" si="9"/>
        <v>3389885.84</v>
      </c>
      <c r="J23" s="203">
        <v>45809</v>
      </c>
      <c r="K23" s="159">
        <v>2494766.67</v>
      </c>
    </row>
    <row r="24" spans="2:11" x14ac:dyDescent="0.25">
      <c r="B24" s="203">
        <v>46174</v>
      </c>
      <c r="C24" s="159">
        <v>3057379.17</v>
      </c>
      <c r="D24"/>
      <c r="E24" s="203">
        <v>46174</v>
      </c>
      <c r="F24" s="159">
        <v>2448615</v>
      </c>
      <c r="G24" s="159">
        <v>1327516.68</v>
      </c>
      <c r="H24" s="159">
        <f t="shared" si="9"/>
        <v>3776131.6799999997</v>
      </c>
      <c r="J24" s="203">
        <v>46174</v>
      </c>
      <c r="K24" s="159">
        <v>2493883.33</v>
      </c>
    </row>
    <row r="25" spans="2:11" x14ac:dyDescent="0.25">
      <c r="B25" s="203">
        <v>46539</v>
      </c>
      <c r="C25" s="159">
        <v>3055483.33</v>
      </c>
      <c r="D25"/>
      <c r="E25" s="203">
        <v>46539</v>
      </c>
      <c r="F25" s="159">
        <v>2572358.75</v>
      </c>
      <c r="G25" s="159">
        <v>1330689.5900000001</v>
      </c>
      <c r="H25" s="159">
        <f t="shared" si="9"/>
        <v>3903048.34</v>
      </c>
      <c r="J25" s="203">
        <v>46539</v>
      </c>
      <c r="K25" s="159">
        <v>2496183.33</v>
      </c>
    </row>
    <row r="26" spans="2:11" x14ac:dyDescent="0.25">
      <c r="B26" s="203">
        <v>46905</v>
      </c>
      <c r="C26" s="159">
        <v>3055733.33</v>
      </c>
      <c r="D26"/>
      <c r="E26" s="203">
        <v>46905</v>
      </c>
      <c r="F26" s="159">
        <v>2574446.25</v>
      </c>
      <c r="G26" s="159">
        <v>1332957.81</v>
      </c>
      <c r="H26" s="159">
        <f t="shared" si="9"/>
        <v>3907404.06</v>
      </c>
      <c r="J26" s="203">
        <v>46905</v>
      </c>
      <c r="K26" s="159">
        <v>2492733.33</v>
      </c>
    </row>
    <row r="27" spans="2:11" x14ac:dyDescent="0.25">
      <c r="B27" s="203">
        <v>47270</v>
      </c>
      <c r="C27" s="159">
        <v>3063337.5</v>
      </c>
      <c r="D27"/>
      <c r="E27" s="203">
        <v>47270</v>
      </c>
      <c r="F27" s="159">
        <v>2574883.75</v>
      </c>
      <c r="G27" s="159">
        <v>1237632.29</v>
      </c>
      <c r="H27" s="159">
        <f t="shared" si="9"/>
        <v>3812516.04</v>
      </c>
      <c r="J27" s="203">
        <v>47270</v>
      </c>
      <c r="K27" s="159">
        <v>2496616.67</v>
      </c>
    </row>
    <row r="28" spans="2:11" x14ac:dyDescent="0.25">
      <c r="B28" s="203">
        <v>47635</v>
      </c>
      <c r="C28" s="159">
        <v>3066843.75</v>
      </c>
      <c r="D28"/>
      <c r="E28" s="203">
        <v>47635</v>
      </c>
      <c r="F28" s="159">
        <v>2575265</v>
      </c>
      <c r="G28" s="159">
        <v>1229133.33</v>
      </c>
      <c r="H28" s="159">
        <f t="shared" si="9"/>
        <v>3804398.33</v>
      </c>
      <c r="J28" s="203">
        <v>47635</v>
      </c>
      <c r="K28" s="159">
        <v>2494983.33</v>
      </c>
    </row>
    <row r="29" spans="2:11" x14ac:dyDescent="0.25">
      <c r="B29" s="203">
        <v>48000</v>
      </c>
      <c r="C29" s="159">
        <v>3066755.25</v>
      </c>
      <c r="D29"/>
      <c r="E29" s="203">
        <v>48000</v>
      </c>
      <c r="F29" s="159">
        <v>2577940</v>
      </c>
      <c r="G29" s="159">
        <v>1228783.33</v>
      </c>
      <c r="H29" s="159">
        <f t="shared" si="9"/>
        <v>3806723.33</v>
      </c>
      <c r="J29" s="203">
        <v>48000</v>
      </c>
      <c r="K29" s="159">
        <v>2495900</v>
      </c>
    </row>
    <row r="30" spans="2:11" x14ac:dyDescent="0.25">
      <c r="B30" s="203">
        <v>48366</v>
      </c>
      <c r="C30" s="159">
        <v>3067802.08</v>
      </c>
      <c r="D30"/>
      <c r="E30" s="203">
        <v>48366</v>
      </c>
      <c r="F30" s="159">
        <v>2579540</v>
      </c>
      <c r="G30" s="159">
        <v>1228750</v>
      </c>
      <c r="H30" s="159">
        <f t="shared" si="9"/>
        <v>3808290</v>
      </c>
      <c r="J30" s="203">
        <v>48366</v>
      </c>
      <c r="K30" s="159">
        <v>2495450</v>
      </c>
    </row>
    <row r="31" spans="2:11" x14ac:dyDescent="0.25">
      <c r="B31" s="203">
        <v>48731</v>
      </c>
      <c r="C31" s="159">
        <v>3070134.35</v>
      </c>
      <c r="D31"/>
      <c r="E31" s="203">
        <v>48731</v>
      </c>
      <c r="F31" s="159">
        <v>2578740</v>
      </c>
      <c r="G31" s="159">
        <v>1227833.33</v>
      </c>
      <c r="H31" s="159">
        <f t="shared" si="9"/>
        <v>3806573.33</v>
      </c>
      <c r="J31" s="203">
        <v>48731</v>
      </c>
      <c r="K31" s="159">
        <v>2493200</v>
      </c>
    </row>
    <row r="32" spans="2:11" x14ac:dyDescent="0.25">
      <c r="B32" s="203">
        <v>49096</v>
      </c>
      <c r="C32" s="159">
        <v>3073465.63</v>
      </c>
      <c r="D32"/>
      <c r="E32" s="203">
        <v>49096</v>
      </c>
      <c r="F32" s="159">
        <v>2579290</v>
      </c>
      <c r="G32" s="159">
        <v>1230500</v>
      </c>
      <c r="H32" s="159">
        <f t="shared" si="9"/>
        <v>3809790</v>
      </c>
      <c r="J32" s="203">
        <v>49096</v>
      </c>
      <c r="K32" s="159">
        <v>2493733.33</v>
      </c>
    </row>
    <row r="33" spans="2:11" x14ac:dyDescent="0.25">
      <c r="B33" s="203">
        <v>49461</v>
      </c>
      <c r="C33" s="159">
        <v>3072925</v>
      </c>
      <c r="D33"/>
      <c r="E33" s="203">
        <v>49461</v>
      </c>
      <c r="F33" s="159">
        <v>2582215</v>
      </c>
      <c r="G33" s="159">
        <v>1227770.83</v>
      </c>
      <c r="H33" s="159">
        <f t="shared" si="9"/>
        <v>3809985.83</v>
      </c>
      <c r="J33" s="203">
        <v>49461</v>
      </c>
      <c r="K33" s="159">
        <v>2492700</v>
      </c>
    </row>
    <row r="34" spans="2:11" x14ac:dyDescent="0.25">
      <c r="B34" s="203">
        <v>49827</v>
      </c>
      <c r="C34" s="159">
        <v>3077238.54</v>
      </c>
      <c r="D34"/>
      <c r="E34" s="203">
        <v>49827</v>
      </c>
      <c r="F34" s="159">
        <v>2583465</v>
      </c>
      <c r="G34" s="159">
        <v>1228187.5</v>
      </c>
      <c r="H34" s="159">
        <f t="shared" si="9"/>
        <v>3811652.5</v>
      </c>
      <c r="J34" s="203">
        <v>49827</v>
      </c>
      <c r="K34" s="159">
        <v>2494250</v>
      </c>
    </row>
    <row r="35" spans="2:11" x14ac:dyDescent="0.25">
      <c r="B35" s="203">
        <v>50192</v>
      </c>
      <c r="C35" s="159">
        <v>3077545.83</v>
      </c>
      <c r="D35"/>
      <c r="E35" s="203">
        <v>50192</v>
      </c>
      <c r="F35" s="159">
        <v>2585465</v>
      </c>
      <c r="G35" s="159">
        <v>1227791.67</v>
      </c>
      <c r="H35" s="159">
        <f t="shared" si="9"/>
        <v>3813256.67</v>
      </c>
      <c r="J35" s="203">
        <v>50192</v>
      </c>
      <c r="K35" s="159">
        <v>2494033.33</v>
      </c>
    </row>
    <row r="36" spans="2:11" x14ac:dyDescent="0.25">
      <c r="B36" s="203">
        <v>50557</v>
      </c>
      <c r="C36" s="159">
        <v>3082132.29</v>
      </c>
      <c r="D36"/>
      <c r="E36" s="203">
        <v>50557</v>
      </c>
      <c r="F36" s="159">
        <v>2585490</v>
      </c>
      <c r="G36" s="159">
        <v>1230729.17</v>
      </c>
      <c r="H36" s="159">
        <f t="shared" si="9"/>
        <v>3816219.17</v>
      </c>
      <c r="J36" s="203">
        <v>50557</v>
      </c>
      <c r="K36" s="159">
        <v>2496200</v>
      </c>
    </row>
    <row r="37" spans="2:11" x14ac:dyDescent="0.25">
      <c r="B37" s="203">
        <v>50922</v>
      </c>
      <c r="C37" s="159">
        <v>3086720.83</v>
      </c>
      <c r="D37"/>
      <c r="E37" s="203">
        <v>50922</v>
      </c>
      <c r="F37" s="159">
        <v>2589715</v>
      </c>
      <c r="G37" s="159">
        <v>1228020.83</v>
      </c>
      <c r="H37" s="159">
        <f t="shared" si="9"/>
        <v>3817735.83</v>
      </c>
      <c r="J37" s="203">
        <v>50922</v>
      </c>
      <c r="K37" s="159">
        <v>2496400</v>
      </c>
    </row>
    <row r="38" spans="2:11" x14ac:dyDescent="0.25">
      <c r="B38" s="203">
        <v>51288</v>
      </c>
      <c r="C38" s="159">
        <v>3086000</v>
      </c>
      <c r="D38"/>
      <c r="E38" s="203">
        <v>51288</v>
      </c>
      <c r="F38" s="159">
        <v>2591508.75</v>
      </c>
      <c r="G38" s="159">
        <v>1228208.33</v>
      </c>
      <c r="H38" s="159">
        <f t="shared" si="9"/>
        <v>3819717.08</v>
      </c>
      <c r="J38" s="203">
        <v>51288</v>
      </c>
      <c r="K38" s="159">
        <v>2494200</v>
      </c>
    </row>
    <row r="39" spans="2:11" x14ac:dyDescent="0.25">
      <c r="B39" s="203">
        <v>51653</v>
      </c>
      <c r="C39" s="159">
        <v>3088695.83</v>
      </c>
      <c r="D39"/>
      <c r="E39" s="203">
        <v>51653</v>
      </c>
      <c r="F39" s="159">
        <v>2592685.63</v>
      </c>
      <c r="G39" s="159">
        <v>1227333.33</v>
      </c>
      <c r="H39" s="159">
        <f t="shared" si="9"/>
        <v>3820018.96</v>
      </c>
      <c r="J39" s="203">
        <v>51653</v>
      </c>
      <c r="K39" s="159">
        <v>2494183.33</v>
      </c>
    </row>
    <row r="40" spans="2:11" x14ac:dyDescent="0.25">
      <c r="B40" s="203">
        <v>52018</v>
      </c>
      <c r="C40" s="159">
        <v>3095114.58</v>
      </c>
      <c r="D40"/>
      <c r="E40" s="203">
        <v>52018</v>
      </c>
      <c r="F40" s="159">
        <v>2594634.38</v>
      </c>
      <c r="G40" s="159">
        <v>1229541.67</v>
      </c>
      <c r="H40" s="159">
        <f t="shared" si="9"/>
        <v>3824176.05</v>
      </c>
      <c r="J40" s="203">
        <v>52018</v>
      </c>
      <c r="K40" s="159">
        <v>2496583.33</v>
      </c>
    </row>
    <row r="41" spans="2:11" x14ac:dyDescent="0.25">
      <c r="B41" s="203">
        <v>52383</v>
      </c>
      <c r="C41" s="159">
        <v>3095514.58</v>
      </c>
      <c r="D41"/>
      <c r="E41" s="203">
        <v>52383</v>
      </c>
      <c r="F41" s="159">
        <v>2597047.5</v>
      </c>
      <c r="G41" s="159">
        <v>1230437.5</v>
      </c>
      <c r="H41" s="159">
        <f t="shared" si="9"/>
        <v>3827485</v>
      </c>
      <c r="J41" s="203">
        <v>52383</v>
      </c>
      <c r="K41" s="159">
        <v>2496616.67</v>
      </c>
    </row>
    <row r="42" spans="2:11" x14ac:dyDescent="0.25">
      <c r="B42" s="203">
        <v>52749</v>
      </c>
      <c r="C42" s="159">
        <v>3102764.58</v>
      </c>
      <c r="D42"/>
      <c r="E42" s="203">
        <v>52749</v>
      </c>
      <c r="F42" s="159">
        <v>2599617.5</v>
      </c>
      <c r="G42" s="159">
        <v>1229583.33</v>
      </c>
      <c r="H42" s="159">
        <f t="shared" si="9"/>
        <v>3829200.83</v>
      </c>
      <c r="J42" s="203">
        <v>52749</v>
      </c>
      <c r="K42" s="159">
        <v>2493850</v>
      </c>
    </row>
    <row r="43" spans="2:11" x14ac:dyDescent="0.25">
      <c r="B43" s="203">
        <v>53114</v>
      </c>
      <c r="C43" s="159">
        <v>3103573.96</v>
      </c>
      <c r="D43"/>
      <c r="E43" s="203">
        <v>53114</v>
      </c>
      <c r="F43" s="159">
        <v>2602036.88</v>
      </c>
      <c r="G43" s="159">
        <v>1231562.5</v>
      </c>
      <c r="H43" s="159">
        <f t="shared" si="9"/>
        <v>3833599.38</v>
      </c>
      <c r="J43" s="203">
        <v>53114</v>
      </c>
      <c r="K43" s="159">
        <v>2492866.67</v>
      </c>
    </row>
    <row r="44" spans="2:11" x14ac:dyDescent="0.25">
      <c r="B44" s="203">
        <v>53479</v>
      </c>
      <c r="C44" s="159">
        <v>3110370.83</v>
      </c>
      <c r="D44"/>
      <c r="E44" s="203">
        <v>53479</v>
      </c>
      <c r="F44" s="159">
        <v>2607748.13</v>
      </c>
      <c r="G44" s="159">
        <v>1227395.83</v>
      </c>
      <c r="H44" s="159">
        <f t="shared" si="9"/>
        <v>3835143.96</v>
      </c>
      <c r="J44" s="203">
        <v>53479</v>
      </c>
      <c r="K44" s="159">
        <v>2493900</v>
      </c>
    </row>
    <row r="45" spans="2:11" x14ac:dyDescent="0.25">
      <c r="B45" s="203">
        <v>53844</v>
      </c>
      <c r="C45" s="159">
        <v>3114447.92</v>
      </c>
      <c r="D45"/>
      <c r="E45" s="203">
        <v>53844</v>
      </c>
      <c r="F45" s="159">
        <v>2609963.13</v>
      </c>
      <c r="G45" s="159">
        <v>1230208.33</v>
      </c>
      <c r="H45" s="159">
        <f t="shared" si="9"/>
        <v>3840171.46</v>
      </c>
      <c r="J45" s="203">
        <v>53844</v>
      </c>
      <c r="K45" s="159">
        <v>2492166.67</v>
      </c>
    </row>
    <row r="46" spans="2:11" x14ac:dyDescent="0.25">
      <c r="B46" s="203">
        <v>54210</v>
      </c>
      <c r="C46" s="159">
        <v>3119219.79</v>
      </c>
      <c r="D46"/>
      <c r="E46" s="203">
        <v>54210</v>
      </c>
      <c r="F46" s="159">
        <v>2613528.13</v>
      </c>
      <c r="G46" s="159">
        <v>1227062.5</v>
      </c>
      <c r="H46" s="159">
        <f t="shared" si="9"/>
        <v>3840590.63</v>
      </c>
      <c r="J46" s="203">
        <v>54210</v>
      </c>
      <c r="K46" s="159">
        <v>2491816.67</v>
      </c>
    </row>
    <row r="47" spans="2:11" x14ac:dyDescent="0.25">
      <c r="B47" s="203">
        <v>54575</v>
      </c>
      <c r="C47" s="159">
        <v>259968.75</v>
      </c>
      <c r="D47"/>
      <c r="E47" s="203">
        <v>54575</v>
      </c>
      <c r="F47" s="159">
        <v>2616731.88</v>
      </c>
      <c r="G47" s="159">
        <v>1230645.83</v>
      </c>
      <c r="H47" s="159">
        <f t="shared" si="9"/>
        <v>3847377.71</v>
      </c>
      <c r="J47" s="203">
        <v>54575</v>
      </c>
      <c r="K47" s="159">
        <v>2493083.33</v>
      </c>
    </row>
    <row r="48" spans="2:11" x14ac:dyDescent="0.25">
      <c r="B48" s="203"/>
      <c r="C48" s="159"/>
      <c r="D48"/>
      <c r="E48" s="203">
        <v>54940</v>
      </c>
      <c r="F48" s="159">
        <v>2621690</v>
      </c>
      <c r="G48" s="159">
        <v>1228020.83</v>
      </c>
      <c r="H48" s="159">
        <f t="shared" si="9"/>
        <v>3849710.83</v>
      </c>
      <c r="J48" s="203">
        <v>54940</v>
      </c>
      <c r="K48" s="159">
        <v>2495766.67</v>
      </c>
    </row>
    <row r="49" spans="1:11" x14ac:dyDescent="0.25">
      <c r="B49" s="203"/>
      <c r="C49" s="159"/>
      <c r="D49"/>
      <c r="E49" s="203">
        <v>55305</v>
      </c>
      <c r="F49" s="159">
        <v>2625364.38</v>
      </c>
      <c r="G49" s="159">
        <v>1227291.67</v>
      </c>
      <c r="H49" s="159">
        <f t="shared" si="9"/>
        <v>3852656.05</v>
      </c>
      <c r="J49" s="203">
        <v>55305</v>
      </c>
      <c r="K49" s="159">
        <v>208000</v>
      </c>
    </row>
    <row r="50" spans="1:11" x14ac:dyDescent="0.25">
      <c r="B50" s="203"/>
      <c r="C50" s="159"/>
      <c r="D50"/>
      <c r="E50" s="203">
        <v>55671</v>
      </c>
      <c r="F50" s="159">
        <v>2629870.63</v>
      </c>
      <c r="G50" s="159">
        <v>1229083.33</v>
      </c>
      <c r="H50" s="159">
        <f t="shared" si="9"/>
        <v>3858953.96</v>
      </c>
      <c r="J50" s="203"/>
      <c r="K50" s="159"/>
    </row>
    <row r="51" spans="1:11" x14ac:dyDescent="0.25">
      <c r="B51"/>
      <c r="C51" s="159"/>
      <c r="D51"/>
      <c r="E51" s="203">
        <v>56036</v>
      </c>
      <c r="F51" s="159">
        <v>2632170.63</v>
      </c>
      <c r="G51" s="159">
        <v>1228562.5</v>
      </c>
      <c r="H51" s="159">
        <f t="shared" si="9"/>
        <v>3860733.13</v>
      </c>
      <c r="K51" s="159"/>
    </row>
    <row r="52" spans="1:11" x14ac:dyDescent="0.25">
      <c r="B52"/>
      <c r="C52" s="159"/>
      <c r="D52"/>
      <c r="E52" s="203">
        <v>56401</v>
      </c>
      <c r="F52" s="159">
        <v>658130</v>
      </c>
      <c r="G52" s="159">
        <v>102375</v>
      </c>
      <c r="H52" s="159">
        <f t="shared" si="9"/>
        <v>760505</v>
      </c>
      <c r="K52" s="159"/>
    </row>
    <row r="53" spans="1:11" x14ac:dyDescent="0.25">
      <c r="B53"/>
      <c r="C53" s="159"/>
      <c r="D53"/>
      <c r="E53"/>
      <c r="F53" s="159"/>
      <c r="G53" s="159"/>
      <c r="H53" s="159"/>
      <c r="K53" s="159"/>
    </row>
    <row r="54" spans="1:11" x14ac:dyDescent="0.25">
      <c r="B54"/>
      <c r="C54" s="159"/>
      <c r="D54"/>
      <c r="E54"/>
      <c r="F54" s="159"/>
      <c r="G54" s="159"/>
      <c r="H54" s="159"/>
      <c r="K54" s="159"/>
    </row>
    <row r="55" spans="1:11" x14ac:dyDescent="0.25">
      <c r="B55"/>
      <c r="C55" s="159"/>
      <c r="D55"/>
      <c r="E55"/>
      <c r="F55" s="159"/>
      <c r="G55" s="159"/>
      <c r="H55" s="159"/>
      <c r="K55" s="159"/>
    </row>
    <row r="56" spans="1:11" x14ac:dyDescent="0.25">
      <c r="B56"/>
      <c r="C56" s="159"/>
      <c r="D56"/>
      <c r="E56"/>
      <c r="F56" s="159"/>
      <c r="G56" s="159"/>
      <c r="H56" s="159"/>
      <c r="K56" s="159"/>
    </row>
    <row r="57" spans="1:11" x14ac:dyDescent="0.25">
      <c r="B57" s="205" t="s">
        <v>350</v>
      </c>
      <c r="C57" s="206">
        <f>SUM(C16:C50)</f>
        <v>89773021.939999998</v>
      </c>
      <c r="D57"/>
      <c r="E57" s="205" t="s">
        <v>350</v>
      </c>
      <c r="F57" s="206">
        <f>SUM(F16:F52)</f>
        <v>82900802.679999992</v>
      </c>
      <c r="G57" s="206">
        <f>SUM(G16:G52)</f>
        <v>38136339.089999989</v>
      </c>
      <c r="H57" s="206">
        <f>SUM(H16:H52)</f>
        <v>121037141.76999994</v>
      </c>
      <c r="J57" s="205" t="s">
        <v>350</v>
      </c>
      <c r="K57" s="206">
        <f>SUM(K16:K50)</f>
        <v>74162319.329999998</v>
      </c>
    </row>
    <row r="58" spans="1:11" x14ac:dyDescent="0.25">
      <c r="B58"/>
      <c r="C58" s="159"/>
      <c r="D58"/>
      <c r="E58"/>
      <c r="F58"/>
    </row>
    <row r="59" spans="1:11" x14ac:dyDescent="0.25">
      <c r="B59"/>
      <c r="C59" s="159"/>
      <c r="D59"/>
      <c r="E59"/>
      <c r="F59"/>
    </row>
    <row r="60" spans="1:11" x14ac:dyDescent="0.25">
      <c r="A60" s="175">
        <f>C60/C63</f>
        <v>0.32813905186515402</v>
      </c>
      <c r="B60" t="s">
        <v>238</v>
      </c>
      <c r="C60" s="158">
        <v>12423092.25</v>
      </c>
      <c r="D60" s="175">
        <v>1</v>
      </c>
      <c r="E60" t="s">
        <v>240</v>
      </c>
      <c r="F60" s="158"/>
      <c r="G60" s="158"/>
      <c r="H60" s="158"/>
      <c r="I60" s="175">
        <v>1</v>
      </c>
      <c r="J60" t="s">
        <v>208</v>
      </c>
      <c r="K60" s="158">
        <v>35849937</v>
      </c>
    </row>
    <row r="61" spans="1:11" x14ac:dyDescent="0.25">
      <c r="A61" s="175">
        <f>C61/C63</f>
        <v>0.31407726581503759</v>
      </c>
      <c r="B61" t="s">
        <v>215</v>
      </c>
      <c r="C61" s="158">
        <v>11890723.84</v>
      </c>
      <c r="D61"/>
      <c r="E61"/>
      <c r="F61" s="207"/>
      <c r="G61" s="207"/>
      <c r="H61" s="207"/>
    </row>
    <row r="62" spans="1:11" x14ac:dyDescent="0.25">
      <c r="A62" s="175">
        <f>C62/C63</f>
        <v>0.35778368231980845</v>
      </c>
      <c r="B62" t="s">
        <v>231</v>
      </c>
      <c r="C62" s="158">
        <v>13545415.17</v>
      </c>
      <c r="D62"/>
      <c r="E62"/>
      <c r="F62"/>
    </row>
    <row r="63" spans="1:11" x14ac:dyDescent="0.25">
      <c r="B63"/>
      <c r="C63" s="207">
        <f>SUM(C60:C62)</f>
        <v>37859231.259999998</v>
      </c>
      <c r="D63"/>
      <c r="E63"/>
      <c r="F63"/>
    </row>
    <row r="64" spans="1:11" x14ac:dyDescent="0.25">
      <c r="A64" s="208"/>
      <c r="B64"/>
      <c r="C64"/>
      <c r="D64"/>
      <c r="E64"/>
      <c r="F64"/>
    </row>
    <row r="65" spans="1:6" x14ac:dyDescent="0.25">
      <c r="A65" s="208"/>
      <c r="B65" s="208"/>
      <c r="C65" s="209"/>
      <c r="D65"/>
      <c r="E65"/>
      <c r="F65"/>
    </row>
  </sheetData>
  <mergeCells count="6">
    <mergeCell ref="B13:C13"/>
    <mergeCell ref="E13:H13"/>
    <mergeCell ref="J13:K13"/>
    <mergeCell ref="B14:C14"/>
    <mergeCell ref="E14:H14"/>
    <mergeCell ref="J14:K1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M28"/>
  <sheetViews>
    <sheetView zoomScale="75" zoomScaleNormal="75" workbookViewId="0">
      <selection activeCell="N40" sqref="N40"/>
    </sheetView>
  </sheetViews>
  <sheetFormatPr defaultRowHeight="15" x14ac:dyDescent="0.25"/>
  <cols>
    <col min="1" max="6" width="11.140625" customWidth="1"/>
    <col min="7" max="7" width="1.140625" style="189" customWidth="1"/>
    <col min="8" max="8" width="11.140625" bestFit="1" customWidth="1"/>
    <col min="9" max="9" width="10.140625" bestFit="1" customWidth="1"/>
    <col min="13" max="13" width="10.140625" customWidth="1"/>
  </cols>
  <sheetData>
    <row r="1" spans="1:13" ht="18.75" x14ac:dyDescent="0.3">
      <c r="A1" s="392" t="s">
        <v>351</v>
      </c>
      <c r="B1" s="392"/>
      <c r="C1" s="392"/>
      <c r="D1" s="392"/>
      <c r="E1" s="392"/>
      <c r="F1" s="392"/>
      <c r="H1" s="392" t="s">
        <v>352</v>
      </c>
      <c r="I1" s="392"/>
      <c r="J1" s="392"/>
      <c r="K1" s="392"/>
      <c r="L1" s="392"/>
      <c r="M1" s="392"/>
    </row>
    <row r="2" spans="1:13" ht="18.75" x14ac:dyDescent="0.3">
      <c r="A2" s="182"/>
      <c r="B2" s="391" t="s">
        <v>353</v>
      </c>
      <c r="C2" s="391"/>
      <c r="D2" s="391"/>
      <c r="E2" s="391"/>
      <c r="F2" s="391"/>
      <c r="H2" s="182"/>
      <c r="I2" s="391" t="s">
        <v>353</v>
      </c>
      <c r="J2" s="391"/>
      <c r="K2" s="391"/>
      <c r="L2" s="391"/>
      <c r="M2" s="391"/>
    </row>
    <row r="3" spans="1:13" ht="18.75" x14ac:dyDescent="0.3">
      <c r="A3" s="183"/>
      <c r="B3" s="184" t="s">
        <v>354</v>
      </c>
      <c r="C3" s="184" t="s">
        <v>355</v>
      </c>
      <c r="D3" s="184" t="s">
        <v>356</v>
      </c>
      <c r="E3" s="184" t="s">
        <v>357</v>
      </c>
      <c r="F3" s="184" t="s">
        <v>3</v>
      </c>
      <c r="H3" s="183"/>
      <c r="I3" s="184" t="s">
        <v>354</v>
      </c>
      <c r="J3" s="184" t="s">
        <v>355</v>
      </c>
      <c r="K3" s="184" t="s">
        <v>356</v>
      </c>
      <c r="L3" s="184" t="s">
        <v>357</v>
      </c>
      <c r="M3" s="184" t="s">
        <v>3</v>
      </c>
    </row>
    <row r="4" spans="1:13" ht="18.75" x14ac:dyDescent="0.3">
      <c r="A4" s="183" t="s">
        <v>358</v>
      </c>
      <c r="B4" s="185">
        <v>7197</v>
      </c>
      <c r="C4" s="185">
        <v>1634.62</v>
      </c>
      <c r="D4" s="185">
        <v>837.64</v>
      </c>
      <c r="E4" s="185">
        <v>240.87</v>
      </c>
      <c r="F4" s="185">
        <v>2755</v>
      </c>
      <c r="H4" s="183" t="s">
        <v>358</v>
      </c>
      <c r="I4" s="185">
        <v>6980.4</v>
      </c>
      <c r="J4" s="185">
        <v>1634.62</v>
      </c>
      <c r="K4" s="185">
        <v>837.64</v>
      </c>
      <c r="L4" s="185">
        <v>240.87</v>
      </c>
      <c r="M4" s="185">
        <v>2755</v>
      </c>
    </row>
    <row r="5" spans="1:13" ht="18.75" x14ac:dyDescent="0.3">
      <c r="A5" s="183" t="s">
        <v>359</v>
      </c>
      <c r="B5" s="185">
        <v>7293</v>
      </c>
      <c r="C5" s="185">
        <v>1668.51</v>
      </c>
      <c r="D5" s="185">
        <v>861.82</v>
      </c>
      <c r="E5" s="185">
        <v>247</v>
      </c>
      <c r="F5" s="186">
        <v>2600</v>
      </c>
      <c r="H5" s="183" t="s">
        <v>359</v>
      </c>
      <c r="I5" s="185">
        <v>7073.89</v>
      </c>
      <c r="J5" s="185">
        <v>1668.51</v>
      </c>
      <c r="K5" s="185">
        <v>861.82</v>
      </c>
      <c r="L5" s="185">
        <v>247</v>
      </c>
      <c r="M5" s="186" t="s">
        <v>360</v>
      </c>
    </row>
    <row r="6" spans="1:13" ht="18.75" x14ac:dyDescent="0.3">
      <c r="A6" s="182"/>
      <c r="B6" s="182"/>
      <c r="C6" s="190">
        <f>C4/$B$4</f>
        <v>0.22712519105182713</v>
      </c>
      <c r="D6" s="190">
        <f t="shared" ref="D6:E6" si="0">D4/$B$4</f>
        <v>0.11638738363206892</v>
      </c>
      <c r="E6" s="190">
        <f t="shared" si="0"/>
        <v>3.3468111713213837E-2</v>
      </c>
      <c r="F6" s="182"/>
      <c r="H6" s="182"/>
      <c r="I6" s="182"/>
      <c r="J6" s="190">
        <f>J4/$I$4</f>
        <v>0.23417282677210474</v>
      </c>
      <c r="K6" s="190">
        <f t="shared" ref="K6:L6" si="1">K4/$I$4</f>
        <v>0.11999885393387198</v>
      </c>
      <c r="L6" s="190">
        <f t="shared" si="1"/>
        <v>3.4506618531889292E-2</v>
      </c>
      <c r="M6" s="192"/>
    </row>
    <row r="7" spans="1:13" ht="18.75" x14ac:dyDescent="0.3">
      <c r="A7" s="182"/>
      <c r="B7" s="182"/>
      <c r="C7" s="191">
        <f>C5/$B$5</f>
        <v>0.22878239407651171</v>
      </c>
      <c r="D7" s="191">
        <f t="shared" ref="D7:E7" si="2">D5/$B$5</f>
        <v>0.11817084875908405</v>
      </c>
      <c r="E7" s="191">
        <f t="shared" si="2"/>
        <v>3.3868092691622102E-2</v>
      </c>
      <c r="F7" s="182"/>
      <c r="H7" s="182"/>
      <c r="I7" s="182"/>
      <c r="J7" s="193">
        <f>J5/$I$5</f>
        <v>0.23586880768572877</v>
      </c>
      <c r="K7" s="193">
        <f t="shared" ref="K7" si="3">K5/$I$5</f>
        <v>0.12183112827595566</v>
      </c>
      <c r="L7" s="193">
        <f>L5/$I$5</f>
        <v>3.4917138943353652E-2</v>
      </c>
      <c r="M7" s="192"/>
    </row>
    <row r="8" spans="1:13" ht="18.75" x14ac:dyDescent="0.3">
      <c r="A8" s="183" t="s">
        <v>361</v>
      </c>
      <c r="B8" s="187">
        <f>B5-B4</f>
        <v>96</v>
      </c>
      <c r="C8" s="187">
        <f t="shared" ref="C8:E8" si="4">C5-C4</f>
        <v>33.8900000000001</v>
      </c>
      <c r="D8" s="187">
        <f t="shared" si="4"/>
        <v>24.180000000000064</v>
      </c>
      <c r="E8" s="187">
        <f t="shared" si="4"/>
        <v>6.1299999999999955</v>
      </c>
      <c r="F8" s="182"/>
      <c r="H8" s="183" t="s">
        <v>361</v>
      </c>
      <c r="I8" s="187">
        <f>I5-I4</f>
        <v>93.490000000000691</v>
      </c>
      <c r="J8" s="187">
        <f t="shared" ref="J8:L8" si="5">J5-J4</f>
        <v>33.8900000000001</v>
      </c>
      <c r="K8" s="187">
        <f t="shared" si="5"/>
        <v>24.180000000000064</v>
      </c>
      <c r="L8" s="187">
        <f t="shared" si="5"/>
        <v>6.1299999999999955</v>
      </c>
      <c r="M8" s="182"/>
    </row>
    <row r="9" spans="1:13" ht="18.75" x14ac:dyDescent="0.3">
      <c r="A9" s="183" t="s">
        <v>362</v>
      </c>
      <c r="B9" s="188">
        <f>B8/B4</f>
        <v>1.3338891204668612E-2</v>
      </c>
      <c r="C9" s="188">
        <f t="shared" ref="C9:E9" si="6">C8/C4</f>
        <v>2.0732647343113447E-2</v>
      </c>
      <c r="D9" s="188">
        <f t="shared" si="6"/>
        <v>2.8866816293395808E-2</v>
      </c>
      <c r="E9" s="188">
        <f t="shared" si="6"/>
        <v>2.5449412546186722E-2</v>
      </c>
      <c r="F9" s="182"/>
      <c r="H9" s="183" t="s">
        <v>362</v>
      </c>
      <c r="I9" s="188">
        <f>I8/I4</f>
        <v>1.3393215288522248E-2</v>
      </c>
      <c r="J9" s="188">
        <f t="shared" ref="J9:L9" si="7">J8/J4</f>
        <v>2.0732647343113447E-2</v>
      </c>
      <c r="K9" s="188">
        <f t="shared" si="7"/>
        <v>2.8866816293395808E-2</v>
      </c>
      <c r="L9" s="188">
        <f t="shared" si="7"/>
        <v>2.5449412546186722E-2</v>
      </c>
      <c r="M9" s="182"/>
    </row>
    <row r="10" spans="1:13" ht="18.75" x14ac:dyDescent="0.3">
      <c r="A10" s="182"/>
      <c r="B10" s="182"/>
      <c r="C10" s="182"/>
      <c r="D10" s="182"/>
      <c r="E10" s="182"/>
      <c r="F10" s="182"/>
      <c r="H10" s="182"/>
      <c r="I10" s="182"/>
      <c r="J10" s="182"/>
      <c r="K10" s="182"/>
      <c r="L10" s="182"/>
      <c r="M10" s="182"/>
    </row>
    <row r="11" spans="1:13" ht="18.75" x14ac:dyDescent="0.3">
      <c r="A11" s="183" t="s">
        <v>363</v>
      </c>
      <c r="B11" s="185">
        <f>B5*1.02</f>
        <v>7438.8600000000006</v>
      </c>
      <c r="C11" s="185">
        <f>J11</f>
        <v>1695.611433</v>
      </c>
      <c r="D11" s="185">
        <f>K11</f>
        <v>865.84413600000005</v>
      </c>
      <c r="E11" s="185">
        <f>L11</f>
        <v>252.53787300000005</v>
      </c>
      <c r="F11" s="186">
        <v>2500</v>
      </c>
      <c r="H11" s="183" t="s">
        <v>363</v>
      </c>
      <c r="I11" s="185">
        <f>I5*1.02</f>
        <v>7215.3678000000009</v>
      </c>
      <c r="J11" s="185">
        <f>I11*0.235</f>
        <v>1695.611433</v>
      </c>
      <c r="K11" s="185">
        <f>I11*0.12</f>
        <v>865.84413600000005</v>
      </c>
      <c r="L11" s="185">
        <f>I11*0.035</f>
        <v>252.53787300000005</v>
      </c>
      <c r="M11" s="186">
        <v>2500</v>
      </c>
    </row>
    <row r="12" spans="1:13" x14ac:dyDescent="0.25">
      <c r="A12" s="194" t="s">
        <v>361</v>
      </c>
      <c r="B12" s="195">
        <f>B11-B5</f>
        <v>145.86000000000058</v>
      </c>
      <c r="C12" s="195">
        <f t="shared" ref="C12" si="8">C11-C5</f>
        <v>27.101433000000043</v>
      </c>
      <c r="D12" s="195">
        <f t="shared" ref="D12" si="9">D11-D5</f>
        <v>4.0241359999999986</v>
      </c>
      <c r="E12" s="195">
        <f t="shared" ref="E12" si="10">E11-E5</f>
        <v>5.5378730000000473</v>
      </c>
      <c r="H12" s="194" t="s">
        <v>361</v>
      </c>
      <c r="I12" s="195">
        <f>I11-I5</f>
        <v>141.47780000000057</v>
      </c>
      <c r="J12" s="195">
        <f t="shared" ref="J12:L12" si="11">J11-J5</f>
        <v>27.101433000000043</v>
      </c>
      <c r="K12" s="195">
        <f t="shared" si="11"/>
        <v>4.0241359999999986</v>
      </c>
      <c r="L12" s="195">
        <f t="shared" si="11"/>
        <v>5.5378730000000473</v>
      </c>
    </row>
    <row r="13" spans="1:13" x14ac:dyDescent="0.25">
      <c r="A13" s="194" t="s">
        <v>362</v>
      </c>
      <c r="B13" s="196">
        <f>B12/B5</f>
        <v>2.000000000000008E-2</v>
      </c>
      <c r="C13" s="196">
        <f t="shared" ref="C13" si="12">C12/C5</f>
        <v>1.6242895157955326E-2</v>
      </c>
      <c r="D13" s="196">
        <f t="shared" ref="D13" si="13">D12/D5</f>
        <v>4.6693462672019658E-3</v>
      </c>
      <c r="E13" s="196">
        <f t="shared" ref="E13" si="14">E12/E5</f>
        <v>2.2420538461538655E-2</v>
      </c>
      <c r="H13" s="194" t="s">
        <v>362</v>
      </c>
      <c r="I13" s="196">
        <f>I12/I5</f>
        <v>2.000000000000008E-2</v>
      </c>
      <c r="J13" s="196">
        <f t="shared" ref="J13:L13" si="15">J12/J5</f>
        <v>1.6242895157955326E-2</v>
      </c>
      <c r="K13" s="196">
        <f t="shared" si="15"/>
        <v>4.6693462672019658E-3</v>
      </c>
      <c r="L13" s="196">
        <f t="shared" si="15"/>
        <v>2.2420538461538655E-2</v>
      </c>
    </row>
    <row r="16" spans="1:13" ht="18.75" x14ac:dyDescent="0.3">
      <c r="A16" s="183" t="s">
        <v>364</v>
      </c>
      <c r="B16" s="185">
        <f>B11*1.013</f>
        <v>7535.5651799999996</v>
      </c>
      <c r="C16" s="185">
        <f>B16*0.235</f>
        <v>1770.8578172999999</v>
      </c>
      <c r="D16" s="185">
        <f>B16*0.12</f>
        <v>904.26782159999993</v>
      </c>
      <c r="E16" s="185">
        <f>B16*0.035</f>
        <v>263.7447813</v>
      </c>
      <c r="F16" s="186">
        <v>2500</v>
      </c>
      <c r="H16" s="183" t="s">
        <v>364</v>
      </c>
      <c r="I16" s="185">
        <f>I11*1.013</f>
        <v>7309.1675814</v>
      </c>
      <c r="J16" s="185">
        <f>I16*0.235</f>
        <v>1717.654381629</v>
      </c>
      <c r="K16" s="185">
        <f>I16*0.12</f>
        <v>877.10010976799992</v>
      </c>
      <c r="L16" s="185">
        <f>I16*0.035</f>
        <v>255.82086534900003</v>
      </c>
      <c r="M16" s="186">
        <v>2500</v>
      </c>
    </row>
    <row r="17" spans="1:13" x14ac:dyDescent="0.25">
      <c r="A17" s="194" t="s">
        <v>361</v>
      </c>
      <c r="B17" s="195">
        <f>B16-B11</f>
        <v>96.705179999999018</v>
      </c>
      <c r="C17" s="195">
        <f t="shared" ref="C17:E17" si="16">C16-C11</f>
        <v>75.246384299999818</v>
      </c>
      <c r="D17" s="195">
        <f t="shared" si="16"/>
        <v>38.423685599999885</v>
      </c>
      <c r="E17" s="195">
        <f t="shared" si="16"/>
        <v>11.206908299999952</v>
      </c>
      <c r="H17" s="194" t="s">
        <v>361</v>
      </c>
      <c r="I17" s="195">
        <f>I16-I11</f>
        <v>93.799781399999119</v>
      </c>
      <c r="J17" s="195">
        <f t="shared" ref="J17:L17" si="17">J16-J11</f>
        <v>22.042948628999966</v>
      </c>
      <c r="K17" s="195">
        <f t="shared" si="17"/>
        <v>11.255973767999876</v>
      </c>
      <c r="L17" s="195">
        <f t="shared" si="17"/>
        <v>3.2829923489999828</v>
      </c>
    </row>
    <row r="18" spans="1:13" x14ac:dyDescent="0.25">
      <c r="A18" s="194" t="s">
        <v>362</v>
      </c>
      <c r="B18" s="196">
        <f>B17/B11</f>
        <v>1.2999999999999868E-2</v>
      </c>
      <c r="C18" s="196">
        <f t="shared" ref="C18:E18" si="18">C17/C11</f>
        <v>4.4377139028172509E-2</v>
      </c>
      <c r="D18" s="196">
        <f t="shared" si="18"/>
        <v>4.4377139028172481E-2</v>
      </c>
      <c r="E18" s="196">
        <f t="shared" si="18"/>
        <v>4.4377139028172419E-2</v>
      </c>
      <c r="H18" s="194" t="s">
        <v>362</v>
      </c>
      <c r="I18" s="196">
        <f>I17/I11</f>
        <v>1.2999999999999876E-2</v>
      </c>
      <c r="J18" s="196">
        <f t="shared" ref="J18:L18" si="19">J17/J11</f>
        <v>1.299999999999998E-2</v>
      </c>
      <c r="K18" s="196">
        <f t="shared" si="19"/>
        <v>1.2999999999999855E-2</v>
      </c>
      <c r="L18" s="196">
        <f t="shared" si="19"/>
        <v>1.299999999999993E-2</v>
      </c>
    </row>
    <row r="21" spans="1:13" ht="18.75" x14ac:dyDescent="0.3">
      <c r="A21" s="183" t="s">
        <v>365</v>
      </c>
      <c r="B21" s="185">
        <f>B16*1.013</f>
        <v>7633.5275273399984</v>
      </c>
      <c r="C21" s="185">
        <f>B21*0.235</f>
        <v>1793.8789689248995</v>
      </c>
      <c r="D21" s="185">
        <f>B21*0.12</f>
        <v>916.02330328079972</v>
      </c>
      <c r="E21" s="185">
        <f>B21*0.035</f>
        <v>267.17346345689998</v>
      </c>
      <c r="F21" s="186">
        <v>2550</v>
      </c>
      <c r="H21" s="183" t="s">
        <v>365</v>
      </c>
      <c r="I21" s="185">
        <f>I16*1.013</f>
        <v>7404.1867599581992</v>
      </c>
      <c r="J21" s="185">
        <f>I21*0.235</f>
        <v>1739.9838885901768</v>
      </c>
      <c r="K21" s="185">
        <f>I21*0.12</f>
        <v>888.50241119498389</v>
      </c>
      <c r="L21" s="185">
        <f>I21*0.035</f>
        <v>259.14653659853701</v>
      </c>
      <c r="M21" s="186">
        <v>2550</v>
      </c>
    </row>
    <row r="22" spans="1:13" x14ac:dyDescent="0.25">
      <c r="A22" s="194" t="s">
        <v>361</v>
      </c>
      <c r="B22" s="195">
        <f>B21-B16</f>
        <v>97.962347339998814</v>
      </c>
      <c r="C22" s="195">
        <f t="shared" ref="C22:E22" si="20">C21-C16</f>
        <v>23.02115162489963</v>
      </c>
      <c r="D22" s="195">
        <f t="shared" si="20"/>
        <v>11.75548168079979</v>
      </c>
      <c r="E22" s="195">
        <f t="shared" si="20"/>
        <v>3.4286821568999812</v>
      </c>
      <c r="H22" s="194" t="s">
        <v>361</v>
      </c>
      <c r="I22" s="195">
        <f>I21-I16</f>
        <v>95.019178558199201</v>
      </c>
      <c r="J22" s="195">
        <f t="shared" ref="J22" si="21">J21-J16</f>
        <v>22.329506961176776</v>
      </c>
      <c r="K22" s="195">
        <f t="shared" ref="K22" si="22">K21-K16</f>
        <v>11.402301426983968</v>
      </c>
      <c r="L22" s="195">
        <f t="shared" ref="L22" si="23">L21-L16</f>
        <v>3.3256712495369811</v>
      </c>
    </row>
    <row r="23" spans="1:13" x14ac:dyDescent="0.25">
      <c r="A23" s="194" t="s">
        <v>362</v>
      </c>
      <c r="B23" s="196">
        <f>B22/B16</f>
        <v>1.2999999999999843E-2</v>
      </c>
      <c r="C23" s="196">
        <f t="shared" ref="C23:E23" si="24">C22/C16</f>
        <v>1.2999999999999793E-2</v>
      </c>
      <c r="D23" s="196">
        <f t="shared" si="24"/>
        <v>1.2999999999999769E-2</v>
      </c>
      <c r="E23" s="196">
        <f t="shared" si="24"/>
        <v>1.2999999999999928E-2</v>
      </c>
      <c r="H23" s="194" t="s">
        <v>362</v>
      </c>
      <c r="I23" s="196">
        <f>I22/I16</f>
        <v>1.299999999999989E-2</v>
      </c>
      <c r="J23" s="196">
        <f t="shared" ref="J23" si="25">J22/J16</f>
        <v>1.2999999999999869E-2</v>
      </c>
      <c r="K23" s="196">
        <f t="shared" ref="K23" si="26">K22/K16</f>
        <v>1.2999999999999965E-2</v>
      </c>
      <c r="L23" s="196">
        <f t="shared" ref="L23" si="27">L22/L16</f>
        <v>1.2999999999999925E-2</v>
      </c>
    </row>
    <row r="26" spans="1:13" ht="18.75" x14ac:dyDescent="0.3">
      <c r="A26" s="183" t="s">
        <v>366</v>
      </c>
      <c r="B26" s="185">
        <f>B21*1.013</f>
        <v>7732.7633851954179</v>
      </c>
      <c r="C26" s="185">
        <f>B26*0.235</f>
        <v>1817.1993955209232</v>
      </c>
      <c r="D26" s="185">
        <f>B26*0.12</f>
        <v>927.9316062234501</v>
      </c>
      <c r="E26" s="185">
        <f>B26*0.035</f>
        <v>270.64671848183963</v>
      </c>
      <c r="F26" s="186">
        <v>2600</v>
      </c>
      <c r="H26" s="183" t="s">
        <v>366</v>
      </c>
      <c r="I26" s="185">
        <f>I21*1.013</f>
        <v>7500.441187837655</v>
      </c>
      <c r="J26" s="185">
        <f>I26*0.235</f>
        <v>1762.6036791418487</v>
      </c>
      <c r="K26" s="185">
        <f>I26*0.12</f>
        <v>900.05294254051853</v>
      </c>
      <c r="L26" s="185">
        <f>I26*0.035</f>
        <v>262.51544157431795</v>
      </c>
      <c r="M26" s="186">
        <v>2600</v>
      </c>
    </row>
    <row r="27" spans="1:13" x14ac:dyDescent="0.25">
      <c r="A27" s="194" t="s">
        <v>361</v>
      </c>
      <c r="B27" s="195">
        <f>B26-B21</f>
        <v>99.235857855419454</v>
      </c>
      <c r="C27" s="195">
        <f t="shared" ref="C27:E27" si="28">C26-C21</f>
        <v>23.320426596023708</v>
      </c>
      <c r="D27" s="195">
        <f t="shared" si="28"/>
        <v>11.90830294265038</v>
      </c>
      <c r="E27" s="195">
        <f t="shared" si="28"/>
        <v>3.4732550249396468</v>
      </c>
      <c r="H27" s="194" t="s">
        <v>361</v>
      </c>
      <c r="I27" s="195">
        <f>I26-I21</f>
        <v>96.254427879455761</v>
      </c>
      <c r="J27" s="195">
        <f t="shared" ref="J27" si="29">J26-J21</f>
        <v>22.61979055167194</v>
      </c>
      <c r="K27" s="195">
        <f t="shared" ref="K27" si="30">K26-K21</f>
        <v>11.550531345534637</v>
      </c>
      <c r="L27" s="195">
        <f t="shared" ref="L27" si="31">L26-L21</f>
        <v>3.3689049757809357</v>
      </c>
    </row>
    <row r="28" spans="1:13" x14ac:dyDescent="0.25">
      <c r="A28" s="194" t="s">
        <v>362</v>
      </c>
      <c r="B28" s="196">
        <f>B27/B21</f>
        <v>1.2999999999999932E-2</v>
      </c>
      <c r="C28" s="196">
        <f t="shared" ref="C28:E28" si="32">C27/C21</f>
        <v>1.3000000000000008E-2</v>
      </c>
      <c r="D28" s="196">
        <f t="shared" si="32"/>
        <v>1.2999999999999982E-2</v>
      </c>
      <c r="E28" s="196">
        <f t="shared" si="32"/>
        <v>1.2999999999999802E-2</v>
      </c>
      <c r="H28" s="194" t="s">
        <v>362</v>
      </c>
      <c r="I28" s="196">
        <f>I27/I21</f>
        <v>1.2999999999999888E-2</v>
      </c>
      <c r="J28" s="196">
        <f t="shared" ref="J28" si="33">J27/J21</f>
        <v>1.2999999999999795E-2</v>
      </c>
      <c r="K28" s="196">
        <f t="shared" ref="K28" si="34">K27/K21</f>
        <v>1.2999999999999828E-2</v>
      </c>
      <c r="L28" s="196">
        <f t="shared" ref="L28" si="35">L27/L21</f>
        <v>1.2999999999999824E-2</v>
      </c>
    </row>
  </sheetData>
  <mergeCells count="4">
    <mergeCell ref="B2:F2"/>
    <mergeCell ref="A1:F1"/>
    <mergeCell ref="H1:M1"/>
    <mergeCell ref="I2:M2"/>
  </mergeCells>
  <pageMargins left="0.7" right="0.7" top="0.75" bottom="0.75" header="0.3" footer="0.3"/>
  <pageSetup scale="7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89"/>
  <sheetViews>
    <sheetView zoomScale="75" zoomScaleNormal="75" workbookViewId="0">
      <selection activeCell="AA37" sqref="AA37"/>
    </sheetView>
  </sheetViews>
  <sheetFormatPr defaultRowHeight="15" x14ac:dyDescent="0.25"/>
  <sheetData>
    <row r="1" spans="1:26" x14ac:dyDescent="0.25">
      <c r="B1" s="393" t="s">
        <v>222</v>
      </c>
      <c r="C1" s="393"/>
      <c r="D1" s="393"/>
      <c r="E1" s="393"/>
      <c r="F1" s="393"/>
      <c r="G1" s="393"/>
      <c r="H1" s="393"/>
      <c r="K1" s="393" t="s">
        <v>215</v>
      </c>
      <c r="L1" s="393"/>
      <c r="M1" s="393"/>
      <c r="N1" s="393"/>
      <c r="O1" s="393"/>
      <c r="P1" s="393"/>
      <c r="Q1" s="393"/>
      <c r="T1" s="393" t="s">
        <v>258</v>
      </c>
      <c r="U1" s="393"/>
      <c r="V1" s="393"/>
      <c r="W1" s="393"/>
      <c r="X1" s="393"/>
      <c r="Y1" s="393"/>
      <c r="Z1" s="393"/>
    </row>
    <row r="2" spans="1:26" x14ac:dyDescent="0.25">
      <c r="B2" s="215" t="s">
        <v>224</v>
      </c>
      <c r="C2" s="215" t="s">
        <v>225</v>
      </c>
      <c r="D2" s="215" t="s">
        <v>338</v>
      </c>
      <c r="E2" s="215" t="s">
        <v>339</v>
      </c>
      <c r="F2" s="215" t="s">
        <v>340</v>
      </c>
      <c r="G2" s="215" t="s">
        <v>341</v>
      </c>
      <c r="H2" s="215" t="s">
        <v>342</v>
      </c>
      <c r="K2" s="215" t="s">
        <v>224</v>
      </c>
      <c r="L2" s="215" t="s">
        <v>225</v>
      </c>
      <c r="M2" s="215" t="s">
        <v>338</v>
      </c>
      <c r="N2" s="215" t="s">
        <v>339</v>
      </c>
      <c r="O2" s="215" t="s">
        <v>340</v>
      </c>
      <c r="P2" s="215" t="s">
        <v>341</v>
      </c>
      <c r="Q2" s="215" t="s">
        <v>342</v>
      </c>
      <c r="T2" s="215" t="s">
        <v>224</v>
      </c>
      <c r="U2" s="215" t="s">
        <v>225</v>
      </c>
      <c r="V2" s="215" t="s">
        <v>338</v>
      </c>
      <c r="W2" s="215" t="s">
        <v>339</v>
      </c>
      <c r="X2" s="215" t="s">
        <v>340</v>
      </c>
      <c r="Y2" s="215" t="s">
        <v>341</v>
      </c>
      <c r="Z2" s="215" t="s">
        <v>342</v>
      </c>
    </row>
    <row r="3" spans="1:26" x14ac:dyDescent="0.25">
      <c r="A3" s="216" t="s">
        <v>9</v>
      </c>
      <c r="B3" s="11">
        <v>125</v>
      </c>
      <c r="C3" s="11">
        <v>125</v>
      </c>
      <c r="D3" s="11">
        <v>125</v>
      </c>
      <c r="E3" s="11">
        <v>125</v>
      </c>
      <c r="F3" s="11">
        <v>125</v>
      </c>
      <c r="G3" s="11">
        <v>125</v>
      </c>
      <c r="H3" s="11">
        <v>125</v>
      </c>
      <c r="J3" s="216" t="s">
        <v>9</v>
      </c>
      <c r="K3" s="11">
        <f>25*4</f>
        <v>100</v>
      </c>
      <c r="L3" s="11">
        <f t="shared" ref="L3:Q4" si="0">25*4</f>
        <v>100</v>
      </c>
      <c r="M3" s="11">
        <f t="shared" si="0"/>
        <v>100</v>
      </c>
      <c r="N3" s="11">
        <f t="shared" si="0"/>
        <v>100</v>
      </c>
      <c r="O3" s="11">
        <f t="shared" si="0"/>
        <v>100</v>
      </c>
      <c r="P3" s="11">
        <f t="shared" si="0"/>
        <v>100</v>
      </c>
      <c r="Q3" s="11">
        <f t="shared" si="0"/>
        <v>100</v>
      </c>
      <c r="S3" s="216" t="s">
        <v>9</v>
      </c>
      <c r="T3" s="11"/>
      <c r="U3" s="11"/>
      <c r="V3" s="11">
        <f t="shared" ref="V3:Z8" si="1">25*4</f>
        <v>100</v>
      </c>
      <c r="W3" s="11">
        <f t="shared" si="1"/>
        <v>100</v>
      </c>
      <c r="X3" s="11">
        <f t="shared" si="1"/>
        <v>100</v>
      </c>
      <c r="Y3" s="11">
        <f t="shared" si="1"/>
        <v>100</v>
      </c>
      <c r="Z3" s="11">
        <f t="shared" si="1"/>
        <v>100</v>
      </c>
    </row>
    <row r="4" spans="1:26" x14ac:dyDescent="0.25">
      <c r="A4" s="216" t="s">
        <v>367</v>
      </c>
      <c r="B4" s="11">
        <v>125</v>
      </c>
      <c r="C4" s="11">
        <v>125</v>
      </c>
      <c r="D4" s="11">
        <v>125</v>
      </c>
      <c r="E4" s="11">
        <v>125</v>
      </c>
      <c r="F4" s="11">
        <v>125</v>
      </c>
      <c r="G4" s="11">
        <v>125</v>
      </c>
      <c r="H4" s="11">
        <v>125</v>
      </c>
      <c r="J4" s="216" t="s">
        <v>367</v>
      </c>
      <c r="K4" s="11">
        <f>25*4</f>
        <v>100</v>
      </c>
      <c r="L4" s="11">
        <f t="shared" si="0"/>
        <v>100</v>
      </c>
      <c r="M4" s="11">
        <f t="shared" si="0"/>
        <v>100</v>
      </c>
      <c r="N4" s="11">
        <f t="shared" si="0"/>
        <v>100</v>
      </c>
      <c r="O4" s="11">
        <f t="shared" si="0"/>
        <v>100</v>
      </c>
      <c r="P4" s="11">
        <f t="shared" si="0"/>
        <v>100</v>
      </c>
      <c r="Q4" s="11">
        <f t="shared" si="0"/>
        <v>100</v>
      </c>
      <c r="S4" s="216" t="s">
        <v>367</v>
      </c>
      <c r="T4" s="11"/>
      <c r="U4" s="11"/>
      <c r="V4" s="11">
        <f t="shared" si="1"/>
        <v>100</v>
      </c>
      <c r="W4" s="11">
        <f t="shared" si="1"/>
        <v>100</v>
      </c>
      <c r="X4" s="11">
        <f t="shared" si="1"/>
        <v>100</v>
      </c>
      <c r="Y4" s="11">
        <f t="shared" si="1"/>
        <v>100</v>
      </c>
      <c r="Z4" s="11">
        <f t="shared" si="1"/>
        <v>100</v>
      </c>
    </row>
    <row r="5" spans="1:26" x14ac:dyDescent="0.25">
      <c r="A5" s="216" t="s">
        <v>368</v>
      </c>
      <c r="B5" s="11">
        <f>26*6</f>
        <v>156</v>
      </c>
      <c r="C5" s="11">
        <f>26*5</f>
        <v>130</v>
      </c>
      <c r="D5" s="11">
        <f>26*5</f>
        <v>130</v>
      </c>
      <c r="E5" s="11">
        <f t="shared" ref="E5:H5" si="2">26*5</f>
        <v>130</v>
      </c>
      <c r="F5" s="11">
        <f t="shared" si="2"/>
        <v>130</v>
      </c>
      <c r="G5" s="11">
        <f t="shared" si="2"/>
        <v>130</v>
      </c>
      <c r="H5" s="11">
        <f t="shared" si="2"/>
        <v>130</v>
      </c>
      <c r="J5" s="216" t="s">
        <v>368</v>
      </c>
      <c r="K5" s="11">
        <f>26*4</f>
        <v>104</v>
      </c>
      <c r="L5" s="11">
        <f t="shared" ref="L5:Q5" si="3">26*4</f>
        <v>104</v>
      </c>
      <c r="M5" s="11">
        <f t="shared" si="3"/>
        <v>104</v>
      </c>
      <c r="N5" s="11">
        <f t="shared" si="3"/>
        <v>104</v>
      </c>
      <c r="O5" s="11">
        <f t="shared" si="3"/>
        <v>104</v>
      </c>
      <c r="P5" s="11">
        <f t="shared" si="3"/>
        <v>104</v>
      </c>
      <c r="Q5" s="11">
        <f t="shared" si="3"/>
        <v>104</v>
      </c>
      <c r="S5" s="216" t="s">
        <v>368</v>
      </c>
      <c r="T5" s="11"/>
      <c r="U5" s="11"/>
      <c r="V5" s="11">
        <f t="shared" si="1"/>
        <v>100</v>
      </c>
      <c r="W5" s="11">
        <f t="shared" si="1"/>
        <v>100</v>
      </c>
      <c r="X5" s="11">
        <f t="shared" si="1"/>
        <v>100</v>
      </c>
      <c r="Y5" s="11">
        <f t="shared" si="1"/>
        <v>100</v>
      </c>
      <c r="Z5" s="11">
        <f t="shared" si="1"/>
        <v>100</v>
      </c>
    </row>
    <row r="6" spans="1:26" x14ac:dyDescent="0.25">
      <c r="A6" s="216" t="s">
        <v>369</v>
      </c>
      <c r="B6" s="11">
        <f>26*5</f>
        <v>130</v>
      </c>
      <c r="C6" s="11">
        <f>26*6</f>
        <v>156</v>
      </c>
      <c r="D6" s="11">
        <f t="shared" ref="D6:H6" si="4">26*5</f>
        <v>130</v>
      </c>
      <c r="E6" s="11">
        <f t="shared" si="4"/>
        <v>130</v>
      </c>
      <c r="F6" s="11">
        <f t="shared" si="4"/>
        <v>130</v>
      </c>
      <c r="G6" s="11">
        <f t="shared" si="4"/>
        <v>130</v>
      </c>
      <c r="H6" s="11">
        <f t="shared" si="4"/>
        <v>130</v>
      </c>
      <c r="J6" s="216" t="s">
        <v>369</v>
      </c>
      <c r="K6" s="11">
        <f>26*4</f>
        <v>104</v>
      </c>
      <c r="L6" s="11">
        <f t="shared" ref="L6:Q7" si="5">27*4</f>
        <v>108</v>
      </c>
      <c r="M6" s="11">
        <f t="shared" si="5"/>
        <v>108</v>
      </c>
      <c r="N6" s="11">
        <f t="shared" si="5"/>
        <v>108</v>
      </c>
      <c r="O6" s="11">
        <f t="shared" si="5"/>
        <v>108</v>
      </c>
      <c r="P6" s="11">
        <f t="shared" si="5"/>
        <v>108</v>
      </c>
      <c r="Q6" s="11">
        <f t="shared" si="5"/>
        <v>108</v>
      </c>
      <c r="S6" s="216" t="s">
        <v>369</v>
      </c>
      <c r="T6" s="11"/>
      <c r="U6" s="11"/>
      <c r="V6" s="11">
        <f t="shared" si="1"/>
        <v>100</v>
      </c>
      <c r="W6" s="11">
        <f t="shared" si="1"/>
        <v>100</v>
      </c>
      <c r="X6" s="11">
        <f t="shared" si="1"/>
        <v>100</v>
      </c>
      <c r="Y6" s="11">
        <f t="shared" si="1"/>
        <v>100</v>
      </c>
      <c r="Z6" s="11">
        <f t="shared" si="1"/>
        <v>100</v>
      </c>
    </row>
    <row r="7" spans="1:26" x14ac:dyDescent="0.25">
      <c r="A7" s="216" t="s">
        <v>370</v>
      </c>
      <c r="B7" s="11">
        <f>26*5</f>
        <v>130</v>
      </c>
      <c r="C7" s="11">
        <f>27*5</f>
        <v>135</v>
      </c>
      <c r="D7" s="11">
        <f t="shared" ref="D7:H8" si="6">27*5</f>
        <v>135</v>
      </c>
      <c r="E7" s="11">
        <f t="shared" si="6"/>
        <v>135</v>
      </c>
      <c r="F7" s="11">
        <f t="shared" si="6"/>
        <v>135</v>
      </c>
      <c r="G7" s="11">
        <f t="shared" si="6"/>
        <v>135</v>
      </c>
      <c r="H7" s="11">
        <f t="shared" si="6"/>
        <v>135</v>
      </c>
      <c r="J7" s="216" t="s">
        <v>370</v>
      </c>
      <c r="K7" s="11">
        <f>27*4</f>
        <v>108</v>
      </c>
      <c r="L7" s="11">
        <f t="shared" si="5"/>
        <v>108</v>
      </c>
      <c r="M7" s="11">
        <f t="shared" si="5"/>
        <v>108</v>
      </c>
      <c r="N7" s="11">
        <f t="shared" si="5"/>
        <v>108</v>
      </c>
      <c r="O7" s="11">
        <f t="shared" si="5"/>
        <v>108</v>
      </c>
      <c r="P7" s="11">
        <f t="shared" si="5"/>
        <v>108</v>
      </c>
      <c r="Q7" s="11">
        <f t="shared" si="5"/>
        <v>108</v>
      </c>
      <c r="S7" s="216" t="s">
        <v>370</v>
      </c>
      <c r="T7" s="11"/>
      <c r="U7" s="11"/>
      <c r="V7" s="11">
        <f>25*3</f>
        <v>75</v>
      </c>
      <c r="W7" s="11">
        <f t="shared" si="1"/>
        <v>100</v>
      </c>
      <c r="X7" s="11">
        <f t="shared" si="1"/>
        <v>100</v>
      </c>
      <c r="Y7" s="11">
        <f t="shared" si="1"/>
        <v>100</v>
      </c>
      <c r="Z7" s="11">
        <f t="shared" si="1"/>
        <v>100</v>
      </c>
    </row>
    <row r="8" spans="1:26" x14ac:dyDescent="0.25">
      <c r="A8" s="216" t="s">
        <v>371</v>
      </c>
      <c r="B8" s="11">
        <f>26*5</f>
        <v>130</v>
      </c>
      <c r="C8" s="11">
        <f>27*5</f>
        <v>135</v>
      </c>
      <c r="D8" s="11">
        <f t="shared" si="6"/>
        <v>135</v>
      </c>
      <c r="E8" s="11">
        <f t="shared" si="6"/>
        <v>135</v>
      </c>
      <c r="F8" s="11">
        <f t="shared" si="6"/>
        <v>135</v>
      </c>
      <c r="G8" s="11">
        <f t="shared" si="6"/>
        <v>135</v>
      </c>
      <c r="H8" s="11">
        <f t="shared" si="6"/>
        <v>135</v>
      </c>
      <c r="J8" s="216" t="s">
        <v>371</v>
      </c>
      <c r="K8" s="11">
        <f>31*4</f>
        <v>124</v>
      </c>
      <c r="L8" s="11">
        <f t="shared" ref="L8:Q9" si="7">31*4</f>
        <v>124</v>
      </c>
      <c r="M8" s="11">
        <f t="shared" si="7"/>
        <v>124</v>
      </c>
      <c r="N8" s="11">
        <f t="shared" si="7"/>
        <v>124</v>
      </c>
      <c r="O8" s="11">
        <f t="shared" si="7"/>
        <v>124</v>
      </c>
      <c r="P8" s="11">
        <f t="shared" si="7"/>
        <v>124</v>
      </c>
      <c r="Q8" s="11">
        <f t="shared" si="7"/>
        <v>124</v>
      </c>
      <c r="S8" s="216" t="s">
        <v>371</v>
      </c>
      <c r="T8" s="11"/>
      <c r="U8" s="11"/>
      <c r="V8" s="11">
        <f>25*2</f>
        <v>50</v>
      </c>
      <c r="W8" s="11">
        <f>25*3</f>
        <v>75</v>
      </c>
      <c r="X8" s="11">
        <f t="shared" si="1"/>
        <v>100</v>
      </c>
      <c r="Y8" s="11">
        <f t="shared" si="1"/>
        <v>100</v>
      </c>
      <c r="Z8" s="11">
        <f t="shared" si="1"/>
        <v>100</v>
      </c>
    </row>
    <row r="9" spans="1:26" x14ac:dyDescent="0.25">
      <c r="A9" s="216" t="s">
        <v>372</v>
      </c>
      <c r="B9" s="11">
        <f>30*6</f>
        <v>180</v>
      </c>
      <c r="C9" s="11">
        <f>31*8+4</f>
        <v>252</v>
      </c>
      <c r="D9" s="217">
        <f t="shared" ref="D9:H11" si="8">31*7</f>
        <v>217</v>
      </c>
      <c r="E9" s="217">
        <f t="shared" si="8"/>
        <v>217</v>
      </c>
      <c r="F9" s="217">
        <f t="shared" si="8"/>
        <v>217</v>
      </c>
      <c r="G9" s="146">
        <v>186</v>
      </c>
      <c r="H9" s="146">
        <v>186</v>
      </c>
      <c r="J9" s="216" t="s">
        <v>372</v>
      </c>
      <c r="K9" s="11">
        <f>31*4</f>
        <v>124</v>
      </c>
      <c r="L9" s="11">
        <f t="shared" si="7"/>
        <v>124</v>
      </c>
      <c r="M9" s="11">
        <f t="shared" si="7"/>
        <v>124</v>
      </c>
      <c r="N9" s="11">
        <f t="shared" si="7"/>
        <v>124</v>
      </c>
      <c r="O9" s="11">
        <f t="shared" si="7"/>
        <v>124</v>
      </c>
      <c r="P9" s="11">
        <f t="shared" si="7"/>
        <v>124</v>
      </c>
      <c r="Q9" s="11">
        <f t="shared" si="7"/>
        <v>124</v>
      </c>
      <c r="S9" s="216" t="s">
        <v>372</v>
      </c>
      <c r="T9" s="11"/>
      <c r="U9" s="11"/>
      <c r="V9" s="11">
        <f>30*4</f>
        <v>120</v>
      </c>
      <c r="W9" s="11">
        <f>30*4</f>
        <v>120</v>
      </c>
      <c r="X9" s="11">
        <f>30*4</f>
        <v>120</v>
      </c>
      <c r="Y9" s="11">
        <f>30*4</f>
        <v>120</v>
      </c>
      <c r="Z9" s="11">
        <f>30*4</f>
        <v>120</v>
      </c>
    </row>
    <row r="10" spans="1:26" x14ac:dyDescent="0.25">
      <c r="A10" s="216" t="s">
        <v>373</v>
      </c>
      <c r="B10" s="11">
        <f>155-2</f>
        <v>153</v>
      </c>
      <c r="C10" s="11">
        <f>31*7+3</f>
        <v>220</v>
      </c>
      <c r="D10" s="146">
        <f t="shared" si="8"/>
        <v>217</v>
      </c>
      <c r="E10" s="146">
        <f t="shared" si="8"/>
        <v>217</v>
      </c>
      <c r="F10" s="146">
        <f t="shared" si="8"/>
        <v>217</v>
      </c>
      <c r="G10" s="146">
        <f t="shared" si="8"/>
        <v>217</v>
      </c>
      <c r="H10" s="146">
        <v>186</v>
      </c>
      <c r="J10" s="216" t="s">
        <v>373</v>
      </c>
      <c r="K10" s="11">
        <f t="shared" ref="K10:Q11" si="9">31*4</f>
        <v>124</v>
      </c>
      <c r="L10" s="11">
        <f t="shared" si="9"/>
        <v>124</v>
      </c>
      <c r="M10" s="11">
        <f t="shared" si="9"/>
        <v>124</v>
      </c>
      <c r="N10" s="11">
        <f t="shared" si="9"/>
        <v>124</v>
      </c>
      <c r="O10" s="11">
        <f t="shared" si="9"/>
        <v>124</v>
      </c>
      <c r="P10" s="11">
        <f t="shared" si="9"/>
        <v>124</v>
      </c>
      <c r="Q10" s="11">
        <f t="shared" si="9"/>
        <v>124</v>
      </c>
      <c r="S10" s="216" t="s">
        <v>373</v>
      </c>
      <c r="T10" s="11"/>
      <c r="U10" s="11"/>
      <c r="V10" s="11">
        <v>0</v>
      </c>
      <c r="W10" s="11">
        <f>30*4</f>
        <v>120</v>
      </c>
      <c r="X10" s="11">
        <f>30*4</f>
        <v>120</v>
      </c>
      <c r="Y10" s="11">
        <f>30*4</f>
        <v>120</v>
      </c>
      <c r="Z10" s="11">
        <f>30*4</f>
        <v>120</v>
      </c>
    </row>
    <row r="11" spans="1:26" x14ac:dyDescent="0.25">
      <c r="A11" s="216" t="s">
        <v>374</v>
      </c>
      <c r="B11" s="11">
        <f>155-2</f>
        <v>153</v>
      </c>
      <c r="C11" s="11">
        <f>31*5</f>
        <v>155</v>
      </c>
      <c r="D11" s="146">
        <f>31*7</f>
        <v>217</v>
      </c>
      <c r="E11" s="146">
        <f t="shared" si="8"/>
        <v>217</v>
      </c>
      <c r="F11" s="146">
        <f t="shared" si="8"/>
        <v>217</v>
      </c>
      <c r="G11" s="146">
        <f t="shared" si="8"/>
        <v>217</v>
      </c>
      <c r="H11" s="146">
        <f t="shared" si="8"/>
        <v>217</v>
      </c>
      <c r="J11" s="216" t="s">
        <v>374</v>
      </c>
      <c r="K11" s="11">
        <f t="shared" si="9"/>
        <v>124</v>
      </c>
      <c r="L11" s="11">
        <f t="shared" si="9"/>
        <v>124</v>
      </c>
      <c r="M11" s="11">
        <f t="shared" si="9"/>
        <v>124</v>
      </c>
      <c r="N11" s="11">
        <f t="shared" si="9"/>
        <v>124</v>
      </c>
      <c r="O11" s="11">
        <f t="shared" si="9"/>
        <v>124</v>
      </c>
      <c r="P11" s="11">
        <f t="shared" si="9"/>
        <v>124</v>
      </c>
      <c r="Q11" s="11">
        <f t="shared" si="9"/>
        <v>124</v>
      </c>
      <c r="S11" s="216" t="s">
        <v>374</v>
      </c>
      <c r="T11" s="11"/>
      <c r="U11" s="11"/>
      <c r="V11" s="11">
        <v>0</v>
      </c>
      <c r="W11" s="11">
        <v>0</v>
      </c>
      <c r="X11" s="11">
        <f>30*4</f>
        <v>120</v>
      </c>
      <c r="Y11" s="11">
        <f>30*4</f>
        <v>120</v>
      </c>
      <c r="Z11" s="11">
        <f>30*4</f>
        <v>120</v>
      </c>
    </row>
    <row r="12" spans="1:26" x14ac:dyDescent="0.25">
      <c r="A12" s="216" t="s">
        <v>375</v>
      </c>
      <c r="B12" s="11">
        <f>217-6</f>
        <v>211</v>
      </c>
      <c r="C12" s="162">
        <f>31*8+2</f>
        <v>250</v>
      </c>
      <c r="D12" s="146">
        <v>248</v>
      </c>
      <c r="E12" s="146">
        <f>31*9</f>
        <v>279</v>
      </c>
      <c r="F12" s="146">
        <f t="shared" ref="F12:H12" si="10">31*9</f>
        <v>279</v>
      </c>
      <c r="G12" s="146">
        <f t="shared" si="10"/>
        <v>279</v>
      </c>
      <c r="H12" s="146">
        <f t="shared" si="10"/>
        <v>279</v>
      </c>
      <c r="J12" s="216" t="s">
        <v>375</v>
      </c>
      <c r="K12" s="11"/>
      <c r="L12" s="146"/>
      <c r="M12" s="146"/>
      <c r="N12" s="146"/>
      <c r="O12" s="146"/>
      <c r="P12" s="146"/>
      <c r="Q12" s="146"/>
      <c r="S12" s="216" t="s">
        <v>375</v>
      </c>
      <c r="T12" s="11"/>
      <c r="U12" s="146"/>
      <c r="V12" s="146"/>
      <c r="W12" s="146"/>
      <c r="X12" s="146"/>
      <c r="Y12" s="11">
        <f>30*4</f>
        <v>120</v>
      </c>
      <c r="Z12" s="11">
        <f>30*4</f>
        <v>120</v>
      </c>
    </row>
    <row r="13" spans="1:26" x14ac:dyDescent="0.25">
      <c r="A13" s="216" t="s">
        <v>376</v>
      </c>
      <c r="B13" s="11">
        <f>155-3</f>
        <v>152</v>
      </c>
      <c r="C13" s="11">
        <v>173</v>
      </c>
      <c r="D13" s="146">
        <v>240</v>
      </c>
      <c r="E13" s="146">
        <v>240</v>
      </c>
      <c r="F13" s="146">
        <v>270</v>
      </c>
      <c r="G13" s="146">
        <v>270</v>
      </c>
      <c r="H13" s="146">
        <v>270</v>
      </c>
      <c r="J13" s="216" t="s">
        <v>376</v>
      </c>
      <c r="K13" s="11"/>
      <c r="L13" s="146"/>
      <c r="M13" s="146"/>
      <c r="N13" s="146"/>
      <c r="O13" s="146"/>
      <c r="P13" s="146"/>
      <c r="Q13" s="146"/>
      <c r="S13" s="216" t="s">
        <v>376</v>
      </c>
      <c r="T13" s="11"/>
      <c r="U13" s="146"/>
      <c r="V13" s="146"/>
      <c r="W13" s="146"/>
      <c r="X13" s="146"/>
      <c r="Y13" s="146"/>
      <c r="Z13" s="11">
        <f>30*4</f>
        <v>120</v>
      </c>
    </row>
    <row r="14" spans="1:26" x14ac:dyDescent="0.25">
      <c r="A14" s="216" t="s">
        <v>377</v>
      </c>
      <c r="B14" s="11">
        <f>110-1</f>
        <v>109</v>
      </c>
      <c r="C14" s="11">
        <v>139</v>
      </c>
      <c r="D14" s="146">
        <v>200</v>
      </c>
      <c r="E14" s="146">
        <v>235</v>
      </c>
      <c r="F14" s="146">
        <v>235</v>
      </c>
      <c r="G14" s="146">
        <v>260</v>
      </c>
      <c r="H14" s="146">
        <v>260</v>
      </c>
      <c r="J14" s="216" t="s">
        <v>377</v>
      </c>
      <c r="K14" s="11"/>
      <c r="L14" s="146"/>
      <c r="M14" s="146"/>
      <c r="N14" s="146"/>
      <c r="O14" s="146"/>
      <c r="P14" s="146"/>
      <c r="Q14" s="146"/>
      <c r="S14" s="216" t="s">
        <v>377</v>
      </c>
      <c r="T14" s="11"/>
      <c r="U14" s="146"/>
      <c r="V14" s="146"/>
      <c r="W14" s="146"/>
      <c r="X14" s="146"/>
      <c r="Y14" s="146"/>
      <c r="Z14" s="146"/>
    </row>
    <row r="15" spans="1:26" x14ac:dyDescent="0.25">
      <c r="A15" s="216" t="s">
        <v>378</v>
      </c>
      <c r="B15" s="7">
        <v>0</v>
      </c>
      <c r="C15" s="15">
        <v>95</v>
      </c>
      <c r="D15" s="146">
        <v>135</v>
      </c>
      <c r="E15" s="146">
        <v>190</v>
      </c>
      <c r="F15" s="146">
        <v>220</v>
      </c>
      <c r="G15" s="146">
        <v>220</v>
      </c>
      <c r="H15" s="146">
        <v>250</v>
      </c>
      <c r="J15" s="216" t="s">
        <v>378</v>
      </c>
      <c r="K15" s="7"/>
      <c r="L15" s="146"/>
      <c r="M15" s="146"/>
      <c r="N15" s="146"/>
      <c r="O15" s="146"/>
      <c r="P15" s="146"/>
      <c r="Q15" s="146"/>
      <c r="S15" s="216" t="s">
        <v>378</v>
      </c>
      <c r="T15" s="7"/>
      <c r="U15" s="146"/>
      <c r="V15" s="146"/>
      <c r="W15" s="146"/>
      <c r="X15" s="146"/>
      <c r="Y15" s="146"/>
      <c r="Z15" s="146"/>
    </row>
    <row r="16" spans="1:26" x14ac:dyDescent="0.25">
      <c r="A16" s="216" t="s">
        <v>281</v>
      </c>
      <c r="B16" s="201">
        <f>SUM(B3:B15)</f>
        <v>1754</v>
      </c>
      <c r="C16" s="201">
        <f t="shared" ref="C16:G16" si="11">SUM(C3:C15)</f>
        <v>2090</v>
      </c>
      <c r="D16" s="201">
        <f t="shared" si="11"/>
        <v>2254</v>
      </c>
      <c r="E16" s="201">
        <f t="shared" si="11"/>
        <v>2375</v>
      </c>
      <c r="F16" s="201">
        <f t="shared" si="11"/>
        <v>2435</v>
      </c>
      <c r="G16" s="201">
        <f t="shared" si="11"/>
        <v>2429</v>
      </c>
      <c r="H16" s="201">
        <f>SUM(H3:H15)</f>
        <v>2428</v>
      </c>
      <c r="J16" s="216" t="s">
        <v>281</v>
      </c>
      <c r="K16" s="201">
        <f>SUM(K3:K15)</f>
        <v>1012</v>
      </c>
      <c r="L16" s="201">
        <f t="shared" ref="L16:P16" si="12">SUM(L3:L15)</f>
        <v>1016</v>
      </c>
      <c r="M16" s="201">
        <f t="shared" si="12"/>
        <v>1016</v>
      </c>
      <c r="N16" s="201">
        <f t="shared" si="12"/>
        <v>1016</v>
      </c>
      <c r="O16" s="201">
        <f t="shared" si="12"/>
        <v>1016</v>
      </c>
      <c r="P16" s="201">
        <f t="shared" si="12"/>
        <v>1016</v>
      </c>
      <c r="Q16" s="201">
        <f>SUM(Q3:Q15)</f>
        <v>1016</v>
      </c>
      <c r="S16" s="216" t="s">
        <v>281</v>
      </c>
      <c r="T16" s="201">
        <f>SUM(T3:T15)</f>
        <v>0</v>
      </c>
      <c r="U16" s="201">
        <f t="shared" ref="U16:Y16" si="13">SUM(U3:U15)</f>
        <v>0</v>
      </c>
      <c r="V16" s="201">
        <f t="shared" si="13"/>
        <v>645</v>
      </c>
      <c r="W16" s="201">
        <f t="shared" si="13"/>
        <v>815</v>
      </c>
      <c r="X16" s="201">
        <f t="shared" si="13"/>
        <v>960</v>
      </c>
      <c r="Y16" s="201">
        <f t="shared" si="13"/>
        <v>1080</v>
      </c>
      <c r="Z16" s="201">
        <f>SUM(Z3:Z15)</f>
        <v>1200</v>
      </c>
    </row>
    <row r="19" spans="1:17" x14ac:dyDescent="0.25">
      <c r="B19" s="393" t="s">
        <v>231</v>
      </c>
      <c r="C19" s="393"/>
      <c r="D19" s="393"/>
      <c r="E19" s="393"/>
      <c r="F19" s="393"/>
      <c r="G19" s="393"/>
      <c r="H19" s="393"/>
      <c r="K19" s="393" t="s">
        <v>238</v>
      </c>
      <c r="L19" s="393"/>
      <c r="M19" s="393"/>
      <c r="N19" s="393"/>
      <c r="O19" s="393"/>
      <c r="P19" s="393"/>
      <c r="Q19" s="393"/>
    </row>
    <row r="20" spans="1:17" x14ac:dyDescent="0.25">
      <c r="B20" s="215" t="s">
        <v>224</v>
      </c>
      <c r="C20" s="215" t="s">
        <v>225</v>
      </c>
      <c r="D20" s="215" t="s">
        <v>338</v>
      </c>
      <c r="E20" s="215" t="s">
        <v>339</v>
      </c>
      <c r="F20" s="215" t="s">
        <v>340</v>
      </c>
      <c r="G20" s="215" t="s">
        <v>341</v>
      </c>
      <c r="H20" s="215" t="s">
        <v>342</v>
      </c>
      <c r="K20" s="215" t="s">
        <v>224</v>
      </c>
      <c r="L20" s="215" t="s">
        <v>225</v>
      </c>
      <c r="M20" s="215" t="s">
        <v>338</v>
      </c>
      <c r="N20" s="215" t="s">
        <v>339</v>
      </c>
      <c r="O20" s="215" t="s">
        <v>340</v>
      </c>
      <c r="P20" s="215" t="s">
        <v>341</v>
      </c>
      <c r="Q20" s="215" t="s">
        <v>342</v>
      </c>
    </row>
    <row r="21" spans="1:17" x14ac:dyDescent="0.25">
      <c r="A21" s="216" t="s">
        <v>9</v>
      </c>
      <c r="B21" s="11">
        <v>125</v>
      </c>
      <c r="C21" s="11">
        <v>125</v>
      </c>
      <c r="D21" s="11">
        <v>125</v>
      </c>
      <c r="E21" s="11">
        <v>125</v>
      </c>
      <c r="F21" s="11">
        <v>125</v>
      </c>
      <c r="G21" s="11">
        <v>125</v>
      </c>
      <c r="H21" s="11">
        <v>125</v>
      </c>
      <c r="J21" s="216" t="s">
        <v>9</v>
      </c>
      <c r="K21" s="11">
        <f>25*6</f>
        <v>150</v>
      </c>
      <c r="L21" s="11">
        <f t="shared" ref="L21:Q22" si="14">25*6</f>
        <v>150</v>
      </c>
      <c r="M21" s="11">
        <f t="shared" si="14"/>
        <v>150</v>
      </c>
      <c r="N21" s="11">
        <f t="shared" si="14"/>
        <v>150</v>
      </c>
      <c r="O21" s="11">
        <f t="shared" si="14"/>
        <v>150</v>
      </c>
      <c r="P21" s="11">
        <f t="shared" si="14"/>
        <v>150</v>
      </c>
      <c r="Q21" s="11">
        <f t="shared" si="14"/>
        <v>150</v>
      </c>
    </row>
    <row r="22" spans="1:17" x14ac:dyDescent="0.25">
      <c r="A22" s="216" t="s">
        <v>367</v>
      </c>
      <c r="B22" s="11">
        <v>125</v>
      </c>
      <c r="C22" s="11">
        <v>125</v>
      </c>
      <c r="D22" s="11">
        <v>125</v>
      </c>
      <c r="E22" s="11">
        <v>125</v>
      </c>
      <c r="F22" s="11">
        <v>125</v>
      </c>
      <c r="G22" s="11">
        <v>125</v>
      </c>
      <c r="H22" s="11">
        <v>125</v>
      </c>
      <c r="J22" s="216" t="s">
        <v>367</v>
      </c>
      <c r="K22" s="11">
        <v>150</v>
      </c>
      <c r="L22" s="11">
        <f t="shared" si="14"/>
        <v>150</v>
      </c>
      <c r="M22" s="11">
        <f t="shared" si="14"/>
        <v>150</v>
      </c>
      <c r="N22" s="11">
        <f t="shared" si="14"/>
        <v>150</v>
      </c>
      <c r="O22" s="11">
        <f t="shared" si="14"/>
        <v>150</v>
      </c>
      <c r="P22" s="11">
        <f t="shared" si="14"/>
        <v>150</v>
      </c>
      <c r="Q22" s="11">
        <f t="shared" si="14"/>
        <v>150</v>
      </c>
    </row>
    <row r="23" spans="1:17" x14ac:dyDescent="0.25">
      <c r="A23" s="216" t="s">
        <v>368</v>
      </c>
      <c r="B23" s="11">
        <f>26*6</f>
        <v>156</v>
      </c>
      <c r="C23" s="11">
        <v>125</v>
      </c>
      <c r="D23" s="11">
        <v>125</v>
      </c>
      <c r="E23" s="11">
        <v>125</v>
      </c>
      <c r="F23" s="11">
        <v>125</v>
      </c>
      <c r="G23" s="11">
        <v>125</v>
      </c>
      <c r="H23" s="11">
        <v>125</v>
      </c>
      <c r="J23" s="216" t="s">
        <v>368</v>
      </c>
      <c r="K23" s="11">
        <f>26*7</f>
        <v>182</v>
      </c>
      <c r="L23" s="11">
        <f>26*6</f>
        <v>156</v>
      </c>
      <c r="M23" s="11">
        <f t="shared" ref="M23:Q24" si="15">26*6</f>
        <v>156</v>
      </c>
      <c r="N23" s="11">
        <f t="shared" si="15"/>
        <v>156</v>
      </c>
      <c r="O23" s="11">
        <f t="shared" si="15"/>
        <v>156</v>
      </c>
      <c r="P23" s="11">
        <f t="shared" si="15"/>
        <v>156</v>
      </c>
      <c r="Q23" s="11">
        <f t="shared" si="15"/>
        <v>156</v>
      </c>
    </row>
    <row r="24" spans="1:17" x14ac:dyDescent="0.25">
      <c r="A24" s="216" t="s">
        <v>369</v>
      </c>
      <c r="B24" s="11">
        <f>27*6</f>
        <v>162</v>
      </c>
      <c r="C24" s="11">
        <f>26*6</f>
        <v>156</v>
      </c>
      <c r="D24" s="11">
        <f t="shared" ref="D24:H26" si="16">26*6</f>
        <v>156</v>
      </c>
      <c r="E24" s="11">
        <f t="shared" si="16"/>
        <v>156</v>
      </c>
      <c r="F24" s="11">
        <f t="shared" si="16"/>
        <v>156</v>
      </c>
      <c r="G24" s="11">
        <f t="shared" si="16"/>
        <v>156</v>
      </c>
      <c r="H24" s="11">
        <f t="shared" si="16"/>
        <v>156</v>
      </c>
      <c r="J24" s="216" t="s">
        <v>369</v>
      </c>
      <c r="K24" s="11">
        <f>26*7</f>
        <v>182</v>
      </c>
      <c r="L24" s="11">
        <f>26*6</f>
        <v>156</v>
      </c>
      <c r="M24" s="11">
        <f t="shared" si="15"/>
        <v>156</v>
      </c>
      <c r="N24" s="11">
        <f t="shared" si="15"/>
        <v>156</v>
      </c>
      <c r="O24" s="11">
        <f t="shared" si="15"/>
        <v>156</v>
      </c>
      <c r="P24" s="11">
        <f t="shared" si="15"/>
        <v>156</v>
      </c>
      <c r="Q24" s="11">
        <f t="shared" si="15"/>
        <v>156</v>
      </c>
    </row>
    <row r="25" spans="1:17" x14ac:dyDescent="0.25">
      <c r="A25" s="216" t="s">
        <v>370</v>
      </c>
      <c r="B25" s="11">
        <f>27*6</f>
        <v>162</v>
      </c>
      <c r="C25" s="11">
        <f>26*6</f>
        <v>156</v>
      </c>
      <c r="D25" s="11">
        <f t="shared" si="16"/>
        <v>156</v>
      </c>
      <c r="E25" s="11">
        <f t="shared" si="16"/>
        <v>156</v>
      </c>
      <c r="F25" s="11">
        <f t="shared" si="16"/>
        <v>156</v>
      </c>
      <c r="G25" s="11">
        <f t="shared" si="16"/>
        <v>156</v>
      </c>
      <c r="H25" s="11">
        <f t="shared" si="16"/>
        <v>156</v>
      </c>
      <c r="J25" s="216" t="s">
        <v>370</v>
      </c>
      <c r="K25" s="11">
        <f>27*5</f>
        <v>135</v>
      </c>
      <c r="L25" s="11">
        <f t="shared" ref="L25:Q26" si="17">27*6</f>
        <v>162</v>
      </c>
      <c r="M25" s="11">
        <f t="shared" si="17"/>
        <v>162</v>
      </c>
      <c r="N25" s="11">
        <f t="shared" si="17"/>
        <v>162</v>
      </c>
      <c r="O25" s="11">
        <f t="shared" si="17"/>
        <v>162</v>
      </c>
      <c r="P25" s="11">
        <f t="shared" si="17"/>
        <v>162</v>
      </c>
      <c r="Q25" s="11">
        <f t="shared" si="17"/>
        <v>162</v>
      </c>
    </row>
    <row r="26" spans="1:17" x14ac:dyDescent="0.25">
      <c r="A26" s="216" t="s">
        <v>371</v>
      </c>
      <c r="B26" s="11">
        <f>27*5</f>
        <v>135</v>
      </c>
      <c r="C26" s="11">
        <f>26*6</f>
        <v>156</v>
      </c>
      <c r="D26" s="11">
        <f t="shared" si="16"/>
        <v>156</v>
      </c>
      <c r="E26" s="11">
        <f t="shared" si="16"/>
        <v>156</v>
      </c>
      <c r="F26" s="11">
        <f t="shared" si="16"/>
        <v>156</v>
      </c>
      <c r="G26" s="11">
        <f t="shared" si="16"/>
        <v>156</v>
      </c>
      <c r="H26" s="11">
        <f t="shared" si="16"/>
        <v>156</v>
      </c>
      <c r="J26" s="216" t="s">
        <v>371</v>
      </c>
      <c r="K26" s="11">
        <f>28*4</f>
        <v>112</v>
      </c>
      <c r="L26" s="11">
        <f>25*5</f>
        <v>125</v>
      </c>
      <c r="M26" s="11">
        <f t="shared" si="17"/>
        <v>162</v>
      </c>
      <c r="N26" s="11">
        <f t="shared" si="17"/>
        <v>162</v>
      </c>
      <c r="O26" s="11">
        <f t="shared" si="17"/>
        <v>162</v>
      </c>
      <c r="P26" s="11">
        <f t="shared" si="17"/>
        <v>162</v>
      </c>
      <c r="Q26" s="11">
        <f t="shared" si="17"/>
        <v>162</v>
      </c>
    </row>
    <row r="27" spans="1:17" x14ac:dyDescent="0.25">
      <c r="A27" s="216" t="s">
        <v>372</v>
      </c>
      <c r="B27" s="11">
        <v>124</v>
      </c>
      <c r="C27" s="11">
        <v>124</v>
      </c>
      <c r="D27" s="11">
        <v>124</v>
      </c>
      <c r="E27" s="11">
        <v>124</v>
      </c>
      <c r="F27" s="11">
        <v>124</v>
      </c>
      <c r="G27" s="11">
        <v>124</v>
      </c>
      <c r="H27" s="11">
        <v>124</v>
      </c>
      <c r="J27" s="216" t="s">
        <v>372</v>
      </c>
      <c r="K27" s="11"/>
      <c r="L27" s="11"/>
      <c r="M27" s="11"/>
      <c r="N27" s="11"/>
      <c r="O27" s="11"/>
      <c r="P27" s="11"/>
      <c r="Q27" s="11"/>
    </row>
    <row r="28" spans="1:17" x14ac:dyDescent="0.25">
      <c r="A28" s="216" t="s">
        <v>373</v>
      </c>
      <c r="B28" s="11">
        <v>124</v>
      </c>
      <c r="C28" s="11">
        <v>118</v>
      </c>
      <c r="D28" s="11">
        <v>124</v>
      </c>
      <c r="E28" s="11">
        <v>124</v>
      </c>
      <c r="F28" s="11">
        <v>124</v>
      </c>
      <c r="G28" s="11">
        <v>124</v>
      </c>
      <c r="H28" s="11">
        <v>124</v>
      </c>
      <c r="J28" s="216" t="s">
        <v>373</v>
      </c>
      <c r="K28" s="11"/>
      <c r="L28" s="11"/>
      <c r="M28" s="11"/>
      <c r="N28" s="11"/>
      <c r="O28" s="11"/>
      <c r="P28" s="11"/>
      <c r="Q28" s="11"/>
    </row>
    <row r="29" spans="1:17" x14ac:dyDescent="0.25">
      <c r="A29" s="216" t="s">
        <v>374</v>
      </c>
      <c r="B29" s="11">
        <v>124</v>
      </c>
      <c r="C29" s="11">
        <v>114</v>
      </c>
      <c r="D29" s="11">
        <v>124</v>
      </c>
      <c r="E29" s="11">
        <v>124</v>
      </c>
      <c r="F29" s="11">
        <v>124</v>
      </c>
      <c r="G29" s="11">
        <v>124</v>
      </c>
      <c r="H29" s="11">
        <v>124</v>
      </c>
      <c r="J29" s="216" t="s">
        <v>374</v>
      </c>
      <c r="K29" s="11"/>
      <c r="L29" s="11"/>
      <c r="M29" s="11"/>
      <c r="N29" s="11"/>
      <c r="O29" s="11"/>
      <c r="P29" s="11"/>
      <c r="Q29" s="11"/>
    </row>
    <row r="30" spans="1:17" x14ac:dyDescent="0.25">
      <c r="A30" s="216" t="s">
        <v>375</v>
      </c>
      <c r="B30" s="11"/>
      <c r="C30" s="146"/>
      <c r="D30" s="146"/>
      <c r="E30" s="146"/>
      <c r="F30" s="146"/>
      <c r="G30" s="146"/>
      <c r="H30" s="146"/>
      <c r="J30" s="216" t="s">
        <v>375</v>
      </c>
      <c r="K30" s="11"/>
      <c r="L30" s="146"/>
      <c r="M30" s="146"/>
      <c r="N30" s="146"/>
      <c r="O30" s="146"/>
      <c r="P30" s="146"/>
      <c r="Q30" s="146"/>
    </row>
    <row r="31" spans="1:17" x14ac:dyDescent="0.25">
      <c r="A31" s="216" t="s">
        <v>376</v>
      </c>
      <c r="B31" s="11"/>
      <c r="C31" s="146"/>
      <c r="D31" s="146"/>
      <c r="E31" s="146"/>
      <c r="F31" s="146"/>
      <c r="G31" s="146"/>
      <c r="H31" s="146"/>
      <c r="J31" s="216" t="s">
        <v>376</v>
      </c>
      <c r="K31" s="11"/>
      <c r="L31" s="146"/>
      <c r="M31" s="146"/>
      <c r="N31" s="146"/>
      <c r="O31" s="146"/>
      <c r="P31" s="146"/>
      <c r="Q31" s="146"/>
    </row>
    <row r="32" spans="1:17" x14ac:dyDescent="0.25">
      <c r="A32" s="216" t="s">
        <v>377</v>
      </c>
      <c r="B32" s="11"/>
      <c r="C32" s="146"/>
      <c r="D32" s="146"/>
      <c r="E32" s="146"/>
      <c r="F32" s="146"/>
      <c r="G32" s="146"/>
      <c r="H32" s="146"/>
      <c r="J32" s="216" t="s">
        <v>377</v>
      </c>
      <c r="K32" s="11"/>
      <c r="L32" s="146"/>
      <c r="M32" s="146"/>
      <c r="N32" s="146"/>
      <c r="O32" s="146"/>
      <c r="P32" s="146"/>
      <c r="Q32" s="146"/>
    </row>
    <row r="33" spans="1:17" x14ac:dyDescent="0.25">
      <c r="A33" s="216" t="s">
        <v>378</v>
      </c>
      <c r="B33" s="7"/>
      <c r="C33" s="146"/>
      <c r="D33" s="146"/>
      <c r="E33" s="146"/>
      <c r="F33" s="146"/>
      <c r="G33" s="146"/>
      <c r="H33" s="146"/>
      <c r="J33" s="216" t="s">
        <v>378</v>
      </c>
      <c r="K33" s="7"/>
      <c r="L33" s="146"/>
      <c r="M33" s="146"/>
      <c r="N33" s="146"/>
      <c r="O33" s="146"/>
      <c r="P33" s="146"/>
      <c r="Q33" s="146"/>
    </row>
    <row r="34" spans="1:17" x14ac:dyDescent="0.25">
      <c r="A34" s="216" t="s">
        <v>281</v>
      </c>
      <c r="B34" s="201">
        <f>SUM(B21:B33)</f>
        <v>1237</v>
      </c>
      <c r="C34" s="201">
        <f t="shared" ref="C34:G34" si="18">SUM(C21:C33)</f>
        <v>1199</v>
      </c>
      <c r="D34" s="201">
        <f t="shared" si="18"/>
        <v>1215</v>
      </c>
      <c r="E34" s="201">
        <f t="shared" si="18"/>
        <v>1215</v>
      </c>
      <c r="F34" s="201">
        <f t="shared" si="18"/>
        <v>1215</v>
      </c>
      <c r="G34" s="201">
        <f t="shared" si="18"/>
        <v>1215</v>
      </c>
      <c r="H34" s="201">
        <f>SUM(H21:H33)</f>
        <v>1215</v>
      </c>
      <c r="J34" s="216" t="s">
        <v>281</v>
      </c>
      <c r="K34" s="201">
        <f>SUM(K21:K33)</f>
        <v>911</v>
      </c>
      <c r="L34" s="201">
        <f t="shared" ref="L34:P34" si="19">SUM(L21:L33)</f>
        <v>899</v>
      </c>
      <c r="M34" s="201">
        <f t="shared" si="19"/>
        <v>936</v>
      </c>
      <c r="N34" s="201">
        <f t="shared" si="19"/>
        <v>936</v>
      </c>
      <c r="O34" s="201">
        <f t="shared" si="19"/>
        <v>936</v>
      </c>
      <c r="P34" s="201">
        <f t="shared" si="19"/>
        <v>936</v>
      </c>
      <c r="Q34" s="201">
        <f>SUM(Q21:Q33)</f>
        <v>936</v>
      </c>
    </row>
    <row r="37" spans="1:17" x14ac:dyDescent="0.25">
      <c r="B37" s="393" t="s">
        <v>208</v>
      </c>
      <c r="C37" s="393"/>
      <c r="D37" s="393"/>
      <c r="E37" s="393"/>
      <c r="F37" s="393"/>
      <c r="G37" s="393"/>
      <c r="H37" s="393"/>
      <c r="K37" s="393" t="s">
        <v>242</v>
      </c>
      <c r="L37" s="393"/>
      <c r="M37" s="393"/>
      <c r="N37" s="393"/>
      <c r="O37" s="393"/>
      <c r="P37" s="393"/>
      <c r="Q37" s="393"/>
    </row>
    <row r="38" spans="1:17" x14ac:dyDescent="0.25">
      <c r="B38" s="215" t="s">
        <v>224</v>
      </c>
      <c r="C38" s="215" t="s">
        <v>225</v>
      </c>
      <c r="D38" s="215" t="s">
        <v>338</v>
      </c>
      <c r="E38" s="215" t="s">
        <v>339</v>
      </c>
      <c r="F38" s="215" t="s">
        <v>340</v>
      </c>
      <c r="G38" s="215" t="s">
        <v>341</v>
      </c>
      <c r="H38" s="215" t="s">
        <v>342</v>
      </c>
      <c r="K38" s="215" t="s">
        <v>224</v>
      </c>
      <c r="L38" s="215" t="s">
        <v>225</v>
      </c>
      <c r="M38" s="215" t="s">
        <v>338</v>
      </c>
      <c r="N38" s="215" t="s">
        <v>339</v>
      </c>
      <c r="O38" s="215" t="s">
        <v>340</v>
      </c>
      <c r="P38" s="215" t="s">
        <v>341</v>
      </c>
      <c r="Q38" s="215" t="s">
        <v>342</v>
      </c>
    </row>
    <row r="39" spans="1:17" x14ac:dyDescent="0.25">
      <c r="A39" s="216" t="s">
        <v>9</v>
      </c>
      <c r="B39" s="11">
        <f>25*5</f>
        <v>125</v>
      </c>
      <c r="C39" s="11">
        <f>25*5</f>
        <v>125</v>
      </c>
      <c r="D39" s="11">
        <f t="shared" ref="D39:H39" si="20">25*5</f>
        <v>125</v>
      </c>
      <c r="E39" s="11">
        <f t="shared" si="20"/>
        <v>125</v>
      </c>
      <c r="F39" s="11">
        <f t="shared" si="20"/>
        <v>125</v>
      </c>
      <c r="G39" s="11">
        <f t="shared" si="20"/>
        <v>125</v>
      </c>
      <c r="H39" s="11">
        <f t="shared" si="20"/>
        <v>125</v>
      </c>
      <c r="J39" s="216" t="s">
        <v>9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</row>
    <row r="40" spans="1:17" x14ac:dyDescent="0.25">
      <c r="A40" s="216" t="s">
        <v>367</v>
      </c>
      <c r="B40" s="11">
        <f>26*5</f>
        <v>130</v>
      </c>
      <c r="C40" s="11">
        <f>26*5</f>
        <v>130</v>
      </c>
      <c r="D40" s="11">
        <f t="shared" ref="D40:H40" si="21">26*5</f>
        <v>130</v>
      </c>
      <c r="E40" s="11">
        <f t="shared" si="21"/>
        <v>130</v>
      </c>
      <c r="F40" s="11">
        <f t="shared" si="21"/>
        <v>130</v>
      </c>
      <c r="G40" s="11">
        <f t="shared" si="21"/>
        <v>130</v>
      </c>
      <c r="H40" s="11">
        <f t="shared" si="21"/>
        <v>130</v>
      </c>
      <c r="J40" s="216" t="s">
        <v>367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</row>
    <row r="41" spans="1:17" x14ac:dyDescent="0.25">
      <c r="A41" s="216" t="s">
        <v>368</v>
      </c>
      <c r="B41" s="11">
        <f>27*5</f>
        <v>135</v>
      </c>
      <c r="C41" s="11">
        <f>27*5</f>
        <v>135</v>
      </c>
      <c r="D41" s="11">
        <f t="shared" ref="D41:H42" si="22">27*5</f>
        <v>135</v>
      </c>
      <c r="E41" s="11">
        <f t="shared" si="22"/>
        <v>135</v>
      </c>
      <c r="F41" s="11">
        <f t="shared" si="22"/>
        <v>135</v>
      </c>
      <c r="G41" s="11">
        <f t="shared" si="22"/>
        <v>135</v>
      </c>
      <c r="H41" s="11">
        <f t="shared" si="22"/>
        <v>135</v>
      </c>
      <c r="J41" s="216" t="s">
        <v>368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</row>
    <row r="42" spans="1:17" x14ac:dyDescent="0.25">
      <c r="A42" s="216" t="s">
        <v>369</v>
      </c>
      <c r="B42" s="11">
        <f>27*5-1</f>
        <v>134</v>
      </c>
      <c r="C42" s="11">
        <f>27*5</f>
        <v>135</v>
      </c>
      <c r="D42" s="11">
        <f t="shared" si="22"/>
        <v>135</v>
      </c>
      <c r="E42" s="11">
        <f t="shared" si="22"/>
        <v>135</v>
      </c>
      <c r="F42" s="11">
        <f t="shared" si="22"/>
        <v>135</v>
      </c>
      <c r="G42" s="11">
        <f t="shared" si="22"/>
        <v>135</v>
      </c>
      <c r="H42" s="11">
        <f t="shared" si="22"/>
        <v>135</v>
      </c>
      <c r="J42" s="216" t="s">
        <v>369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</row>
    <row r="43" spans="1:17" x14ac:dyDescent="0.25">
      <c r="A43" s="216" t="s">
        <v>370</v>
      </c>
      <c r="B43" s="11">
        <f>28*5-2</f>
        <v>138</v>
      </c>
      <c r="C43" s="11">
        <f>28*5</f>
        <v>140</v>
      </c>
      <c r="D43" s="11">
        <f t="shared" ref="D43:H43" si="23">28*5</f>
        <v>140</v>
      </c>
      <c r="E43" s="11">
        <f t="shared" si="23"/>
        <v>140</v>
      </c>
      <c r="F43" s="11">
        <f t="shared" si="23"/>
        <v>140</v>
      </c>
      <c r="G43" s="11">
        <f t="shared" si="23"/>
        <v>140</v>
      </c>
      <c r="H43" s="11">
        <f t="shared" si="23"/>
        <v>140</v>
      </c>
      <c r="J43" s="216" t="s">
        <v>370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</row>
    <row r="44" spans="1:17" x14ac:dyDescent="0.25">
      <c r="A44" s="216" t="s">
        <v>371</v>
      </c>
      <c r="B44" s="11">
        <f>29*5-4</f>
        <v>141</v>
      </c>
      <c r="C44" s="11">
        <f>29*5</f>
        <v>145</v>
      </c>
      <c r="D44" s="11">
        <f t="shared" ref="D44:H44" si="24">29*5</f>
        <v>145</v>
      </c>
      <c r="E44" s="11">
        <f t="shared" si="24"/>
        <v>145</v>
      </c>
      <c r="F44" s="11">
        <f t="shared" si="24"/>
        <v>145</v>
      </c>
      <c r="G44" s="11">
        <f t="shared" si="24"/>
        <v>145</v>
      </c>
      <c r="H44" s="11">
        <f t="shared" si="24"/>
        <v>145</v>
      </c>
      <c r="J44" s="216" t="s">
        <v>371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</row>
    <row r="45" spans="1:17" x14ac:dyDescent="0.25">
      <c r="A45" s="216" t="s">
        <v>372</v>
      </c>
      <c r="B45" s="11">
        <f>248-1</f>
        <v>247</v>
      </c>
      <c r="C45" s="11">
        <f>31*8</f>
        <v>248</v>
      </c>
      <c r="D45" s="11">
        <f t="shared" ref="D45:H45" si="25">31*8</f>
        <v>248</v>
      </c>
      <c r="E45" s="11">
        <f t="shared" si="25"/>
        <v>248</v>
      </c>
      <c r="F45" s="11">
        <f t="shared" si="25"/>
        <v>248</v>
      </c>
      <c r="G45" s="11">
        <f t="shared" si="25"/>
        <v>248</v>
      </c>
      <c r="H45" s="11">
        <f t="shared" si="25"/>
        <v>248</v>
      </c>
      <c r="J45" s="216" t="s">
        <v>372</v>
      </c>
      <c r="K45" s="11">
        <v>0</v>
      </c>
      <c r="L45" s="11">
        <v>22</v>
      </c>
      <c r="M45" s="11">
        <v>30</v>
      </c>
      <c r="N45" s="11">
        <v>40</v>
      </c>
      <c r="O45" s="11">
        <v>50</v>
      </c>
      <c r="P45" s="11">
        <v>60</v>
      </c>
      <c r="Q45" s="11">
        <v>60</v>
      </c>
    </row>
    <row r="46" spans="1:17" x14ac:dyDescent="0.25">
      <c r="A46" s="216" t="s">
        <v>373</v>
      </c>
      <c r="B46" s="11">
        <v>248</v>
      </c>
      <c r="C46" s="11">
        <f t="shared" ref="C46:H47" si="26">31*8</f>
        <v>248</v>
      </c>
      <c r="D46" s="11">
        <f t="shared" si="26"/>
        <v>248</v>
      </c>
      <c r="E46" s="11">
        <f t="shared" si="26"/>
        <v>248</v>
      </c>
      <c r="F46" s="11">
        <f t="shared" si="26"/>
        <v>248</v>
      </c>
      <c r="G46" s="11">
        <f t="shared" si="26"/>
        <v>248</v>
      </c>
      <c r="H46" s="11">
        <f t="shared" si="26"/>
        <v>248</v>
      </c>
      <c r="J46" s="216" t="s">
        <v>373</v>
      </c>
      <c r="K46" s="11">
        <v>0</v>
      </c>
      <c r="L46" s="11">
        <v>20</v>
      </c>
      <c r="M46" s="11">
        <v>30</v>
      </c>
      <c r="N46" s="11">
        <v>40</v>
      </c>
      <c r="O46" s="11">
        <v>50</v>
      </c>
      <c r="P46" s="11">
        <v>60</v>
      </c>
      <c r="Q46" s="11">
        <v>60</v>
      </c>
    </row>
    <row r="47" spans="1:17" x14ac:dyDescent="0.25">
      <c r="A47" s="216" t="s">
        <v>374</v>
      </c>
      <c r="B47" s="11">
        <f>217-2</f>
        <v>215</v>
      </c>
      <c r="C47" s="11">
        <f t="shared" si="26"/>
        <v>248</v>
      </c>
      <c r="D47" s="11">
        <f t="shared" si="26"/>
        <v>248</v>
      </c>
      <c r="E47" s="11">
        <f t="shared" si="26"/>
        <v>248</v>
      </c>
      <c r="F47" s="11">
        <f t="shared" si="26"/>
        <v>248</v>
      </c>
      <c r="G47" s="11">
        <f t="shared" si="26"/>
        <v>248</v>
      </c>
      <c r="H47" s="11">
        <f t="shared" si="26"/>
        <v>248</v>
      </c>
      <c r="J47" s="216" t="s">
        <v>374</v>
      </c>
      <c r="K47" s="11">
        <v>0</v>
      </c>
      <c r="L47" s="11">
        <v>12</v>
      </c>
      <c r="M47" s="11">
        <v>30</v>
      </c>
      <c r="N47" s="11">
        <v>40</v>
      </c>
      <c r="O47" s="11">
        <v>50</v>
      </c>
      <c r="P47" s="11">
        <v>60</v>
      </c>
      <c r="Q47" s="11">
        <v>60</v>
      </c>
    </row>
    <row r="48" spans="1:17" x14ac:dyDescent="0.25">
      <c r="A48" s="216" t="s">
        <v>375</v>
      </c>
      <c r="B48" s="11">
        <f>210-2</f>
        <v>208</v>
      </c>
      <c r="C48" s="11">
        <v>217</v>
      </c>
      <c r="D48" s="146">
        <f>30*8</f>
        <v>240</v>
      </c>
      <c r="E48" s="146">
        <f t="shared" ref="E48:H48" si="27">30*8</f>
        <v>240</v>
      </c>
      <c r="F48" s="146">
        <f t="shared" si="27"/>
        <v>240</v>
      </c>
      <c r="G48" s="146">
        <f t="shared" si="27"/>
        <v>240</v>
      </c>
      <c r="H48" s="146">
        <f t="shared" si="27"/>
        <v>240</v>
      </c>
      <c r="J48" s="216" t="s">
        <v>375</v>
      </c>
      <c r="K48" s="11">
        <v>0</v>
      </c>
      <c r="L48" s="11">
        <v>22</v>
      </c>
      <c r="M48" s="11">
        <v>30</v>
      </c>
      <c r="N48" s="11">
        <v>40</v>
      </c>
      <c r="O48" s="11">
        <v>50</v>
      </c>
      <c r="P48" s="11">
        <v>60</v>
      </c>
      <c r="Q48" s="11">
        <v>60</v>
      </c>
    </row>
    <row r="49" spans="1:17" x14ac:dyDescent="0.25">
      <c r="A49" s="216" t="s">
        <v>376</v>
      </c>
      <c r="B49" s="11">
        <v>180</v>
      </c>
      <c r="C49" s="11">
        <v>207</v>
      </c>
      <c r="D49" s="146">
        <v>220</v>
      </c>
      <c r="E49" s="146">
        <v>230</v>
      </c>
      <c r="F49" s="146">
        <v>230</v>
      </c>
      <c r="G49" s="146">
        <v>230</v>
      </c>
      <c r="H49" s="146">
        <v>230</v>
      </c>
      <c r="J49" s="216" t="s">
        <v>376</v>
      </c>
      <c r="K49" s="11">
        <v>0</v>
      </c>
      <c r="L49" s="11">
        <v>12</v>
      </c>
      <c r="M49" s="11">
        <v>30</v>
      </c>
      <c r="N49" s="11">
        <v>40</v>
      </c>
      <c r="O49" s="11">
        <v>50</v>
      </c>
      <c r="P49" s="11">
        <v>60</v>
      </c>
      <c r="Q49" s="11">
        <v>60</v>
      </c>
    </row>
    <row r="50" spans="1:17" x14ac:dyDescent="0.25">
      <c r="A50" s="216" t="s">
        <v>377</v>
      </c>
      <c r="B50" s="11">
        <v>112</v>
      </c>
      <c r="C50" s="11">
        <v>167</v>
      </c>
      <c r="D50" s="146">
        <v>195</v>
      </c>
      <c r="E50" s="146">
        <v>210</v>
      </c>
      <c r="F50" s="146">
        <v>220</v>
      </c>
      <c r="G50" s="146">
        <v>220</v>
      </c>
      <c r="H50" s="146">
        <v>220</v>
      </c>
      <c r="J50" s="216" t="s">
        <v>377</v>
      </c>
      <c r="K50" s="11">
        <v>0</v>
      </c>
      <c r="L50" s="11">
        <v>0</v>
      </c>
      <c r="M50" s="11">
        <v>20</v>
      </c>
      <c r="N50" s="11">
        <v>30</v>
      </c>
      <c r="O50" s="11">
        <v>40</v>
      </c>
      <c r="P50" s="11">
        <v>50</v>
      </c>
      <c r="Q50" s="11">
        <v>60</v>
      </c>
    </row>
    <row r="51" spans="1:17" x14ac:dyDescent="0.25">
      <c r="A51" s="216" t="s">
        <v>378</v>
      </c>
      <c r="B51" s="11">
        <f>90-2</f>
        <v>88</v>
      </c>
      <c r="C51" s="11">
        <v>99</v>
      </c>
      <c r="D51" s="146">
        <v>170</v>
      </c>
      <c r="E51" s="146">
        <v>185</v>
      </c>
      <c r="F51" s="146">
        <v>200</v>
      </c>
      <c r="G51" s="146">
        <v>210</v>
      </c>
      <c r="H51" s="146">
        <v>210</v>
      </c>
      <c r="J51" s="216" t="s">
        <v>378</v>
      </c>
      <c r="K51" s="11">
        <v>0</v>
      </c>
      <c r="L51" s="11">
        <v>0</v>
      </c>
      <c r="M51" s="11">
        <v>0</v>
      </c>
      <c r="N51" s="11">
        <v>20</v>
      </c>
      <c r="O51" s="11">
        <v>30</v>
      </c>
      <c r="P51" s="11">
        <v>40</v>
      </c>
      <c r="Q51" s="11">
        <v>50</v>
      </c>
    </row>
    <row r="52" spans="1:17" x14ac:dyDescent="0.25">
      <c r="A52" s="216" t="s">
        <v>281</v>
      </c>
      <c r="B52" s="201">
        <f>SUM(B39:B51)</f>
        <v>2101</v>
      </c>
      <c r="C52" s="201">
        <f t="shared" ref="C52:G52" si="28">SUM(C39:C51)</f>
        <v>2244</v>
      </c>
      <c r="D52" s="201">
        <f t="shared" si="28"/>
        <v>2379</v>
      </c>
      <c r="E52" s="201">
        <f t="shared" si="28"/>
        <v>2419</v>
      </c>
      <c r="F52" s="201">
        <f t="shared" si="28"/>
        <v>2444</v>
      </c>
      <c r="G52" s="201">
        <f t="shared" si="28"/>
        <v>2454</v>
      </c>
      <c r="H52" s="201">
        <f>SUM(H39:H51)</f>
        <v>2454</v>
      </c>
      <c r="J52" s="216" t="s">
        <v>281</v>
      </c>
      <c r="K52" s="201">
        <f>SUM(K39:K51)</f>
        <v>0</v>
      </c>
      <c r="L52" s="201">
        <f t="shared" ref="L52:P52" si="29">SUM(L39:L51)</f>
        <v>88</v>
      </c>
      <c r="M52" s="201">
        <f t="shared" si="29"/>
        <v>170</v>
      </c>
      <c r="N52" s="201">
        <f t="shared" si="29"/>
        <v>250</v>
      </c>
      <c r="O52" s="201">
        <f t="shared" si="29"/>
        <v>320</v>
      </c>
      <c r="P52" s="201">
        <f t="shared" si="29"/>
        <v>390</v>
      </c>
      <c r="Q52" s="201">
        <f>SUM(Q39:Q51)</f>
        <v>410</v>
      </c>
    </row>
    <row r="55" spans="1:17" x14ac:dyDescent="0.25">
      <c r="B55" s="393" t="s">
        <v>243</v>
      </c>
      <c r="C55" s="393"/>
      <c r="D55" s="393"/>
      <c r="E55" s="393"/>
      <c r="F55" s="393"/>
      <c r="G55" s="393"/>
      <c r="H55" s="393"/>
    </row>
    <row r="56" spans="1:17" x14ac:dyDescent="0.25">
      <c r="B56" s="215" t="s">
        <v>224</v>
      </c>
      <c r="C56" s="215" t="s">
        <v>225</v>
      </c>
      <c r="D56" s="215" t="s">
        <v>338</v>
      </c>
      <c r="E56" s="215" t="s">
        <v>339</v>
      </c>
      <c r="F56" s="215" t="s">
        <v>340</v>
      </c>
      <c r="G56" s="215" t="s">
        <v>341</v>
      </c>
      <c r="H56" s="215" t="s">
        <v>342</v>
      </c>
    </row>
    <row r="57" spans="1:17" x14ac:dyDescent="0.25">
      <c r="A57" s="216" t="s">
        <v>9</v>
      </c>
      <c r="B57" s="11">
        <f>K21+K3+B21+B39+B3+K39+T3</f>
        <v>625</v>
      </c>
      <c r="C57" s="11">
        <f t="shared" ref="C57:H69" si="30">L21+L3+C21+C39+C3+L39+U3</f>
        <v>625</v>
      </c>
      <c r="D57" s="11">
        <f t="shared" si="30"/>
        <v>725</v>
      </c>
      <c r="E57" s="11">
        <f t="shared" si="30"/>
        <v>725</v>
      </c>
      <c r="F57" s="11">
        <f t="shared" si="30"/>
        <v>725</v>
      </c>
      <c r="G57" s="11">
        <f t="shared" si="30"/>
        <v>725</v>
      </c>
      <c r="H57" s="11">
        <f t="shared" si="30"/>
        <v>725</v>
      </c>
    </row>
    <row r="58" spans="1:17" x14ac:dyDescent="0.25">
      <c r="A58" s="216" t="s">
        <v>367</v>
      </c>
      <c r="B58" s="11">
        <f t="shared" ref="B58:B69" si="31">K22+K4+B22+B40+B4+K40+T4</f>
        <v>630</v>
      </c>
      <c r="C58" s="11">
        <f t="shared" si="30"/>
        <v>630</v>
      </c>
      <c r="D58" s="11">
        <f t="shared" si="30"/>
        <v>730</v>
      </c>
      <c r="E58" s="11">
        <f t="shared" si="30"/>
        <v>730</v>
      </c>
      <c r="F58" s="11">
        <f t="shared" si="30"/>
        <v>730</v>
      </c>
      <c r="G58" s="11">
        <f t="shared" si="30"/>
        <v>730</v>
      </c>
      <c r="H58" s="11">
        <f t="shared" si="30"/>
        <v>730</v>
      </c>
    </row>
    <row r="59" spans="1:17" x14ac:dyDescent="0.25">
      <c r="A59" s="216" t="s">
        <v>368</v>
      </c>
      <c r="B59" s="11">
        <f t="shared" si="31"/>
        <v>733</v>
      </c>
      <c r="C59" s="11">
        <f t="shared" si="30"/>
        <v>650</v>
      </c>
      <c r="D59" s="11">
        <f t="shared" si="30"/>
        <v>750</v>
      </c>
      <c r="E59" s="11">
        <f t="shared" si="30"/>
        <v>750</v>
      </c>
      <c r="F59" s="11">
        <f t="shared" si="30"/>
        <v>750</v>
      </c>
      <c r="G59" s="11">
        <f t="shared" si="30"/>
        <v>750</v>
      </c>
      <c r="H59" s="11">
        <f t="shared" si="30"/>
        <v>750</v>
      </c>
    </row>
    <row r="60" spans="1:17" x14ac:dyDescent="0.25">
      <c r="A60" s="216" t="s">
        <v>369</v>
      </c>
      <c r="B60" s="11">
        <f t="shared" si="31"/>
        <v>712</v>
      </c>
      <c r="C60" s="11">
        <f t="shared" si="30"/>
        <v>711</v>
      </c>
      <c r="D60" s="11">
        <f t="shared" si="30"/>
        <v>785</v>
      </c>
      <c r="E60" s="11">
        <f t="shared" si="30"/>
        <v>785</v>
      </c>
      <c r="F60" s="11">
        <f t="shared" si="30"/>
        <v>785</v>
      </c>
      <c r="G60" s="11">
        <f t="shared" si="30"/>
        <v>785</v>
      </c>
      <c r="H60" s="11">
        <f t="shared" si="30"/>
        <v>785</v>
      </c>
    </row>
    <row r="61" spans="1:17" x14ac:dyDescent="0.25">
      <c r="A61" s="216" t="s">
        <v>370</v>
      </c>
      <c r="B61" s="11">
        <f t="shared" si="31"/>
        <v>673</v>
      </c>
      <c r="C61" s="11">
        <f t="shared" si="30"/>
        <v>701</v>
      </c>
      <c r="D61" s="11">
        <f t="shared" si="30"/>
        <v>776</v>
      </c>
      <c r="E61" s="11">
        <f t="shared" si="30"/>
        <v>801</v>
      </c>
      <c r="F61" s="11">
        <f t="shared" si="30"/>
        <v>801</v>
      </c>
      <c r="G61" s="11">
        <f t="shared" si="30"/>
        <v>801</v>
      </c>
      <c r="H61" s="11">
        <f t="shared" si="30"/>
        <v>801</v>
      </c>
    </row>
    <row r="62" spans="1:17" x14ac:dyDescent="0.25">
      <c r="A62" s="216" t="s">
        <v>371</v>
      </c>
      <c r="B62" s="11">
        <f t="shared" si="31"/>
        <v>642</v>
      </c>
      <c r="C62" s="11">
        <f t="shared" si="30"/>
        <v>685</v>
      </c>
      <c r="D62" s="11">
        <f t="shared" si="30"/>
        <v>772</v>
      </c>
      <c r="E62" s="11">
        <f t="shared" si="30"/>
        <v>797</v>
      </c>
      <c r="F62" s="11">
        <f t="shared" si="30"/>
        <v>822</v>
      </c>
      <c r="G62" s="11">
        <f t="shared" si="30"/>
        <v>822</v>
      </c>
      <c r="H62" s="11">
        <f t="shared" si="30"/>
        <v>822</v>
      </c>
    </row>
    <row r="63" spans="1:17" x14ac:dyDescent="0.25">
      <c r="A63" s="216" t="s">
        <v>372</v>
      </c>
      <c r="B63" s="11">
        <f t="shared" si="31"/>
        <v>675</v>
      </c>
      <c r="C63" s="11">
        <f t="shared" si="30"/>
        <v>770</v>
      </c>
      <c r="D63" s="11">
        <f t="shared" si="30"/>
        <v>863</v>
      </c>
      <c r="E63" s="11">
        <f t="shared" si="30"/>
        <v>873</v>
      </c>
      <c r="F63" s="11">
        <f t="shared" si="30"/>
        <v>883</v>
      </c>
      <c r="G63" s="11">
        <f t="shared" si="30"/>
        <v>862</v>
      </c>
      <c r="H63" s="11">
        <f t="shared" si="30"/>
        <v>862</v>
      </c>
    </row>
    <row r="64" spans="1:17" x14ac:dyDescent="0.25">
      <c r="A64" s="216" t="s">
        <v>373</v>
      </c>
      <c r="B64" s="11">
        <f t="shared" si="31"/>
        <v>649</v>
      </c>
      <c r="C64" s="11">
        <f t="shared" si="30"/>
        <v>730</v>
      </c>
      <c r="D64" s="11">
        <f t="shared" si="30"/>
        <v>743</v>
      </c>
      <c r="E64" s="11">
        <f t="shared" si="30"/>
        <v>873</v>
      </c>
      <c r="F64" s="11">
        <f t="shared" si="30"/>
        <v>883</v>
      </c>
      <c r="G64" s="11">
        <f t="shared" si="30"/>
        <v>893</v>
      </c>
      <c r="H64" s="11">
        <f t="shared" si="30"/>
        <v>862</v>
      </c>
    </row>
    <row r="65" spans="1:8" x14ac:dyDescent="0.25">
      <c r="A65" s="216" t="s">
        <v>374</v>
      </c>
      <c r="B65" s="11">
        <f t="shared" si="31"/>
        <v>616</v>
      </c>
      <c r="C65" s="11">
        <f t="shared" si="30"/>
        <v>653</v>
      </c>
      <c r="D65" s="11">
        <f t="shared" si="30"/>
        <v>743</v>
      </c>
      <c r="E65" s="11">
        <f t="shared" si="30"/>
        <v>753</v>
      </c>
      <c r="F65" s="11">
        <f t="shared" si="30"/>
        <v>883</v>
      </c>
      <c r="G65" s="11">
        <f t="shared" si="30"/>
        <v>893</v>
      </c>
      <c r="H65" s="11">
        <f t="shared" si="30"/>
        <v>893</v>
      </c>
    </row>
    <row r="66" spans="1:8" x14ac:dyDescent="0.25">
      <c r="A66" s="216" t="s">
        <v>375</v>
      </c>
      <c r="B66" s="11">
        <f t="shared" si="31"/>
        <v>419</v>
      </c>
      <c r="C66" s="11">
        <f t="shared" si="30"/>
        <v>489</v>
      </c>
      <c r="D66" s="11">
        <f t="shared" si="30"/>
        <v>518</v>
      </c>
      <c r="E66" s="11">
        <f t="shared" si="30"/>
        <v>559</v>
      </c>
      <c r="F66" s="11">
        <f t="shared" si="30"/>
        <v>569</v>
      </c>
      <c r="G66" s="11">
        <f t="shared" si="30"/>
        <v>699</v>
      </c>
      <c r="H66" s="11">
        <f t="shared" si="30"/>
        <v>699</v>
      </c>
    </row>
    <row r="67" spans="1:8" x14ac:dyDescent="0.25">
      <c r="A67" s="216" t="s">
        <v>376</v>
      </c>
      <c r="B67" s="11">
        <f t="shared" si="31"/>
        <v>332</v>
      </c>
      <c r="C67" s="11">
        <f t="shared" si="30"/>
        <v>392</v>
      </c>
      <c r="D67" s="11">
        <f t="shared" si="30"/>
        <v>490</v>
      </c>
      <c r="E67" s="11">
        <f t="shared" si="30"/>
        <v>510</v>
      </c>
      <c r="F67" s="11">
        <f t="shared" si="30"/>
        <v>550</v>
      </c>
      <c r="G67" s="11">
        <f t="shared" si="30"/>
        <v>560</v>
      </c>
      <c r="H67" s="11">
        <f t="shared" si="30"/>
        <v>680</v>
      </c>
    </row>
    <row r="68" spans="1:8" x14ac:dyDescent="0.25">
      <c r="A68" s="216" t="s">
        <v>377</v>
      </c>
      <c r="B68" s="11">
        <f t="shared" si="31"/>
        <v>221</v>
      </c>
      <c r="C68" s="11">
        <f t="shared" si="30"/>
        <v>306</v>
      </c>
      <c r="D68" s="11">
        <f t="shared" si="30"/>
        <v>415</v>
      </c>
      <c r="E68" s="11">
        <f t="shared" si="30"/>
        <v>475</v>
      </c>
      <c r="F68" s="11">
        <f t="shared" si="30"/>
        <v>495</v>
      </c>
      <c r="G68" s="11">
        <f t="shared" si="30"/>
        <v>530</v>
      </c>
      <c r="H68" s="11">
        <f t="shared" si="30"/>
        <v>540</v>
      </c>
    </row>
    <row r="69" spans="1:8" x14ac:dyDescent="0.25">
      <c r="A69" s="216" t="s">
        <v>378</v>
      </c>
      <c r="B69" s="11">
        <f t="shared" si="31"/>
        <v>88</v>
      </c>
      <c r="C69" s="11">
        <f t="shared" si="30"/>
        <v>194</v>
      </c>
      <c r="D69" s="11">
        <f t="shared" si="30"/>
        <v>305</v>
      </c>
      <c r="E69" s="11">
        <f t="shared" si="30"/>
        <v>395</v>
      </c>
      <c r="F69" s="11">
        <f t="shared" si="30"/>
        <v>450</v>
      </c>
      <c r="G69" s="11">
        <f t="shared" si="30"/>
        <v>470</v>
      </c>
      <c r="H69" s="11">
        <f t="shared" si="30"/>
        <v>510</v>
      </c>
    </row>
    <row r="70" spans="1:8" x14ac:dyDescent="0.25">
      <c r="A70" s="216" t="s">
        <v>281</v>
      </c>
      <c r="B70" s="201">
        <f>SUM(B57:B69)</f>
        <v>7015</v>
      </c>
      <c r="C70" s="201">
        <f t="shared" ref="C70:G70" si="32">SUM(C57:C69)</f>
        <v>7536</v>
      </c>
      <c r="D70" s="201">
        <f t="shared" si="32"/>
        <v>8615</v>
      </c>
      <c r="E70" s="201">
        <f t="shared" si="32"/>
        <v>9026</v>
      </c>
      <c r="F70" s="201">
        <f t="shared" si="32"/>
        <v>9326</v>
      </c>
      <c r="G70" s="201">
        <f t="shared" si="32"/>
        <v>9520</v>
      </c>
      <c r="H70" s="201">
        <f>SUM(H57:H69)</f>
        <v>9659</v>
      </c>
    </row>
    <row r="72" spans="1:8" x14ac:dyDescent="0.25">
      <c r="C72" t="b">
        <f>C70='6-Year - System'!B19</f>
        <v>1</v>
      </c>
      <c r="D72" t="b">
        <f>D70='6-Year - System'!C19</f>
        <v>1</v>
      </c>
      <c r="E72" t="b">
        <f>E70='6-Year - System'!D19</f>
        <v>1</v>
      </c>
      <c r="F72" t="b">
        <f>F70='6-Year - System'!E19</f>
        <v>1</v>
      </c>
      <c r="G72" t="b">
        <f>G70='6-Year - System'!F19</f>
        <v>1</v>
      </c>
      <c r="H72" t="b">
        <f>H70='6-Year - System'!G19</f>
        <v>1</v>
      </c>
    </row>
    <row r="75" spans="1:8" x14ac:dyDescent="0.25">
      <c r="B75" s="112" t="s">
        <v>238</v>
      </c>
      <c r="C75" s="112" t="s">
        <v>208</v>
      </c>
      <c r="D75" s="112" t="s">
        <v>215</v>
      </c>
      <c r="E75" s="112" t="s">
        <v>231</v>
      </c>
      <c r="F75" s="112" t="s">
        <v>222</v>
      </c>
      <c r="G75" s="112" t="s">
        <v>236</v>
      </c>
      <c r="H75" s="112" t="s">
        <v>242</v>
      </c>
    </row>
    <row r="76" spans="1:8" x14ac:dyDescent="0.25">
      <c r="A76" t="s">
        <v>9</v>
      </c>
      <c r="B76">
        <f>'FY23'!F6</f>
        <v>150</v>
      </c>
      <c r="C76">
        <f>'FY23'!L6</f>
        <v>125</v>
      </c>
      <c r="D76">
        <f>'FY23'!R6</f>
        <v>100</v>
      </c>
      <c r="E76">
        <f>'FY23'!X6</f>
        <v>125</v>
      </c>
      <c r="F76">
        <f>'FY23'!AD6</f>
        <v>125</v>
      </c>
      <c r="G76">
        <f>'FY23'!AJ6</f>
        <v>0</v>
      </c>
      <c r="H76">
        <f>'FY23'!AP6</f>
        <v>0</v>
      </c>
    </row>
    <row r="77" spans="1:8" x14ac:dyDescent="0.25">
      <c r="A77" t="s">
        <v>367</v>
      </c>
      <c r="B77">
        <f>'FY23'!F7</f>
        <v>150</v>
      </c>
      <c r="C77">
        <f>'FY23'!L7</f>
        <v>130</v>
      </c>
      <c r="D77">
        <f>'FY23'!R7</f>
        <v>100</v>
      </c>
      <c r="E77">
        <f>'FY23'!X7</f>
        <v>125</v>
      </c>
      <c r="F77">
        <f>'FY23'!AD7</f>
        <v>125</v>
      </c>
      <c r="G77">
        <f>'FY23'!AJ7</f>
        <v>0</v>
      </c>
      <c r="H77">
        <f>'FY23'!AP7</f>
        <v>0</v>
      </c>
    </row>
    <row r="78" spans="1:8" x14ac:dyDescent="0.25">
      <c r="A78" t="s">
        <v>368</v>
      </c>
      <c r="B78">
        <f>'FY23'!F8</f>
        <v>156</v>
      </c>
      <c r="C78">
        <f>'FY23'!L8</f>
        <v>135</v>
      </c>
      <c r="D78">
        <f>'FY23'!R8</f>
        <v>104</v>
      </c>
      <c r="E78">
        <f>'FY23'!X8</f>
        <v>125</v>
      </c>
      <c r="F78">
        <f>'FY23'!AD8</f>
        <v>130</v>
      </c>
      <c r="G78">
        <f>'FY23'!AJ8</f>
        <v>0</v>
      </c>
      <c r="H78">
        <f>'FY23'!AP8</f>
        <v>0</v>
      </c>
    </row>
    <row r="79" spans="1:8" x14ac:dyDescent="0.25">
      <c r="A79" t="s">
        <v>369</v>
      </c>
      <c r="B79">
        <f>'FY23'!F9</f>
        <v>156</v>
      </c>
      <c r="C79">
        <f>'FY23'!L9</f>
        <v>135</v>
      </c>
      <c r="D79">
        <f>'FY23'!R9</f>
        <v>108</v>
      </c>
      <c r="E79">
        <f>'FY23'!X9</f>
        <v>156</v>
      </c>
      <c r="F79">
        <f>'FY23'!AD9</f>
        <v>156</v>
      </c>
      <c r="G79">
        <f>'FY23'!AJ9</f>
        <v>0</v>
      </c>
      <c r="H79">
        <f>'FY23'!AP9</f>
        <v>0</v>
      </c>
    </row>
    <row r="80" spans="1:8" x14ac:dyDescent="0.25">
      <c r="A80" t="s">
        <v>370</v>
      </c>
      <c r="B80">
        <f>'FY23'!F10</f>
        <v>162</v>
      </c>
      <c r="C80">
        <f>'FY23'!L10</f>
        <v>140</v>
      </c>
      <c r="D80">
        <f>'FY23'!R10</f>
        <v>108</v>
      </c>
      <c r="E80">
        <f>'FY23'!X10</f>
        <v>156</v>
      </c>
      <c r="F80">
        <f>'FY23'!AD10</f>
        <v>135</v>
      </c>
      <c r="G80">
        <f>'FY23'!AJ10</f>
        <v>0</v>
      </c>
      <c r="H80">
        <f>'FY23'!AP10</f>
        <v>0</v>
      </c>
    </row>
    <row r="81" spans="1:8" x14ac:dyDescent="0.25">
      <c r="A81" t="s">
        <v>371</v>
      </c>
      <c r="B81">
        <f>'FY23'!F11</f>
        <v>125</v>
      </c>
      <c r="C81">
        <f>'FY23'!L11</f>
        <v>145</v>
      </c>
      <c r="D81">
        <f>'FY23'!R11</f>
        <v>124</v>
      </c>
      <c r="E81">
        <f>'FY23'!X11</f>
        <v>156</v>
      </c>
      <c r="F81">
        <f>'FY23'!AD11</f>
        <v>135</v>
      </c>
      <c r="G81">
        <f>'FY23'!AJ11</f>
        <v>0</v>
      </c>
      <c r="H81">
        <f>'FY23'!AP11</f>
        <v>0</v>
      </c>
    </row>
    <row r="82" spans="1:8" x14ac:dyDescent="0.25">
      <c r="A82" t="s">
        <v>372</v>
      </c>
      <c r="B82">
        <f>'FY23'!F12</f>
        <v>0</v>
      </c>
      <c r="C82">
        <f>'FY23'!L12</f>
        <v>248</v>
      </c>
      <c r="D82">
        <f>'FY23'!R12</f>
        <v>124</v>
      </c>
      <c r="E82">
        <f>'FY23'!X12</f>
        <v>124</v>
      </c>
      <c r="F82">
        <f>'FY23'!AD12</f>
        <v>252</v>
      </c>
      <c r="G82">
        <f>'FY23'!AJ12</f>
        <v>0</v>
      </c>
      <c r="H82">
        <f>'FY23'!AP12</f>
        <v>22</v>
      </c>
    </row>
    <row r="83" spans="1:8" x14ac:dyDescent="0.25">
      <c r="A83" t="s">
        <v>373</v>
      </c>
      <c r="B83">
        <f>'FY23'!F13</f>
        <v>0</v>
      </c>
      <c r="C83">
        <f>'FY23'!L13</f>
        <v>248</v>
      </c>
      <c r="D83">
        <f>'FY23'!R13</f>
        <v>124</v>
      </c>
      <c r="E83">
        <f>'FY23'!X13</f>
        <v>118</v>
      </c>
      <c r="F83">
        <f>'FY23'!AD13</f>
        <v>220</v>
      </c>
      <c r="G83">
        <f>'FY23'!AJ13</f>
        <v>0</v>
      </c>
      <c r="H83">
        <f>'FY23'!AP13</f>
        <v>20</v>
      </c>
    </row>
    <row r="84" spans="1:8" x14ac:dyDescent="0.25">
      <c r="A84" t="s">
        <v>374</v>
      </c>
      <c r="B84">
        <f>'FY23'!F14</f>
        <v>0</v>
      </c>
      <c r="C84">
        <f>'FY23'!L14</f>
        <v>248</v>
      </c>
      <c r="D84">
        <f>'FY23'!R14</f>
        <v>124</v>
      </c>
      <c r="E84">
        <f>'FY23'!X14</f>
        <v>114</v>
      </c>
      <c r="F84">
        <f>'FY23'!AD14</f>
        <v>155</v>
      </c>
      <c r="G84">
        <f>'FY23'!AJ14</f>
        <v>0</v>
      </c>
      <c r="H84">
        <f>'FY23'!AP14</f>
        <v>12</v>
      </c>
    </row>
    <row r="85" spans="1:8" x14ac:dyDescent="0.25">
      <c r="A85" t="s">
        <v>375</v>
      </c>
      <c r="B85">
        <f>'FY23'!F15</f>
        <v>0</v>
      </c>
      <c r="C85">
        <f>'FY23'!L15</f>
        <v>217</v>
      </c>
      <c r="D85">
        <f>'FY23'!R15</f>
        <v>0</v>
      </c>
      <c r="E85">
        <f>'FY23'!X15</f>
        <v>0</v>
      </c>
      <c r="F85">
        <f>'FY23'!AD15</f>
        <v>250</v>
      </c>
      <c r="G85">
        <f>'FY23'!AJ15</f>
        <v>0</v>
      </c>
      <c r="H85">
        <f>'FY23'!AP15</f>
        <v>22</v>
      </c>
    </row>
    <row r="86" spans="1:8" x14ac:dyDescent="0.25">
      <c r="A86" t="s">
        <v>376</v>
      </c>
      <c r="B86">
        <f>'FY23'!F16</f>
        <v>0</v>
      </c>
      <c r="C86">
        <f>'FY23'!L16</f>
        <v>207</v>
      </c>
      <c r="D86">
        <f>'FY23'!R16</f>
        <v>0</v>
      </c>
      <c r="E86">
        <f>'FY23'!X16</f>
        <v>0</v>
      </c>
      <c r="F86">
        <f>'FY23'!AD16</f>
        <v>173</v>
      </c>
      <c r="G86">
        <f>'FY23'!AJ16</f>
        <v>0</v>
      </c>
      <c r="H86">
        <f>'FY23'!AP16</f>
        <v>12</v>
      </c>
    </row>
    <row r="87" spans="1:8" x14ac:dyDescent="0.25">
      <c r="A87" t="s">
        <v>377</v>
      </c>
      <c r="B87">
        <f>'FY23'!F17</f>
        <v>0</v>
      </c>
      <c r="C87">
        <f>'FY23'!L17</f>
        <v>167</v>
      </c>
      <c r="D87">
        <f>'FY23'!R17</f>
        <v>0</v>
      </c>
      <c r="E87">
        <f>'FY23'!X17</f>
        <v>0</v>
      </c>
      <c r="F87">
        <f>'FY23'!AD17</f>
        <v>139</v>
      </c>
      <c r="G87">
        <f>'FY23'!AJ17</f>
        <v>0</v>
      </c>
      <c r="H87">
        <f>'FY23'!AP17</f>
        <v>0</v>
      </c>
    </row>
    <row r="88" spans="1:8" x14ac:dyDescent="0.25">
      <c r="A88" t="s">
        <v>378</v>
      </c>
      <c r="B88">
        <f>'FY23'!F18</f>
        <v>0</v>
      </c>
      <c r="C88">
        <f>'FY23'!L18</f>
        <v>99</v>
      </c>
      <c r="D88">
        <f>'FY23'!R18</f>
        <v>0</v>
      </c>
      <c r="E88">
        <f>'FY23'!X18</f>
        <v>0</v>
      </c>
      <c r="F88">
        <f>'FY23'!AD18</f>
        <v>95</v>
      </c>
      <c r="G88">
        <f>'FY23'!AJ18</f>
        <v>0</v>
      </c>
      <c r="H88">
        <f>'FY23'!AP18</f>
        <v>0</v>
      </c>
    </row>
    <row r="89" spans="1:8" x14ac:dyDescent="0.25">
      <c r="A89" t="s">
        <v>281</v>
      </c>
      <c r="B89">
        <f>SUM(B76:B88)</f>
        <v>899</v>
      </c>
      <c r="C89">
        <f t="shared" ref="C89:H89" si="33">SUM(C76:C88)</f>
        <v>2244</v>
      </c>
      <c r="D89">
        <f t="shared" si="33"/>
        <v>1016</v>
      </c>
      <c r="E89">
        <f t="shared" si="33"/>
        <v>1199</v>
      </c>
      <c r="F89">
        <f t="shared" si="33"/>
        <v>2090</v>
      </c>
      <c r="G89">
        <f t="shared" si="33"/>
        <v>0</v>
      </c>
      <c r="H89">
        <f t="shared" si="33"/>
        <v>88</v>
      </c>
    </row>
  </sheetData>
  <mergeCells count="8">
    <mergeCell ref="T1:Z1"/>
    <mergeCell ref="B55:H55"/>
    <mergeCell ref="B1:H1"/>
    <mergeCell ref="K1:Q1"/>
    <mergeCell ref="B19:H19"/>
    <mergeCell ref="K19:Q19"/>
    <mergeCell ref="B37:H37"/>
    <mergeCell ref="K37:Q3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H53"/>
  <sheetViews>
    <sheetView topLeftCell="A16" zoomScale="85" zoomScaleNormal="85" workbookViewId="0">
      <selection activeCell="I51" sqref="A46:I51"/>
    </sheetView>
  </sheetViews>
  <sheetFormatPr defaultRowHeight="15" x14ac:dyDescent="0.25"/>
  <cols>
    <col min="1" max="1" width="34.85546875" bestFit="1" customWidth="1"/>
    <col min="2" max="2" width="41.42578125" customWidth="1"/>
    <col min="3" max="8" width="13.85546875" customWidth="1"/>
  </cols>
  <sheetData>
    <row r="2" spans="1:8" x14ac:dyDescent="0.25">
      <c r="A2" s="218" t="s">
        <v>243</v>
      </c>
    </row>
    <row r="3" spans="1:8" x14ac:dyDescent="0.25">
      <c r="B3" s="213" t="s">
        <v>379</v>
      </c>
      <c r="C3" s="213" t="str">
        <f>'6-Year - System'!B1</f>
        <v xml:space="preserve"> FY 23</v>
      </c>
      <c r="D3" s="213" t="str">
        <f>'6-Year - System'!C1</f>
        <v xml:space="preserve"> FY 24</v>
      </c>
      <c r="E3" s="213" t="str">
        <f>'6-Year - System'!D1</f>
        <v xml:space="preserve"> FY 25</v>
      </c>
      <c r="F3" s="213" t="str">
        <f>'6-Year - System'!E1</f>
        <v xml:space="preserve"> FY 26</v>
      </c>
      <c r="G3" s="213" t="str">
        <f>'6-Year - System'!F1</f>
        <v xml:space="preserve"> FY 27</v>
      </c>
      <c r="H3" s="213" t="str">
        <f>'6-Year - System'!G1</f>
        <v xml:space="preserve"> FY 28</v>
      </c>
    </row>
    <row r="4" spans="1:8" x14ac:dyDescent="0.25">
      <c r="B4" s="146" t="s">
        <v>41</v>
      </c>
      <c r="C4" s="264">
        <f>'6-Year - System'!B42</f>
        <v>5</v>
      </c>
      <c r="D4" s="264">
        <f>'6-Year - System'!C42</f>
        <v>6</v>
      </c>
      <c r="E4" s="264">
        <f>'6-Year - System'!D42</f>
        <v>6</v>
      </c>
      <c r="F4" s="264">
        <f>'6-Year - System'!E42</f>
        <v>6</v>
      </c>
      <c r="G4" s="264">
        <f>'6-Year - System'!F42</f>
        <v>6</v>
      </c>
      <c r="H4" s="264">
        <f>'6-Year - System'!G42</f>
        <v>6</v>
      </c>
    </row>
    <row r="5" spans="1:8" x14ac:dyDescent="0.25">
      <c r="B5" s="146" t="s">
        <v>42</v>
      </c>
      <c r="C5" s="264">
        <f>'6-Year - System'!B43</f>
        <v>15</v>
      </c>
      <c r="D5" s="264">
        <f>'6-Year - System'!C43</f>
        <v>16</v>
      </c>
      <c r="E5" s="264">
        <f>'6-Year - System'!D43</f>
        <v>17</v>
      </c>
      <c r="F5" s="264">
        <f>'6-Year - System'!E43</f>
        <v>17</v>
      </c>
      <c r="G5" s="264">
        <f>'6-Year - System'!F43</f>
        <v>18</v>
      </c>
      <c r="H5" s="264">
        <f>'6-Year - System'!G43</f>
        <v>18</v>
      </c>
    </row>
    <row r="6" spans="1:8" x14ac:dyDescent="0.25">
      <c r="B6" s="146" t="s">
        <v>380</v>
      </c>
      <c r="C6" s="264">
        <f>'6-Year - System'!B44+'6-Year - System'!B61</f>
        <v>1</v>
      </c>
      <c r="D6" s="264">
        <f>'6-Year - System'!C44+'6-Year - System'!C61</f>
        <v>2</v>
      </c>
      <c r="E6" s="264">
        <f>'6-Year - System'!D44+'6-Year - System'!D61</f>
        <v>2</v>
      </c>
      <c r="F6" s="264">
        <f>'6-Year - System'!E44+'6-Year - System'!E61</f>
        <v>2.5</v>
      </c>
      <c r="G6" s="264">
        <f>'6-Year - System'!F44+'6-Year - System'!F61</f>
        <v>2.5</v>
      </c>
      <c r="H6" s="264">
        <f>'6-Year - System'!G44+'6-Year - System'!G61</f>
        <v>3</v>
      </c>
    </row>
    <row r="7" spans="1:8" x14ac:dyDescent="0.25">
      <c r="B7" s="146" t="s">
        <v>381</v>
      </c>
      <c r="C7" s="264">
        <f>'6-Year - System'!B45</f>
        <v>10</v>
      </c>
      <c r="D7" s="264">
        <f>'6-Year - System'!C45</f>
        <v>10</v>
      </c>
      <c r="E7" s="264">
        <f>'6-Year - System'!D45</f>
        <v>10</v>
      </c>
      <c r="F7" s="264">
        <f>'6-Year - System'!E45</f>
        <v>11</v>
      </c>
      <c r="G7" s="264">
        <f>'6-Year - System'!F45</f>
        <v>11</v>
      </c>
      <c r="H7" s="264">
        <f>'6-Year - System'!G45</f>
        <v>11</v>
      </c>
    </row>
    <row r="8" spans="1:8" x14ac:dyDescent="0.25">
      <c r="B8" s="146" t="s">
        <v>45</v>
      </c>
      <c r="C8" s="264">
        <f>'6-Year - System'!B46</f>
        <v>8</v>
      </c>
      <c r="D8" s="264">
        <f>'6-Year - System'!C46</f>
        <v>8</v>
      </c>
      <c r="E8" s="264">
        <f>'6-Year - System'!D46</f>
        <v>8</v>
      </c>
      <c r="F8" s="264">
        <f>'6-Year - System'!E46</f>
        <v>8</v>
      </c>
      <c r="G8" s="264">
        <f>'6-Year - System'!F46</f>
        <v>9</v>
      </c>
      <c r="H8" s="264">
        <f>'6-Year - System'!G46</f>
        <v>9</v>
      </c>
    </row>
    <row r="9" spans="1:8" x14ac:dyDescent="0.25">
      <c r="B9" s="146" t="s">
        <v>382</v>
      </c>
      <c r="C9" s="264">
        <f>'6-Year - System'!B29</f>
        <v>265</v>
      </c>
      <c r="D9" s="264">
        <f>'6-Year - System'!C29</f>
        <v>304</v>
      </c>
      <c r="E9" s="264">
        <f>'6-Year - System'!D29</f>
        <v>315</v>
      </c>
      <c r="F9" s="264">
        <f>'6-Year - System'!E29</f>
        <v>323</v>
      </c>
      <c r="G9" s="264">
        <f>'6-Year - System'!F29</f>
        <v>328</v>
      </c>
      <c r="H9" s="264">
        <f>'6-Year - System'!G29</f>
        <v>332</v>
      </c>
    </row>
    <row r="10" spans="1:8" x14ac:dyDescent="0.25">
      <c r="B10" s="146" t="s">
        <v>383</v>
      </c>
      <c r="C10" s="264">
        <f>SUM('6-Year - System'!B31:B38)+'6-Year - System'!B60</f>
        <v>52</v>
      </c>
      <c r="D10" s="264">
        <f>SUM('6-Year - System'!C31:C38)+'6-Year - System'!C60</f>
        <v>55.5</v>
      </c>
      <c r="E10" s="264">
        <f>SUM('6-Year - System'!D31:D38)+'6-Year - System'!D60</f>
        <v>56</v>
      </c>
      <c r="F10" s="264">
        <f>SUM('6-Year - System'!E31:E38)+'6-Year - System'!E60</f>
        <v>58</v>
      </c>
      <c r="G10" s="264">
        <f>SUM('6-Year - System'!F31:F38)+'6-Year - System'!F60</f>
        <v>58.5</v>
      </c>
      <c r="H10" s="264">
        <f>SUM('6-Year - System'!G31:G38)+'6-Year - System'!G60</f>
        <v>59.5</v>
      </c>
    </row>
    <row r="11" spans="1:8" x14ac:dyDescent="0.25">
      <c r="B11" s="146" t="s">
        <v>384</v>
      </c>
      <c r="C11" s="264">
        <f>'6-Year - System'!B30</f>
        <v>36</v>
      </c>
      <c r="D11" s="264">
        <f>'6-Year - System'!C30</f>
        <v>39</v>
      </c>
      <c r="E11" s="264">
        <f>'6-Year - System'!D30</f>
        <v>40.5</v>
      </c>
      <c r="F11" s="264">
        <f>'6-Year - System'!E30</f>
        <v>41</v>
      </c>
      <c r="G11" s="264">
        <f>'6-Year - System'!F30</f>
        <v>42</v>
      </c>
      <c r="H11" s="264">
        <f>'6-Year - System'!G30</f>
        <v>42.5</v>
      </c>
    </row>
    <row r="12" spans="1:8" ht="30" x14ac:dyDescent="0.25">
      <c r="B12" s="265" t="s">
        <v>385</v>
      </c>
      <c r="C12" s="264">
        <f>SUM('6-Year - System'!B55:B59)</f>
        <v>9.5</v>
      </c>
      <c r="D12" s="264">
        <f>SUM('6-Year - System'!C55:C59)</f>
        <v>9.5</v>
      </c>
      <c r="E12" s="264">
        <f>SUM('6-Year - System'!D55:D59)</f>
        <v>9.5</v>
      </c>
      <c r="F12" s="264">
        <f>SUM('6-Year - System'!E55:E59)</f>
        <v>9.5</v>
      </c>
      <c r="G12" s="264">
        <f>SUM('6-Year - System'!F55:F59)</f>
        <v>9.5</v>
      </c>
      <c r="H12" s="264">
        <f>SUM('6-Year - System'!G55:G59)</f>
        <v>9.5</v>
      </c>
    </row>
    <row r="13" spans="1:8" x14ac:dyDescent="0.25">
      <c r="B13" s="146" t="s">
        <v>200</v>
      </c>
      <c r="C13" s="264">
        <f>'6-Year - System'!B47</f>
        <v>8</v>
      </c>
      <c r="D13" s="264">
        <f>'6-Year - System'!C47</f>
        <v>9</v>
      </c>
      <c r="E13" s="264">
        <f>'6-Year - System'!D47</f>
        <v>9</v>
      </c>
      <c r="F13" s="264">
        <f>'6-Year - System'!E47</f>
        <v>9</v>
      </c>
      <c r="G13" s="264">
        <f>'6-Year - System'!F47</f>
        <v>9</v>
      </c>
      <c r="H13" s="264">
        <f>'6-Year - System'!G47</f>
        <v>9</v>
      </c>
    </row>
    <row r="14" spans="1:8" x14ac:dyDescent="0.25">
      <c r="B14" s="146" t="s">
        <v>47</v>
      </c>
      <c r="C14" s="264">
        <f>'6-Year - System'!B48</f>
        <v>6.5</v>
      </c>
      <c r="D14" s="264">
        <f>'6-Year - System'!C48</f>
        <v>6.5</v>
      </c>
      <c r="E14" s="264">
        <f>'6-Year - System'!D48</f>
        <v>7.5</v>
      </c>
      <c r="F14" s="264">
        <f>'6-Year - System'!E48</f>
        <v>7.5</v>
      </c>
      <c r="G14" s="264">
        <f>'6-Year - System'!F48</f>
        <v>7.5</v>
      </c>
      <c r="H14" s="264">
        <f>'6-Year - System'!G48</f>
        <v>7.5</v>
      </c>
    </row>
    <row r="15" spans="1:8" x14ac:dyDescent="0.25">
      <c r="B15" s="146" t="s">
        <v>386</v>
      </c>
      <c r="C15" s="264">
        <f>'6-Year - System'!B49+'6-Year - System'!B50</f>
        <v>14</v>
      </c>
      <c r="D15" s="264">
        <f>'6-Year - System'!C49+'6-Year - System'!C50</f>
        <v>15</v>
      </c>
      <c r="E15" s="264">
        <f>'6-Year - System'!D49+'6-Year - System'!D50</f>
        <v>16</v>
      </c>
      <c r="F15" s="264">
        <f>'6-Year - System'!E49+'6-Year - System'!E50</f>
        <v>16</v>
      </c>
      <c r="G15" s="264">
        <f>'6-Year - System'!F49+'6-Year - System'!F50</f>
        <v>16</v>
      </c>
      <c r="H15" s="264">
        <f>'6-Year - System'!G49+'6-Year - System'!G50</f>
        <v>16</v>
      </c>
    </row>
    <row r="16" spans="1:8" x14ac:dyDescent="0.25">
      <c r="B16" s="146" t="s">
        <v>50</v>
      </c>
      <c r="C16" s="264">
        <f>'6-Year - System'!B51</f>
        <v>53.5</v>
      </c>
      <c r="D16" s="264">
        <f>'6-Year - System'!C51</f>
        <v>56.5</v>
      </c>
      <c r="E16" s="264">
        <f>'6-Year - System'!D51</f>
        <v>62.5</v>
      </c>
      <c r="F16" s="264">
        <f>'6-Year - System'!E51</f>
        <v>64.5</v>
      </c>
      <c r="G16" s="264">
        <f>'6-Year - System'!F51</f>
        <v>66.5</v>
      </c>
      <c r="H16" s="264">
        <f>'6-Year - System'!G51</f>
        <v>66.5</v>
      </c>
    </row>
    <row r="17" spans="1:8" x14ac:dyDescent="0.25">
      <c r="B17" s="146" t="s">
        <v>51</v>
      </c>
      <c r="C17" s="264">
        <f>'6-Year - System'!B52</f>
        <v>14</v>
      </c>
      <c r="D17" s="264">
        <f>'6-Year - System'!C52</f>
        <v>15</v>
      </c>
      <c r="E17" s="264">
        <f>'6-Year - System'!D52</f>
        <v>15</v>
      </c>
      <c r="F17" s="264">
        <f>'6-Year - System'!E52</f>
        <v>16</v>
      </c>
      <c r="G17" s="264">
        <f>'6-Year - System'!F52</f>
        <v>16</v>
      </c>
      <c r="H17" s="264">
        <f>'6-Year - System'!G52</f>
        <v>16</v>
      </c>
    </row>
    <row r="18" spans="1:8" x14ac:dyDescent="0.25">
      <c r="B18" s="146" t="s">
        <v>52</v>
      </c>
      <c r="C18" s="264">
        <f>'6-Year - System'!B53</f>
        <v>8</v>
      </c>
      <c r="D18" s="264">
        <f>'6-Year - System'!C53</f>
        <v>9</v>
      </c>
      <c r="E18" s="264">
        <f>'6-Year - System'!D53</f>
        <v>9</v>
      </c>
      <c r="F18" s="264">
        <f>'6-Year - System'!E53</f>
        <v>9</v>
      </c>
      <c r="G18" s="264">
        <f>'6-Year - System'!F53</f>
        <v>9</v>
      </c>
      <c r="H18" s="264">
        <f>'6-Year - System'!G53</f>
        <v>9</v>
      </c>
    </row>
    <row r="19" spans="1:8" x14ac:dyDescent="0.25">
      <c r="B19" s="261" t="s">
        <v>387</v>
      </c>
      <c r="C19" s="263">
        <f t="shared" ref="C19:H19" si="0">SUM(C4:C18)</f>
        <v>505.5</v>
      </c>
      <c r="D19" s="263">
        <f t="shared" si="0"/>
        <v>561</v>
      </c>
      <c r="E19" s="263">
        <f t="shared" si="0"/>
        <v>583</v>
      </c>
      <c r="F19" s="263">
        <f t="shared" si="0"/>
        <v>598</v>
      </c>
      <c r="G19" s="263">
        <f t="shared" si="0"/>
        <v>608.5</v>
      </c>
      <c r="H19" s="263">
        <f t="shared" si="0"/>
        <v>614.5</v>
      </c>
    </row>
    <row r="20" spans="1:8" x14ac:dyDescent="0.25">
      <c r="B20" s="261" t="s">
        <v>388</v>
      </c>
      <c r="C20" s="9">
        <f>'6-Year - System'!B129</f>
        <v>23453728.608364001</v>
      </c>
      <c r="D20" s="9">
        <f>'6-Year - System'!C129</f>
        <v>26706714.579072781</v>
      </c>
      <c r="E20" s="9">
        <f>'6-Year - System'!D129</f>
        <v>28215956.163950488</v>
      </c>
      <c r="F20" s="9">
        <f>'6-Year - System'!E129</f>
        <v>29515649.980525743</v>
      </c>
      <c r="G20" s="9">
        <f>'6-Year - System'!F129</f>
        <v>30693142.87343251</v>
      </c>
      <c r="H20" s="9">
        <f>'6-Year - System'!G129</f>
        <v>31627238.030901164</v>
      </c>
    </row>
    <row r="22" spans="1:8" x14ac:dyDescent="0.25">
      <c r="C22" t="b">
        <f>C19='6-Year - System'!B66</f>
        <v>1</v>
      </c>
      <c r="D22" t="b">
        <f>D19='6-Year - System'!C66</f>
        <v>1</v>
      </c>
      <c r="E22" t="b">
        <f>E19='6-Year - System'!D66</f>
        <v>1</v>
      </c>
      <c r="F22" t="b">
        <f>F19='6-Year - System'!E66</f>
        <v>1</v>
      </c>
      <c r="G22" t="b">
        <f>G19='6-Year - System'!F66</f>
        <v>1</v>
      </c>
      <c r="H22" t="b">
        <f>H19='6-Year - System'!G66</f>
        <v>1</v>
      </c>
    </row>
    <row r="24" spans="1:8" x14ac:dyDescent="0.25">
      <c r="A24" s="218" t="s">
        <v>389</v>
      </c>
    </row>
    <row r="25" spans="1:8" x14ac:dyDescent="0.25">
      <c r="B25" s="213" t="s">
        <v>379</v>
      </c>
      <c r="C25" s="213" t="str">
        <f>'6-Year - Springs (new campus)'!B1</f>
        <v xml:space="preserve"> FY 23</v>
      </c>
      <c r="D25" s="213" t="str">
        <f>'6-Year - Springs (new campus)'!C1</f>
        <v xml:space="preserve"> FY 24</v>
      </c>
      <c r="E25" s="213" t="str">
        <f>'6-Year - Springs (new campus)'!D1</f>
        <v xml:space="preserve"> FY 25</v>
      </c>
      <c r="F25" s="213" t="str">
        <f>'6-Year - Springs (new campus)'!E1</f>
        <v xml:space="preserve"> FY 26</v>
      </c>
      <c r="G25" s="213" t="str">
        <f>'6-Year - Springs (new campus)'!F1</f>
        <v xml:space="preserve"> FY 27</v>
      </c>
      <c r="H25" s="213" t="str">
        <f>'6-Year - Springs (new campus)'!G1</f>
        <v xml:space="preserve"> FY 28</v>
      </c>
    </row>
    <row r="26" spans="1:8" x14ac:dyDescent="0.25">
      <c r="B26" s="146" t="s">
        <v>41</v>
      </c>
      <c r="C26" s="264">
        <f>'6-Year - Springs (new campus)'!B42</f>
        <v>0</v>
      </c>
      <c r="D26" s="264">
        <f>'6-Year - Springs (new campus)'!C42</f>
        <v>1</v>
      </c>
      <c r="E26" s="264">
        <f>'6-Year - Springs (new campus)'!D42</f>
        <v>1</v>
      </c>
      <c r="F26" s="264">
        <f>'6-Year - Springs (new campus)'!E42</f>
        <v>1</v>
      </c>
      <c r="G26" s="264">
        <f>'6-Year - Springs (new campus)'!F42</f>
        <v>1</v>
      </c>
      <c r="H26" s="264">
        <f>'6-Year - Springs (new campus)'!G42</f>
        <v>1</v>
      </c>
    </row>
    <row r="27" spans="1:8" x14ac:dyDescent="0.25">
      <c r="B27" s="146" t="s">
        <v>42</v>
      </c>
      <c r="C27" s="264">
        <f>'6-Year - Springs (new campus)'!B43</f>
        <v>0</v>
      </c>
      <c r="D27" s="264">
        <f>'6-Year - Springs (new campus)'!C43</f>
        <v>1</v>
      </c>
      <c r="E27" s="264">
        <f>'6-Year - Springs (new campus)'!D43</f>
        <v>2</v>
      </c>
      <c r="F27" s="264">
        <f>'6-Year - Springs (new campus)'!E43</f>
        <v>2</v>
      </c>
      <c r="G27" s="264">
        <f>'6-Year - Springs (new campus)'!F43</f>
        <v>3</v>
      </c>
      <c r="H27" s="264">
        <f>'6-Year - Springs (new campus)'!G43</f>
        <v>3</v>
      </c>
    </row>
    <row r="28" spans="1:8" x14ac:dyDescent="0.25">
      <c r="B28" s="146" t="s">
        <v>380</v>
      </c>
      <c r="C28" s="264">
        <f>'6-Year - Springs (new campus)'!B44</f>
        <v>0</v>
      </c>
      <c r="D28" s="264">
        <f>'6-Year - Springs (new campus)'!C44</f>
        <v>1</v>
      </c>
      <c r="E28" s="264">
        <f>'6-Year - Springs (new campus)'!D44</f>
        <v>1</v>
      </c>
      <c r="F28" s="264">
        <f>'6-Year - Springs (new campus)'!E44</f>
        <v>1.5</v>
      </c>
      <c r="G28" s="264">
        <f>'6-Year - Springs (new campus)'!F44</f>
        <v>1.5</v>
      </c>
      <c r="H28" s="264">
        <f>'6-Year - Springs (new campus)'!G44</f>
        <v>2</v>
      </c>
    </row>
    <row r="29" spans="1:8" x14ac:dyDescent="0.25">
      <c r="B29" s="146" t="s">
        <v>381</v>
      </c>
      <c r="C29" s="264">
        <f>'6-Year - Springs (new campus)'!B45</f>
        <v>0</v>
      </c>
      <c r="D29" s="264">
        <f>'6-Year - Springs (new campus)'!C45</f>
        <v>0</v>
      </c>
      <c r="E29" s="264">
        <f>'6-Year - Springs (new campus)'!D45</f>
        <v>0</v>
      </c>
      <c r="F29" s="264">
        <f>'6-Year - Springs (new campus)'!E45</f>
        <v>1</v>
      </c>
      <c r="G29" s="264">
        <f>'6-Year - Springs (new campus)'!F45</f>
        <v>1</v>
      </c>
      <c r="H29" s="264">
        <f>'6-Year - Springs (new campus)'!G45</f>
        <v>1</v>
      </c>
    </row>
    <row r="30" spans="1:8" x14ac:dyDescent="0.25">
      <c r="B30" s="146" t="s">
        <v>45</v>
      </c>
      <c r="C30" s="264">
        <f>'6-Year - Springs (new campus)'!B46</f>
        <v>0</v>
      </c>
      <c r="D30" s="264">
        <f>'6-Year - Springs (new campus)'!C46</f>
        <v>0</v>
      </c>
      <c r="E30" s="264">
        <f>'6-Year - Springs (new campus)'!D46</f>
        <v>0</v>
      </c>
      <c r="F30" s="264">
        <f>'6-Year - Springs (new campus)'!E46</f>
        <v>0</v>
      </c>
      <c r="G30" s="264">
        <f>'6-Year - Springs (new campus)'!F46</f>
        <v>1</v>
      </c>
      <c r="H30" s="264">
        <f>'6-Year - Springs (new campus)'!G46</f>
        <v>1</v>
      </c>
    </row>
    <row r="31" spans="1:8" x14ac:dyDescent="0.25">
      <c r="B31" s="146" t="s">
        <v>382</v>
      </c>
      <c r="C31" s="264">
        <f>'6-Year - Springs (new campus)'!B29</f>
        <v>0</v>
      </c>
      <c r="D31" s="264">
        <f>'6-Year - Springs (new campus)'!C29</f>
        <v>25</v>
      </c>
      <c r="E31" s="264">
        <f>'6-Year - Springs (new campus)'!D29</f>
        <v>31</v>
      </c>
      <c r="F31" s="264">
        <f>'6-Year - Springs (new campus)'!E29</f>
        <v>36</v>
      </c>
      <c r="G31" s="264">
        <f>'6-Year - Springs (new campus)'!F29</f>
        <v>40</v>
      </c>
      <c r="H31" s="264">
        <f>'6-Year - Springs (new campus)'!G29</f>
        <v>44</v>
      </c>
    </row>
    <row r="32" spans="1:8" x14ac:dyDescent="0.25">
      <c r="B32" s="146" t="s">
        <v>383</v>
      </c>
      <c r="C32" s="264">
        <f>SUM('6-Year - Springs (new campus)'!B31:B38)</f>
        <v>0</v>
      </c>
      <c r="D32" s="264">
        <f>SUM('6-Year - Springs (new campus)'!C31:C38)+'6-Year - Springs (new campus)'!C60</f>
        <v>3</v>
      </c>
      <c r="E32" s="264">
        <f>SUM('6-Year - Springs (new campus)'!D31:D38)+'6-Year - Springs (new campus)'!D60</f>
        <v>3.5</v>
      </c>
      <c r="F32" s="264">
        <f>SUM('6-Year - Springs (new campus)'!E31:E38)+'6-Year - Springs (new campus)'!E60</f>
        <v>5.5</v>
      </c>
      <c r="G32" s="264">
        <f>SUM('6-Year - Springs (new campus)'!F31:F38)+'6-Year - Springs (new campus)'!F60</f>
        <v>6</v>
      </c>
      <c r="H32" s="264">
        <f>SUM('6-Year - Springs (new campus)'!G31:G38)+'6-Year - Springs (new campus)'!G60</f>
        <v>7</v>
      </c>
    </row>
    <row r="33" spans="2:8" x14ac:dyDescent="0.25">
      <c r="B33" s="146" t="s">
        <v>384</v>
      </c>
      <c r="C33" s="264">
        <f>'6-Year - Springs (new campus)'!B30</f>
        <v>0</v>
      </c>
      <c r="D33" s="264">
        <f>'6-Year - Springs (new campus)'!C30</f>
        <v>3</v>
      </c>
      <c r="E33" s="264">
        <f>'6-Year - Springs (new campus)'!D30</f>
        <v>3.5</v>
      </c>
      <c r="F33" s="264">
        <f>'6-Year - Springs (new campus)'!E30</f>
        <v>4</v>
      </c>
      <c r="G33" s="264">
        <f>'6-Year - Springs (new campus)'!F30</f>
        <v>5</v>
      </c>
      <c r="H33" s="264">
        <f>'6-Year - Springs (new campus)'!G30</f>
        <v>5.5</v>
      </c>
    </row>
    <row r="34" spans="2:8" ht="30" hidden="1" x14ac:dyDescent="0.25">
      <c r="B34" s="265" t="s">
        <v>385</v>
      </c>
      <c r="C34" s="264">
        <f>'6-Year - Springs (new campus)'!B55</f>
        <v>0</v>
      </c>
      <c r="D34" s="264">
        <f>'6-Year - Springs (new campus)'!C55</f>
        <v>0</v>
      </c>
      <c r="E34" s="264">
        <f>'6-Year - Springs (new campus)'!D55</f>
        <v>0</v>
      </c>
      <c r="F34" s="264">
        <f>'6-Year - Springs (new campus)'!E55</f>
        <v>0</v>
      </c>
      <c r="G34" s="264">
        <f>'6-Year - Springs (new campus)'!F55</f>
        <v>0</v>
      </c>
      <c r="H34" s="264">
        <f>'6-Year - Springs (new campus)'!G55</f>
        <v>0</v>
      </c>
    </row>
    <row r="35" spans="2:8" x14ac:dyDescent="0.25">
      <c r="B35" s="146" t="s">
        <v>200</v>
      </c>
      <c r="C35" s="264">
        <f>'6-Year - Springs (new campus)'!B47</f>
        <v>0</v>
      </c>
      <c r="D35" s="264">
        <f>'6-Year - Springs (new campus)'!C47</f>
        <v>1</v>
      </c>
      <c r="E35" s="264">
        <f>'6-Year - Springs (new campus)'!D47</f>
        <v>1</v>
      </c>
      <c r="F35" s="264">
        <f>'6-Year - Springs (new campus)'!E47</f>
        <v>1</v>
      </c>
      <c r="G35" s="264">
        <f>'6-Year - Springs (new campus)'!F47</f>
        <v>1</v>
      </c>
      <c r="H35" s="264">
        <f>'6-Year - Springs (new campus)'!G47</f>
        <v>1</v>
      </c>
    </row>
    <row r="36" spans="2:8" x14ac:dyDescent="0.25">
      <c r="B36" s="146" t="s">
        <v>47</v>
      </c>
      <c r="C36" s="264">
        <f>'6-Year - Springs (new campus)'!B48</f>
        <v>0</v>
      </c>
      <c r="D36" s="264">
        <f>'6-Year - Springs (new campus)'!C48</f>
        <v>0</v>
      </c>
      <c r="E36" s="264">
        <f>'6-Year - Springs (new campus)'!D48</f>
        <v>1</v>
      </c>
      <c r="F36" s="264">
        <f>'6-Year - Springs (new campus)'!E48</f>
        <v>1</v>
      </c>
      <c r="G36" s="264">
        <f>'6-Year - Springs (new campus)'!F48</f>
        <v>1</v>
      </c>
      <c r="H36" s="264">
        <f>'6-Year - Springs (new campus)'!G48</f>
        <v>1</v>
      </c>
    </row>
    <row r="37" spans="2:8" x14ac:dyDescent="0.25">
      <c r="B37" s="146" t="s">
        <v>386</v>
      </c>
      <c r="C37" s="264">
        <f>'6-Year - Springs (new campus)'!B49+'6-Year - Springs (new campus)'!B50</f>
        <v>0</v>
      </c>
      <c r="D37" s="264">
        <f>'6-Year - Springs (new campus)'!C49+'6-Year - Springs (new campus)'!C50</f>
        <v>1</v>
      </c>
      <c r="E37" s="264">
        <f>'6-Year - Springs (new campus)'!D49+'6-Year - Springs (new campus)'!D50</f>
        <v>2</v>
      </c>
      <c r="F37" s="264">
        <f>'6-Year - Springs (new campus)'!E49+'6-Year - Springs (new campus)'!E50</f>
        <v>2</v>
      </c>
      <c r="G37" s="264">
        <f>'6-Year - Springs (new campus)'!F49+'6-Year - Springs (new campus)'!F50</f>
        <v>2</v>
      </c>
      <c r="H37" s="264">
        <f>'6-Year - Springs (new campus)'!G49+'6-Year - Springs (new campus)'!G50</f>
        <v>2</v>
      </c>
    </row>
    <row r="38" spans="2:8" x14ac:dyDescent="0.25">
      <c r="B38" s="146" t="s">
        <v>50</v>
      </c>
      <c r="C38" s="264">
        <f>'6-Year - Springs (new campus)'!B51</f>
        <v>0</v>
      </c>
      <c r="D38" s="264">
        <f>'6-Year - Springs (new campus)'!C51</f>
        <v>1</v>
      </c>
      <c r="E38" s="264">
        <f>'6-Year - Springs (new campus)'!D51</f>
        <v>5</v>
      </c>
      <c r="F38" s="264">
        <f>'6-Year - Springs (new campus)'!E51</f>
        <v>5</v>
      </c>
      <c r="G38" s="264">
        <f>'6-Year - Springs (new campus)'!F51</f>
        <v>5</v>
      </c>
      <c r="H38" s="264">
        <f>'6-Year - Springs (new campus)'!G51</f>
        <v>5</v>
      </c>
    </row>
    <row r="39" spans="2:8" x14ac:dyDescent="0.25">
      <c r="B39" s="146" t="s">
        <v>51</v>
      </c>
      <c r="C39" s="264">
        <f>'6-Year - Springs (new campus)'!B52</f>
        <v>0</v>
      </c>
      <c r="D39" s="264">
        <f>'6-Year - Springs (new campus)'!C52</f>
        <v>1</v>
      </c>
      <c r="E39" s="264">
        <f>'6-Year - Springs (new campus)'!D52</f>
        <v>1</v>
      </c>
      <c r="F39" s="264">
        <f>'6-Year - Springs (new campus)'!E52</f>
        <v>2</v>
      </c>
      <c r="G39" s="264">
        <f>'6-Year - Springs (new campus)'!F52</f>
        <v>2</v>
      </c>
      <c r="H39" s="264">
        <f>'6-Year - Springs (new campus)'!G52</f>
        <v>2</v>
      </c>
    </row>
    <row r="40" spans="2:8" x14ac:dyDescent="0.25">
      <c r="B40" s="146" t="s">
        <v>52</v>
      </c>
      <c r="C40" s="264">
        <f>'6-Year - Springs (new campus)'!B53</f>
        <v>0</v>
      </c>
      <c r="D40" s="264">
        <f>'6-Year - Springs (new campus)'!C53</f>
        <v>1</v>
      </c>
      <c r="E40" s="264">
        <f>'6-Year - Springs (new campus)'!D53</f>
        <v>1</v>
      </c>
      <c r="F40" s="264">
        <f>'6-Year - Springs (new campus)'!E53</f>
        <v>1</v>
      </c>
      <c r="G40" s="264">
        <f>'6-Year - Springs (new campus)'!F53</f>
        <v>1</v>
      </c>
      <c r="H40" s="264">
        <f>'6-Year - Springs (new campus)'!G53</f>
        <v>1</v>
      </c>
    </row>
    <row r="41" spans="2:8" x14ac:dyDescent="0.25">
      <c r="B41" s="261" t="s">
        <v>387</v>
      </c>
      <c r="C41" s="263">
        <f t="shared" ref="C41" si="1">SUM(C26:C40)</f>
        <v>0</v>
      </c>
      <c r="D41" s="263">
        <f t="shared" ref="D41" si="2">SUM(D26:D40)</f>
        <v>39</v>
      </c>
      <c r="E41" s="263">
        <f>SUM(E26:E40)</f>
        <v>53</v>
      </c>
      <c r="F41" s="263">
        <f t="shared" ref="F41" si="3">SUM(F26:F40)</f>
        <v>63</v>
      </c>
      <c r="G41" s="263">
        <f t="shared" ref="G41" si="4">SUM(G26:G40)</f>
        <v>70.5</v>
      </c>
      <c r="H41" s="263">
        <f t="shared" ref="H41" si="5">SUM(H26:H40)</f>
        <v>76.5</v>
      </c>
    </row>
    <row r="42" spans="2:8" x14ac:dyDescent="0.25">
      <c r="B42" s="261" t="s">
        <v>388</v>
      </c>
      <c r="C42" s="9">
        <f>'6-Year - Springs (new campus)'!B129</f>
        <v>0</v>
      </c>
      <c r="D42" s="9">
        <f>'6-Year - Springs (new campus)'!C129</f>
        <v>1917160</v>
      </c>
      <c r="E42" s="9">
        <f>'6-Year - Springs (new campus)'!D129</f>
        <v>2539310</v>
      </c>
      <c r="F42" s="9">
        <f>'6-Year - Springs (new campus)'!E129</f>
        <v>3091818</v>
      </c>
      <c r="G42" s="9">
        <f>'6-Year - Springs (new campus)'!F129</f>
        <v>3591223.36</v>
      </c>
      <c r="H42" s="9">
        <f>'6-Year - Springs (new campus)'!G129</f>
        <v>3973562.3272000002</v>
      </c>
    </row>
    <row r="44" spans="2:8" x14ac:dyDescent="0.25">
      <c r="C44" t="b">
        <f>C41='6-Year - Springs (new campus)'!B66</f>
        <v>1</v>
      </c>
      <c r="D44" t="b">
        <f>D41='6-Year - Springs (new campus)'!C66</f>
        <v>1</v>
      </c>
      <c r="E44" t="b">
        <f>E41='6-Year - Springs (new campus)'!D66</f>
        <v>1</v>
      </c>
      <c r="F44" t="b">
        <f>F41='6-Year - Springs (new campus)'!E66</f>
        <v>1</v>
      </c>
      <c r="G44" t="b">
        <f>G41='6-Year - Springs (new campus)'!F66</f>
        <v>1</v>
      </c>
      <c r="H44" t="b">
        <f>H41='6-Year - Springs (new campus)'!G66</f>
        <v>1</v>
      </c>
    </row>
    <row r="47" spans="2:8" x14ac:dyDescent="0.25">
      <c r="C47" s="213" t="str">
        <f>C25</f>
        <v xml:space="preserve"> FY 23</v>
      </c>
      <c r="D47" s="213" t="str">
        <f t="shared" ref="D47:H47" si="6">D25</f>
        <v xml:space="preserve"> FY 24</v>
      </c>
      <c r="E47" s="213" t="str">
        <f t="shared" si="6"/>
        <v xml:space="preserve"> FY 25</v>
      </c>
      <c r="F47" s="213" t="str">
        <f t="shared" si="6"/>
        <v xml:space="preserve"> FY 26</v>
      </c>
      <c r="G47" s="213" t="str">
        <f t="shared" si="6"/>
        <v xml:space="preserve"> FY 27</v>
      </c>
      <c r="H47" s="213" t="str">
        <f t="shared" si="6"/>
        <v xml:space="preserve"> FY 28</v>
      </c>
    </row>
    <row r="48" spans="2:8" x14ac:dyDescent="0.25">
      <c r="B48" s="216" t="s">
        <v>390</v>
      </c>
      <c r="C48" s="201">
        <f t="shared" ref="C48:H48" si="7">C20</f>
        <v>23453728.608364001</v>
      </c>
      <c r="D48" s="201">
        <f t="shared" si="7"/>
        <v>26706714.579072781</v>
      </c>
      <c r="E48" s="201">
        <f t="shared" si="7"/>
        <v>28215956.163950488</v>
      </c>
      <c r="F48" s="201">
        <f t="shared" si="7"/>
        <v>29515649.980525743</v>
      </c>
      <c r="G48" s="201">
        <f t="shared" si="7"/>
        <v>30693142.87343251</v>
      </c>
      <c r="H48" s="201">
        <f t="shared" si="7"/>
        <v>31627238.030901164</v>
      </c>
    </row>
    <row r="49" spans="2:8" x14ac:dyDescent="0.25">
      <c r="B49" s="216" t="s">
        <v>391</v>
      </c>
      <c r="C49" s="262">
        <f>SUM('6-Year - System'!B130:B131)/'6-Year - System'!B129</f>
        <v>0.47077905324354535</v>
      </c>
      <c r="D49" s="262">
        <f>SUM('6-Year - System'!C130:C131)/'6-Year - System'!C129</f>
        <v>0.47750000000000004</v>
      </c>
      <c r="E49" s="262">
        <f>SUM('6-Year - System'!D130:D131)/'6-Year - System'!D129</f>
        <v>0.47999999999999987</v>
      </c>
      <c r="F49" s="262">
        <f>SUM('6-Year - System'!E130:E131)/'6-Year - System'!E129</f>
        <v>0.48250000000000004</v>
      </c>
      <c r="G49" s="262">
        <f>SUM('6-Year - System'!F130:F131)/'6-Year - System'!F129</f>
        <v>0.48499999999999993</v>
      </c>
      <c r="H49" s="262">
        <f>SUM('6-Year - System'!G130:G131)/'6-Year - System'!G129</f>
        <v>0.48750000000000004</v>
      </c>
    </row>
    <row r="50" spans="2:8" x14ac:dyDescent="0.25">
      <c r="B50" s="261" t="s">
        <v>392</v>
      </c>
      <c r="C50" s="260">
        <f t="shared" ref="C50:H50" si="8">C48*C49</f>
        <v>11041524.149276659</v>
      </c>
      <c r="D50" s="260">
        <f t="shared" si="8"/>
        <v>12752456.211507253</v>
      </c>
      <c r="E50" s="260">
        <f t="shared" si="8"/>
        <v>13543658.958696231</v>
      </c>
      <c r="F50" s="260">
        <f t="shared" si="8"/>
        <v>14241301.115603672</v>
      </c>
      <c r="G50" s="260">
        <f t="shared" si="8"/>
        <v>14886174.293614766</v>
      </c>
      <c r="H50" s="260">
        <f t="shared" si="8"/>
        <v>15418278.540064318</v>
      </c>
    </row>
    <row r="53" spans="2:8" x14ac:dyDescent="0.25">
      <c r="C53" t="b">
        <f>C50=SUM('6-Year - System'!B130:B131)</f>
        <v>1</v>
      </c>
      <c r="D53" t="b">
        <f>D50=SUM('6-Year - System'!C130:C131)</f>
        <v>1</v>
      </c>
      <c r="E53" t="b">
        <f>E50=SUM('6-Year - System'!D130:D131)</f>
        <v>1</v>
      </c>
      <c r="F53" t="b">
        <f>F50=SUM('6-Year - System'!E130:E131)</f>
        <v>1</v>
      </c>
      <c r="G53" t="b">
        <f>G50=SUM('6-Year - System'!F130:F131)</f>
        <v>1</v>
      </c>
      <c r="H53" t="b">
        <f>H50=SUM('6-Year - System'!G130:G131)</f>
        <v>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N74"/>
  <sheetViews>
    <sheetView showGridLines="0" topLeftCell="A19" zoomScale="75" zoomScaleNormal="75" zoomScaleSheetLayoutView="70" workbookViewId="0">
      <selection activeCell="O21" sqref="O21"/>
    </sheetView>
  </sheetViews>
  <sheetFormatPr defaultColWidth="9.140625" defaultRowHeight="12.75" x14ac:dyDescent="0.2"/>
  <cols>
    <col min="1" max="1" width="3" style="227" customWidth="1"/>
    <col min="2" max="2" width="9.140625" style="227"/>
    <col min="3" max="8" width="10.140625" style="227" customWidth="1"/>
    <col min="9" max="9" width="3.5703125" style="227" customWidth="1"/>
    <col min="10" max="16384" width="9.140625" style="227"/>
  </cols>
  <sheetData>
    <row r="1" spans="1:13" ht="15.75" x14ac:dyDescent="0.25">
      <c r="A1" s="259" t="s">
        <v>393</v>
      </c>
      <c r="B1" s="259"/>
      <c r="C1" s="259"/>
    </row>
    <row r="2" spans="1:13" ht="15.75" x14ac:dyDescent="0.25">
      <c r="A2" s="258" t="s">
        <v>277</v>
      </c>
      <c r="B2" s="257"/>
      <c r="C2" s="257"/>
    </row>
    <row r="3" spans="1:13" x14ac:dyDescent="0.2">
      <c r="A3" s="256" t="s">
        <v>394</v>
      </c>
    </row>
    <row r="4" spans="1:13" x14ac:dyDescent="0.2">
      <c r="A4" s="255" t="s">
        <v>395</v>
      </c>
    </row>
    <row r="5" spans="1:13" x14ac:dyDescent="0.2">
      <c r="A5" s="254" t="e">
        <f ca="1">CELL("filename")</f>
        <v>#N/A</v>
      </c>
    </row>
    <row r="6" spans="1:13" x14ac:dyDescent="0.2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</row>
    <row r="7" spans="1:13" ht="14.25" x14ac:dyDescent="0.2">
      <c r="A7" s="236"/>
      <c r="B7" s="253" t="s">
        <v>396</v>
      </c>
      <c r="C7" s="236"/>
      <c r="D7" s="236"/>
      <c r="E7" s="236"/>
      <c r="F7" s="236"/>
      <c r="G7" s="236"/>
      <c r="H7" s="236"/>
      <c r="I7" s="236"/>
      <c r="J7" s="236"/>
      <c r="K7" s="236"/>
    </row>
    <row r="8" spans="1:13" ht="14.25" x14ac:dyDescent="0.2">
      <c r="A8" s="236"/>
      <c r="B8" s="253" t="s">
        <v>397</v>
      </c>
      <c r="C8" s="236"/>
      <c r="D8" s="236"/>
      <c r="E8" s="236"/>
      <c r="F8" s="236"/>
      <c r="G8" s="236"/>
      <c r="H8" s="236"/>
      <c r="I8" s="236"/>
      <c r="J8" s="236"/>
      <c r="K8" s="236"/>
    </row>
    <row r="9" spans="1:13" ht="14.25" x14ac:dyDescent="0.2">
      <c r="A9" s="236"/>
      <c r="B9" s="253"/>
      <c r="C9" s="236"/>
      <c r="D9" s="236"/>
      <c r="E9" s="236"/>
      <c r="F9" s="236"/>
      <c r="G9" s="236"/>
      <c r="H9" s="236"/>
      <c r="I9" s="236"/>
      <c r="J9" s="236"/>
      <c r="K9" s="236"/>
    </row>
    <row r="10" spans="1:13" ht="14.25" x14ac:dyDescent="0.2">
      <c r="A10" s="236"/>
      <c r="B10" s="247" t="s">
        <v>398</v>
      </c>
      <c r="C10" s="236"/>
      <c r="D10" s="236"/>
      <c r="E10" s="236"/>
      <c r="F10" s="236"/>
      <c r="G10" s="236"/>
      <c r="H10" s="236"/>
      <c r="I10" s="236"/>
      <c r="J10" s="236"/>
      <c r="K10" s="236"/>
    </row>
    <row r="11" spans="1:13" ht="14.25" x14ac:dyDescent="0.2">
      <c r="A11" s="236"/>
      <c r="B11" s="252" t="s">
        <v>399</v>
      </c>
      <c r="C11" s="236"/>
      <c r="D11" s="236"/>
      <c r="E11" s="236"/>
      <c r="F11" s="236"/>
      <c r="G11" s="236"/>
      <c r="H11" s="236"/>
      <c r="I11" s="236"/>
      <c r="J11" s="236"/>
      <c r="K11" s="236"/>
    </row>
    <row r="12" spans="1:13" ht="13.5" thickBot="1" x14ac:dyDescent="0.25">
      <c r="A12" s="236"/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</row>
    <row r="13" spans="1:13" ht="15" x14ac:dyDescent="0.2">
      <c r="A13" s="236"/>
      <c r="B13" s="394" t="s">
        <v>400</v>
      </c>
      <c r="C13" s="397" t="s">
        <v>401</v>
      </c>
      <c r="D13" s="398"/>
      <c r="E13" s="398"/>
      <c r="F13" s="398"/>
      <c r="G13" s="398"/>
      <c r="H13" s="399"/>
      <c r="I13" s="236"/>
      <c r="J13" s="236"/>
      <c r="K13" s="236"/>
      <c r="L13" s="236"/>
      <c r="M13" s="236"/>
    </row>
    <row r="14" spans="1:13" ht="15" x14ac:dyDescent="0.2">
      <c r="A14" s="236"/>
      <c r="B14" s="395"/>
      <c r="C14" s="251">
        <v>2022</v>
      </c>
      <c r="D14" s="243">
        <f>+C15</f>
        <v>2023</v>
      </c>
      <c r="E14" s="243">
        <f>+D15</f>
        <v>2024</v>
      </c>
      <c r="F14" s="243">
        <f>+E15</f>
        <v>2025</v>
      </c>
      <c r="G14" s="243">
        <f>+F15</f>
        <v>2026</v>
      </c>
      <c r="H14" s="242">
        <f>+G15</f>
        <v>2027</v>
      </c>
      <c r="I14" s="236"/>
      <c r="J14" s="236"/>
      <c r="K14" s="236"/>
      <c r="L14" s="236"/>
      <c r="M14" s="236"/>
    </row>
    <row r="15" spans="1:13" ht="15.75" thickBot="1" x14ac:dyDescent="0.25">
      <c r="A15" s="236"/>
      <c r="B15" s="396"/>
      <c r="C15" s="241">
        <f t="shared" ref="C15:H15" si="0">+C14+1</f>
        <v>2023</v>
      </c>
      <c r="D15" s="240">
        <f t="shared" si="0"/>
        <v>2024</v>
      </c>
      <c r="E15" s="240">
        <f t="shared" si="0"/>
        <v>2025</v>
      </c>
      <c r="F15" s="240">
        <f t="shared" si="0"/>
        <v>2026</v>
      </c>
      <c r="G15" s="240">
        <f t="shared" si="0"/>
        <v>2027</v>
      </c>
      <c r="H15" s="239">
        <f t="shared" si="0"/>
        <v>2028</v>
      </c>
      <c r="I15" s="236"/>
      <c r="J15" s="236"/>
      <c r="K15" s="236"/>
      <c r="L15" s="236"/>
      <c r="M15" s="236"/>
    </row>
    <row r="16" spans="1:13" ht="15" x14ac:dyDescent="0.2">
      <c r="A16" s="236"/>
      <c r="B16" s="237" t="s">
        <v>402</v>
      </c>
      <c r="C16" s="238"/>
      <c r="D16" s="238"/>
      <c r="E16" s="238"/>
      <c r="F16" s="238"/>
      <c r="G16" s="238"/>
      <c r="H16" s="238"/>
      <c r="I16" s="236"/>
      <c r="J16" s="236"/>
      <c r="K16" s="236"/>
      <c r="L16" s="236"/>
      <c r="M16" s="236"/>
    </row>
    <row r="17" spans="1:14" ht="15" x14ac:dyDescent="0.2">
      <c r="A17" s="236"/>
      <c r="B17" s="237" t="s">
        <v>403</v>
      </c>
      <c r="C17" s="249">
        <f t="shared" ref="C17:H29" si="1">ROUND(C38*0.97,0)</f>
        <v>606</v>
      </c>
      <c r="D17" s="249">
        <f t="shared" si="1"/>
        <v>703</v>
      </c>
      <c r="E17" s="249">
        <f t="shared" si="1"/>
        <v>703</v>
      </c>
      <c r="F17" s="249">
        <f t="shared" si="1"/>
        <v>703</v>
      </c>
      <c r="G17" s="249">
        <f t="shared" si="1"/>
        <v>703</v>
      </c>
      <c r="H17" s="249">
        <f t="shared" si="1"/>
        <v>703</v>
      </c>
      <c r="I17" s="236"/>
      <c r="J17" s="236"/>
      <c r="K17" s="236"/>
      <c r="L17" s="236"/>
      <c r="M17" s="236"/>
    </row>
    <row r="18" spans="1:14" ht="15" x14ac:dyDescent="0.2">
      <c r="A18" s="236"/>
      <c r="B18" s="234">
        <v>1</v>
      </c>
      <c r="C18" s="249">
        <f t="shared" si="1"/>
        <v>611</v>
      </c>
      <c r="D18" s="249">
        <f t="shared" si="1"/>
        <v>708</v>
      </c>
      <c r="E18" s="249">
        <f t="shared" si="1"/>
        <v>708</v>
      </c>
      <c r="F18" s="249">
        <f t="shared" si="1"/>
        <v>708</v>
      </c>
      <c r="G18" s="249">
        <f t="shared" si="1"/>
        <v>708</v>
      </c>
      <c r="H18" s="249">
        <f t="shared" si="1"/>
        <v>708</v>
      </c>
      <c r="I18" s="236"/>
      <c r="J18" s="236"/>
      <c r="K18" s="236"/>
      <c r="L18" s="236"/>
      <c r="M18" s="236"/>
    </row>
    <row r="19" spans="1:14" ht="15" x14ac:dyDescent="0.2">
      <c r="A19" s="236"/>
      <c r="B19" s="234">
        <v>2</v>
      </c>
      <c r="C19" s="249">
        <f t="shared" si="1"/>
        <v>631</v>
      </c>
      <c r="D19" s="249">
        <f t="shared" si="1"/>
        <v>728</v>
      </c>
      <c r="E19" s="249">
        <f t="shared" si="1"/>
        <v>728</v>
      </c>
      <c r="F19" s="249">
        <f t="shared" si="1"/>
        <v>728</v>
      </c>
      <c r="G19" s="249">
        <f t="shared" si="1"/>
        <v>728</v>
      </c>
      <c r="H19" s="249">
        <f t="shared" si="1"/>
        <v>728</v>
      </c>
      <c r="I19" s="236"/>
      <c r="J19" s="236"/>
      <c r="K19" s="236"/>
      <c r="L19" s="236"/>
      <c r="M19" s="236"/>
    </row>
    <row r="20" spans="1:14" ht="15" x14ac:dyDescent="0.2">
      <c r="A20" s="236"/>
      <c r="B20" s="234">
        <v>3</v>
      </c>
      <c r="C20" s="249">
        <f t="shared" si="1"/>
        <v>690</v>
      </c>
      <c r="D20" s="249">
        <f t="shared" si="1"/>
        <v>761</v>
      </c>
      <c r="E20" s="249">
        <f t="shared" si="1"/>
        <v>761</v>
      </c>
      <c r="F20" s="249">
        <f t="shared" si="1"/>
        <v>761</v>
      </c>
      <c r="G20" s="249">
        <f t="shared" si="1"/>
        <v>761</v>
      </c>
      <c r="H20" s="249">
        <f t="shared" si="1"/>
        <v>761</v>
      </c>
      <c r="I20" s="236"/>
      <c r="J20" s="236"/>
      <c r="K20" s="236"/>
      <c r="L20" s="236"/>
      <c r="M20" s="236"/>
    </row>
    <row r="21" spans="1:14" ht="15" x14ac:dyDescent="0.2">
      <c r="A21" s="236"/>
      <c r="B21" s="234">
        <v>4</v>
      </c>
      <c r="C21" s="249">
        <f t="shared" si="1"/>
        <v>680</v>
      </c>
      <c r="D21" s="249">
        <f t="shared" si="1"/>
        <v>753</v>
      </c>
      <c r="E21" s="249">
        <f t="shared" si="1"/>
        <v>777</v>
      </c>
      <c r="F21" s="249">
        <f t="shared" si="1"/>
        <v>777</v>
      </c>
      <c r="G21" s="249">
        <f t="shared" si="1"/>
        <v>777</v>
      </c>
      <c r="H21" s="249">
        <f t="shared" si="1"/>
        <v>777</v>
      </c>
      <c r="I21" s="236"/>
      <c r="J21" s="236"/>
      <c r="K21" s="236"/>
      <c r="L21" s="236"/>
      <c r="M21" s="236"/>
    </row>
    <row r="22" spans="1:14" ht="15" x14ac:dyDescent="0.2">
      <c r="A22" s="236"/>
      <c r="B22" s="234">
        <v>5</v>
      </c>
      <c r="C22" s="249">
        <f t="shared" si="1"/>
        <v>664</v>
      </c>
      <c r="D22" s="249">
        <f t="shared" si="1"/>
        <v>749</v>
      </c>
      <c r="E22" s="249">
        <f t="shared" si="1"/>
        <v>773</v>
      </c>
      <c r="F22" s="249">
        <f t="shared" si="1"/>
        <v>797</v>
      </c>
      <c r="G22" s="249">
        <f t="shared" si="1"/>
        <v>797</v>
      </c>
      <c r="H22" s="249">
        <f t="shared" si="1"/>
        <v>797</v>
      </c>
      <c r="I22" s="236"/>
      <c r="J22" s="236"/>
      <c r="K22" s="236"/>
      <c r="L22" s="236"/>
      <c r="M22" s="236"/>
    </row>
    <row r="23" spans="1:14" ht="15" x14ac:dyDescent="0.2">
      <c r="A23" s="236"/>
      <c r="B23" s="234">
        <v>6</v>
      </c>
      <c r="C23" s="249">
        <f t="shared" si="1"/>
        <v>747</v>
      </c>
      <c r="D23" s="249">
        <f t="shared" si="1"/>
        <v>837</v>
      </c>
      <c r="E23" s="249">
        <f t="shared" si="1"/>
        <v>847</v>
      </c>
      <c r="F23" s="249">
        <f t="shared" si="1"/>
        <v>857</v>
      </c>
      <c r="G23" s="249">
        <f t="shared" si="1"/>
        <v>836</v>
      </c>
      <c r="H23" s="249">
        <f t="shared" si="1"/>
        <v>836</v>
      </c>
      <c r="I23" s="236"/>
      <c r="J23" s="236"/>
      <c r="K23" s="236"/>
      <c r="L23" s="236"/>
      <c r="M23" s="236"/>
    </row>
    <row r="24" spans="1:14" ht="15" x14ac:dyDescent="0.2">
      <c r="A24" s="236"/>
      <c r="B24" s="234">
        <v>7</v>
      </c>
      <c r="C24" s="249">
        <f t="shared" si="1"/>
        <v>708</v>
      </c>
      <c r="D24" s="249">
        <f t="shared" si="1"/>
        <v>721</v>
      </c>
      <c r="E24" s="249">
        <f t="shared" si="1"/>
        <v>847</v>
      </c>
      <c r="F24" s="249">
        <f t="shared" si="1"/>
        <v>857</v>
      </c>
      <c r="G24" s="249">
        <f t="shared" si="1"/>
        <v>866</v>
      </c>
      <c r="H24" s="249">
        <f t="shared" si="1"/>
        <v>836</v>
      </c>
      <c r="I24" s="236"/>
      <c r="J24" s="236"/>
      <c r="K24" s="236"/>
      <c r="L24" s="236"/>
      <c r="M24" s="236"/>
    </row>
    <row r="25" spans="1:14" ht="15" x14ac:dyDescent="0.2">
      <c r="A25" s="236"/>
      <c r="B25" s="234">
        <v>8</v>
      </c>
      <c r="C25" s="249">
        <f t="shared" si="1"/>
        <v>633</v>
      </c>
      <c r="D25" s="249">
        <f t="shared" si="1"/>
        <v>721</v>
      </c>
      <c r="E25" s="249">
        <f t="shared" si="1"/>
        <v>730</v>
      </c>
      <c r="F25" s="249">
        <f t="shared" si="1"/>
        <v>857</v>
      </c>
      <c r="G25" s="249">
        <f t="shared" si="1"/>
        <v>866</v>
      </c>
      <c r="H25" s="249">
        <f t="shared" si="1"/>
        <v>866</v>
      </c>
      <c r="I25" s="236"/>
      <c r="J25" s="236"/>
      <c r="K25" s="236"/>
      <c r="L25" s="236"/>
      <c r="M25" s="236"/>
    </row>
    <row r="26" spans="1:14" ht="15" x14ac:dyDescent="0.2">
      <c r="A26" s="236"/>
      <c r="B26" s="234">
        <v>9</v>
      </c>
      <c r="C26" s="249">
        <f t="shared" si="1"/>
        <v>474</v>
      </c>
      <c r="D26" s="249">
        <f t="shared" si="1"/>
        <v>502</v>
      </c>
      <c r="E26" s="249">
        <f t="shared" si="1"/>
        <v>542</v>
      </c>
      <c r="F26" s="249">
        <f t="shared" si="1"/>
        <v>552</v>
      </c>
      <c r="G26" s="249">
        <f t="shared" si="1"/>
        <v>678</v>
      </c>
      <c r="H26" s="249">
        <f t="shared" si="1"/>
        <v>678</v>
      </c>
      <c r="I26" s="236"/>
      <c r="J26" s="236"/>
      <c r="K26" s="236"/>
      <c r="L26" s="236"/>
      <c r="M26" s="236"/>
    </row>
    <row r="27" spans="1:14" ht="15" x14ac:dyDescent="0.2">
      <c r="A27" s="236"/>
      <c r="B27" s="234">
        <v>10</v>
      </c>
      <c r="C27" s="249">
        <f t="shared" si="1"/>
        <v>380</v>
      </c>
      <c r="D27" s="249">
        <f t="shared" si="1"/>
        <v>475</v>
      </c>
      <c r="E27" s="249">
        <f t="shared" si="1"/>
        <v>495</v>
      </c>
      <c r="F27" s="249">
        <f t="shared" si="1"/>
        <v>534</v>
      </c>
      <c r="G27" s="249">
        <f t="shared" si="1"/>
        <v>543</v>
      </c>
      <c r="H27" s="249">
        <f t="shared" si="1"/>
        <v>660</v>
      </c>
      <c r="I27" s="236"/>
      <c r="J27" s="236"/>
      <c r="K27" s="236"/>
      <c r="L27" s="236"/>
      <c r="M27" s="236"/>
    </row>
    <row r="28" spans="1:14" ht="15" x14ac:dyDescent="0.2">
      <c r="A28" s="236"/>
      <c r="B28" s="234">
        <v>11</v>
      </c>
      <c r="C28" s="249">
        <f t="shared" si="1"/>
        <v>297</v>
      </c>
      <c r="D28" s="249">
        <f t="shared" si="1"/>
        <v>403</v>
      </c>
      <c r="E28" s="249">
        <f t="shared" si="1"/>
        <v>461</v>
      </c>
      <c r="F28" s="249">
        <f t="shared" si="1"/>
        <v>480</v>
      </c>
      <c r="G28" s="249">
        <f t="shared" si="1"/>
        <v>514</v>
      </c>
      <c r="H28" s="249">
        <f t="shared" si="1"/>
        <v>524</v>
      </c>
      <c r="I28" s="236"/>
      <c r="J28" s="236"/>
      <c r="K28" s="236"/>
      <c r="L28" s="236"/>
      <c r="M28" s="236"/>
    </row>
    <row r="29" spans="1:14" ht="15" x14ac:dyDescent="0.2">
      <c r="A29" s="236"/>
      <c r="B29" s="233">
        <v>12</v>
      </c>
      <c r="C29" s="249">
        <f t="shared" si="1"/>
        <v>188</v>
      </c>
      <c r="D29" s="249">
        <f t="shared" si="1"/>
        <v>296</v>
      </c>
      <c r="E29" s="249">
        <f t="shared" si="1"/>
        <v>383</v>
      </c>
      <c r="F29" s="249">
        <f t="shared" si="1"/>
        <v>437</v>
      </c>
      <c r="G29" s="249">
        <f t="shared" si="1"/>
        <v>456</v>
      </c>
      <c r="H29" s="249">
        <f t="shared" si="1"/>
        <v>495</v>
      </c>
      <c r="I29" s="236"/>
      <c r="J29" s="236"/>
      <c r="K29" s="236"/>
      <c r="L29" s="236"/>
      <c r="M29" s="236"/>
    </row>
    <row r="30" spans="1:14" ht="15" x14ac:dyDescent="0.2">
      <c r="A30" s="236"/>
      <c r="B30" s="230" t="s">
        <v>281</v>
      </c>
      <c r="C30" s="229">
        <f t="shared" ref="C30:H30" si="2">SUM(C16:C29)</f>
        <v>7309</v>
      </c>
      <c r="D30" s="229">
        <f t="shared" si="2"/>
        <v>8357</v>
      </c>
      <c r="E30" s="229">
        <f t="shared" si="2"/>
        <v>8755</v>
      </c>
      <c r="F30" s="229">
        <f t="shared" si="2"/>
        <v>9048</v>
      </c>
      <c r="G30" s="229">
        <f t="shared" si="2"/>
        <v>9233</v>
      </c>
      <c r="H30" s="229">
        <f t="shared" si="2"/>
        <v>9369</v>
      </c>
      <c r="I30" s="236"/>
      <c r="J30" s="228">
        <f>D30/$D$51</f>
        <v>0.97005223447475331</v>
      </c>
      <c r="K30" s="228">
        <f>E30/$E$51</f>
        <v>0.96997562596942166</v>
      </c>
      <c r="L30" s="228">
        <f>F30/$F$51</f>
        <v>0.97019086425048251</v>
      </c>
      <c r="M30" s="228">
        <f>G30/$G$51</f>
        <v>0.96985294117647058</v>
      </c>
      <c r="N30" s="228">
        <f>H30/$H$51</f>
        <v>0.96997618801118124</v>
      </c>
    </row>
    <row r="31" spans="1:14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5"/>
      <c r="K31" s="235"/>
      <c r="L31" s="235"/>
      <c r="M31" s="235"/>
      <c r="N31" s="231"/>
    </row>
    <row r="32" spans="1:14" ht="14.25" x14ac:dyDescent="0.2">
      <c r="A32" s="236"/>
      <c r="B32" s="250" t="s">
        <v>404</v>
      </c>
      <c r="C32" s="236"/>
      <c r="D32" s="236"/>
      <c r="E32" s="236"/>
      <c r="F32" s="236"/>
      <c r="G32" s="236"/>
      <c r="H32" s="236"/>
      <c r="I32" s="236"/>
      <c r="J32" s="235"/>
      <c r="K32" s="235"/>
      <c r="L32" s="235"/>
      <c r="M32" s="235"/>
      <c r="N32" s="231"/>
    </row>
    <row r="33" spans="1:14" ht="13.5" thickBot="1" x14ac:dyDescent="0.25">
      <c r="A33" s="236"/>
      <c r="B33" s="236"/>
      <c r="C33" s="236"/>
      <c r="D33" s="236"/>
      <c r="E33" s="236"/>
      <c r="F33" s="236"/>
      <c r="G33" s="236"/>
      <c r="H33" s="236"/>
      <c r="I33" s="236"/>
      <c r="J33" s="235"/>
      <c r="K33" s="235"/>
      <c r="L33" s="235"/>
      <c r="M33" s="235"/>
      <c r="N33" s="231"/>
    </row>
    <row r="34" spans="1:14" ht="15.75" customHeight="1" x14ac:dyDescent="0.2">
      <c r="A34" s="236"/>
      <c r="B34" s="394" t="s">
        <v>400</v>
      </c>
      <c r="C34" s="397" t="s">
        <v>401</v>
      </c>
      <c r="D34" s="398"/>
      <c r="E34" s="398"/>
      <c r="F34" s="398"/>
      <c r="G34" s="398"/>
      <c r="H34" s="399"/>
      <c r="I34" s="236"/>
      <c r="J34" s="235"/>
      <c r="K34" s="235"/>
      <c r="L34" s="235"/>
      <c r="M34" s="235"/>
      <c r="N34" s="231"/>
    </row>
    <row r="35" spans="1:14" ht="15" x14ac:dyDescent="0.2">
      <c r="A35" s="236"/>
      <c r="B35" s="395"/>
      <c r="C35" s="244">
        <f>+C14</f>
        <v>2022</v>
      </c>
      <c r="D35" s="243">
        <f>+C36</f>
        <v>2023</v>
      </c>
      <c r="E35" s="243">
        <f>+D36</f>
        <v>2024</v>
      </c>
      <c r="F35" s="243">
        <f>+E36</f>
        <v>2025</v>
      </c>
      <c r="G35" s="243">
        <f>+F36</f>
        <v>2026</v>
      </c>
      <c r="H35" s="242">
        <f>+G36</f>
        <v>2027</v>
      </c>
      <c r="I35" s="236"/>
      <c r="J35" s="235"/>
      <c r="K35" s="235"/>
      <c r="L35" s="235"/>
      <c r="M35" s="235"/>
      <c r="N35" s="231"/>
    </row>
    <row r="36" spans="1:14" ht="15.75" thickBot="1" x14ac:dyDescent="0.25">
      <c r="A36" s="236"/>
      <c r="B36" s="396"/>
      <c r="C36" s="241">
        <f t="shared" ref="C36:H36" si="3">+C35+1</f>
        <v>2023</v>
      </c>
      <c r="D36" s="240">
        <f t="shared" si="3"/>
        <v>2024</v>
      </c>
      <c r="E36" s="240">
        <f t="shared" si="3"/>
        <v>2025</v>
      </c>
      <c r="F36" s="240">
        <f t="shared" si="3"/>
        <v>2026</v>
      </c>
      <c r="G36" s="240">
        <f t="shared" si="3"/>
        <v>2027</v>
      </c>
      <c r="H36" s="239">
        <f t="shared" si="3"/>
        <v>2028</v>
      </c>
      <c r="I36" s="236"/>
      <c r="J36" s="235"/>
      <c r="K36" s="235"/>
      <c r="L36" s="235"/>
      <c r="M36" s="235"/>
      <c r="N36" s="231"/>
    </row>
    <row r="37" spans="1:14" ht="15" x14ac:dyDescent="0.2">
      <c r="A37" s="236"/>
      <c r="B37" s="237" t="s">
        <v>402</v>
      </c>
      <c r="C37" s="238"/>
      <c r="D37" s="238"/>
      <c r="E37" s="238"/>
      <c r="F37" s="238"/>
      <c r="G37" s="238"/>
      <c r="H37" s="238"/>
      <c r="I37" s="236"/>
      <c r="J37" s="235"/>
      <c r="K37" s="235"/>
      <c r="L37" s="235"/>
      <c r="M37" s="235"/>
      <c r="N37" s="231"/>
    </row>
    <row r="38" spans="1:14" ht="15" x14ac:dyDescent="0.2">
      <c r="A38" s="236"/>
      <c r="B38" s="237" t="s">
        <v>403</v>
      </c>
      <c r="C38" s="249">
        <f>'6-Year - System'!B6</f>
        <v>625</v>
      </c>
      <c r="D38" s="249">
        <f>'6-Year - System'!C6</f>
        <v>725</v>
      </c>
      <c r="E38" s="249">
        <f>'6-Year - System'!D6</f>
        <v>725</v>
      </c>
      <c r="F38" s="249">
        <f>'6-Year - System'!E6</f>
        <v>725</v>
      </c>
      <c r="G38" s="249">
        <f>'6-Year - System'!F6</f>
        <v>725</v>
      </c>
      <c r="H38" s="249">
        <f>'6-Year - System'!G6</f>
        <v>725</v>
      </c>
      <c r="I38" s="236"/>
      <c r="J38" s="235"/>
      <c r="K38" s="235"/>
      <c r="L38" s="235"/>
      <c r="M38" s="235"/>
      <c r="N38" s="231"/>
    </row>
    <row r="39" spans="1:14" ht="15" x14ac:dyDescent="0.2">
      <c r="A39" s="236"/>
      <c r="B39" s="234">
        <v>1</v>
      </c>
      <c r="C39" s="249">
        <f>'6-Year - System'!B7</f>
        <v>630</v>
      </c>
      <c r="D39" s="249">
        <f>'6-Year - System'!C7</f>
        <v>730</v>
      </c>
      <c r="E39" s="249">
        <f>'6-Year - System'!D7</f>
        <v>730</v>
      </c>
      <c r="F39" s="249">
        <f>'6-Year - System'!E7</f>
        <v>730</v>
      </c>
      <c r="G39" s="249">
        <f>'6-Year - System'!F7</f>
        <v>730</v>
      </c>
      <c r="H39" s="249">
        <f>'6-Year - System'!G7</f>
        <v>730</v>
      </c>
      <c r="I39" s="236"/>
      <c r="J39" s="235"/>
      <c r="K39" s="235"/>
      <c r="L39" s="235"/>
      <c r="M39" s="235"/>
      <c r="N39" s="231"/>
    </row>
    <row r="40" spans="1:14" ht="15" x14ac:dyDescent="0.2">
      <c r="A40" s="236"/>
      <c r="B40" s="234">
        <v>2</v>
      </c>
      <c r="C40" s="249">
        <f>'6-Year - System'!B8</f>
        <v>650</v>
      </c>
      <c r="D40" s="249">
        <f>'6-Year - System'!C8</f>
        <v>750</v>
      </c>
      <c r="E40" s="249">
        <f>'6-Year - System'!D8</f>
        <v>750</v>
      </c>
      <c r="F40" s="249">
        <f>'6-Year - System'!E8</f>
        <v>750</v>
      </c>
      <c r="G40" s="249">
        <f>'6-Year - System'!F8</f>
        <v>750</v>
      </c>
      <c r="H40" s="249">
        <f>'6-Year - System'!G8</f>
        <v>750</v>
      </c>
      <c r="I40" s="236"/>
      <c r="J40" s="235"/>
      <c r="K40" s="235"/>
      <c r="L40" s="235"/>
      <c r="M40" s="235"/>
      <c r="N40" s="231"/>
    </row>
    <row r="41" spans="1:14" ht="15" x14ac:dyDescent="0.2">
      <c r="A41" s="236"/>
      <c r="B41" s="234">
        <v>3</v>
      </c>
      <c r="C41" s="249">
        <f>'6-Year - System'!B9</f>
        <v>711</v>
      </c>
      <c r="D41" s="249">
        <f>'6-Year - System'!C9</f>
        <v>785</v>
      </c>
      <c r="E41" s="249">
        <f>'6-Year - System'!D9</f>
        <v>785</v>
      </c>
      <c r="F41" s="249">
        <f>'6-Year - System'!E9</f>
        <v>785</v>
      </c>
      <c r="G41" s="249">
        <f>'6-Year - System'!F9</f>
        <v>785</v>
      </c>
      <c r="H41" s="249">
        <f>'6-Year - System'!G9</f>
        <v>785</v>
      </c>
      <c r="I41" s="236"/>
      <c r="J41" s="235"/>
      <c r="K41" s="235"/>
      <c r="L41" s="235"/>
      <c r="M41" s="235"/>
      <c r="N41" s="231"/>
    </row>
    <row r="42" spans="1:14" ht="15" x14ac:dyDescent="0.2">
      <c r="A42" s="236"/>
      <c r="B42" s="234">
        <v>4</v>
      </c>
      <c r="C42" s="249">
        <f>'6-Year - System'!B10</f>
        <v>701</v>
      </c>
      <c r="D42" s="249">
        <f>'6-Year - System'!C10</f>
        <v>776</v>
      </c>
      <c r="E42" s="249">
        <f>'6-Year - System'!D10</f>
        <v>801</v>
      </c>
      <c r="F42" s="249">
        <f>'6-Year - System'!E10</f>
        <v>801</v>
      </c>
      <c r="G42" s="249">
        <f>'6-Year - System'!F10</f>
        <v>801</v>
      </c>
      <c r="H42" s="249">
        <f>'6-Year - System'!G10</f>
        <v>801</v>
      </c>
      <c r="I42" s="236"/>
      <c r="J42" s="235"/>
      <c r="K42" s="235"/>
      <c r="L42" s="235"/>
      <c r="M42" s="235"/>
      <c r="N42" s="231"/>
    </row>
    <row r="43" spans="1:14" ht="15" x14ac:dyDescent="0.2">
      <c r="A43" s="236"/>
      <c r="B43" s="234">
        <v>5</v>
      </c>
      <c r="C43" s="249">
        <f>'6-Year - System'!B11</f>
        <v>685</v>
      </c>
      <c r="D43" s="249">
        <f>'6-Year - System'!C11</f>
        <v>772</v>
      </c>
      <c r="E43" s="249">
        <f>'6-Year - System'!D11</f>
        <v>797</v>
      </c>
      <c r="F43" s="249">
        <f>'6-Year - System'!E11</f>
        <v>822</v>
      </c>
      <c r="G43" s="249">
        <f>'6-Year - System'!F11</f>
        <v>822</v>
      </c>
      <c r="H43" s="249">
        <f>'6-Year - System'!G11</f>
        <v>822</v>
      </c>
      <c r="I43" s="236"/>
      <c r="J43" s="235"/>
      <c r="K43" s="235"/>
      <c r="L43" s="235"/>
      <c r="M43" s="235"/>
      <c r="N43" s="231"/>
    </row>
    <row r="44" spans="1:14" ht="15" x14ac:dyDescent="0.2">
      <c r="A44" s="236"/>
      <c r="B44" s="234">
        <v>6</v>
      </c>
      <c r="C44" s="249">
        <f>'6-Year - System'!B12</f>
        <v>770</v>
      </c>
      <c r="D44" s="249">
        <f>'6-Year - System'!C12</f>
        <v>863</v>
      </c>
      <c r="E44" s="249">
        <f>'6-Year - System'!D12</f>
        <v>873</v>
      </c>
      <c r="F44" s="249">
        <f>'6-Year - System'!E12</f>
        <v>883</v>
      </c>
      <c r="G44" s="249">
        <f>'6-Year - System'!F12</f>
        <v>862</v>
      </c>
      <c r="H44" s="249">
        <f>'6-Year - System'!G12</f>
        <v>862</v>
      </c>
      <c r="I44" s="236"/>
      <c r="J44" s="235"/>
      <c r="K44" s="235"/>
      <c r="L44" s="235"/>
      <c r="M44" s="235"/>
      <c r="N44" s="231"/>
    </row>
    <row r="45" spans="1:14" ht="15" x14ac:dyDescent="0.2">
      <c r="A45" s="236"/>
      <c r="B45" s="234">
        <v>7</v>
      </c>
      <c r="C45" s="249">
        <f>'6-Year - System'!B13</f>
        <v>730</v>
      </c>
      <c r="D45" s="249">
        <f>'6-Year - System'!C13</f>
        <v>743</v>
      </c>
      <c r="E45" s="249">
        <f>'6-Year - System'!D13</f>
        <v>873</v>
      </c>
      <c r="F45" s="249">
        <f>'6-Year - System'!E13</f>
        <v>883</v>
      </c>
      <c r="G45" s="249">
        <f>'6-Year - System'!F13</f>
        <v>893</v>
      </c>
      <c r="H45" s="249">
        <f>'6-Year - System'!G13</f>
        <v>862</v>
      </c>
      <c r="I45" s="236"/>
      <c r="J45" s="235"/>
      <c r="K45" s="235"/>
      <c r="L45" s="235"/>
      <c r="M45" s="235"/>
      <c r="N45" s="231"/>
    </row>
    <row r="46" spans="1:14" ht="15" x14ac:dyDescent="0.2">
      <c r="A46" s="236"/>
      <c r="B46" s="234">
        <v>8</v>
      </c>
      <c r="C46" s="249">
        <f>'6-Year - System'!B14</f>
        <v>653</v>
      </c>
      <c r="D46" s="249">
        <f>'6-Year - System'!C14</f>
        <v>743</v>
      </c>
      <c r="E46" s="249">
        <f>'6-Year - System'!D14</f>
        <v>753</v>
      </c>
      <c r="F46" s="249">
        <f>'6-Year - System'!E14</f>
        <v>883</v>
      </c>
      <c r="G46" s="249">
        <f>'6-Year - System'!F14</f>
        <v>893</v>
      </c>
      <c r="H46" s="249">
        <f>'6-Year - System'!G14</f>
        <v>893</v>
      </c>
      <c r="I46" s="236"/>
      <c r="J46" s="235"/>
      <c r="K46" s="235"/>
      <c r="L46" s="235"/>
      <c r="M46" s="235"/>
      <c r="N46" s="231"/>
    </row>
    <row r="47" spans="1:14" ht="15" x14ac:dyDescent="0.2">
      <c r="A47" s="236"/>
      <c r="B47" s="234">
        <v>9</v>
      </c>
      <c r="C47" s="249">
        <f>'6-Year - System'!B15</f>
        <v>489</v>
      </c>
      <c r="D47" s="249">
        <f>'6-Year - System'!C15</f>
        <v>518</v>
      </c>
      <c r="E47" s="249">
        <f>'6-Year - System'!D15</f>
        <v>559</v>
      </c>
      <c r="F47" s="249">
        <f>'6-Year - System'!E15</f>
        <v>569</v>
      </c>
      <c r="G47" s="249">
        <f>'6-Year - System'!F15</f>
        <v>699</v>
      </c>
      <c r="H47" s="249">
        <f>'6-Year - System'!G15</f>
        <v>699</v>
      </c>
      <c r="I47" s="236"/>
      <c r="J47" s="235"/>
      <c r="K47" s="235"/>
      <c r="L47" s="235"/>
      <c r="M47" s="235"/>
      <c r="N47" s="231"/>
    </row>
    <row r="48" spans="1:14" ht="15" x14ac:dyDescent="0.2">
      <c r="A48" s="236"/>
      <c r="B48" s="234">
        <v>10</v>
      </c>
      <c r="C48" s="249">
        <f>'6-Year - System'!B16</f>
        <v>392</v>
      </c>
      <c r="D48" s="249">
        <f>'6-Year - System'!C16</f>
        <v>490</v>
      </c>
      <c r="E48" s="249">
        <f>'6-Year - System'!D16</f>
        <v>510</v>
      </c>
      <c r="F48" s="249">
        <f>'6-Year - System'!E16</f>
        <v>550</v>
      </c>
      <c r="G48" s="249">
        <f>'6-Year - System'!F16</f>
        <v>560</v>
      </c>
      <c r="H48" s="249">
        <f>'6-Year - System'!G16</f>
        <v>680</v>
      </c>
      <c r="I48" s="236"/>
      <c r="J48" s="235"/>
      <c r="K48" s="235"/>
      <c r="L48" s="235"/>
      <c r="M48" s="235"/>
      <c r="N48" s="231"/>
    </row>
    <row r="49" spans="1:14" ht="15" x14ac:dyDescent="0.2">
      <c r="A49" s="236"/>
      <c r="B49" s="234">
        <v>11</v>
      </c>
      <c r="C49" s="249">
        <f>'6-Year - System'!B17</f>
        <v>306</v>
      </c>
      <c r="D49" s="249">
        <f>'6-Year - System'!C17</f>
        <v>415</v>
      </c>
      <c r="E49" s="249">
        <f>'6-Year - System'!D17</f>
        <v>475</v>
      </c>
      <c r="F49" s="249">
        <f>'6-Year - System'!E17</f>
        <v>495</v>
      </c>
      <c r="G49" s="249">
        <f>'6-Year - System'!F17</f>
        <v>530</v>
      </c>
      <c r="H49" s="249">
        <f>'6-Year - System'!G17</f>
        <v>540</v>
      </c>
      <c r="I49" s="236"/>
      <c r="J49" s="235"/>
      <c r="K49" s="235"/>
      <c r="L49" s="235"/>
      <c r="M49" s="235"/>
      <c r="N49" s="231"/>
    </row>
    <row r="50" spans="1:14" ht="15" x14ac:dyDescent="0.2">
      <c r="A50" s="236"/>
      <c r="B50" s="233">
        <v>12</v>
      </c>
      <c r="C50" s="249">
        <f>'6-Year - System'!B18</f>
        <v>194</v>
      </c>
      <c r="D50" s="249">
        <f>'6-Year - System'!C18</f>
        <v>305</v>
      </c>
      <c r="E50" s="249">
        <f>'6-Year - System'!D18</f>
        <v>395</v>
      </c>
      <c r="F50" s="249">
        <f>'6-Year - System'!E18</f>
        <v>450</v>
      </c>
      <c r="G50" s="249">
        <f>'6-Year - System'!F18</f>
        <v>470</v>
      </c>
      <c r="H50" s="249">
        <f>'6-Year - System'!G18</f>
        <v>510</v>
      </c>
      <c r="I50" s="236"/>
      <c r="J50" s="235"/>
      <c r="K50" s="235"/>
      <c r="L50" s="235"/>
      <c r="M50" s="235"/>
      <c r="N50" s="231"/>
    </row>
    <row r="51" spans="1:14" ht="15" x14ac:dyDescent="0.2">
      <c r="A51" s="236"/>
      <c r="B51" s="230" t="s">
        <v>281</v>
      </c>
      <c r="C51" s="229">
        <f t="shared" ref="C51:H51" si="4">SUM(C37:C50)</f>
        <v>7536</v>
      </c>
      <c r="D51" s="229">
        <f t="shared" si="4"/>
        <v>8615</v>
      </c>
      <c r="E51" s="229">
        <f t="shared" si="4"/>
        <v>9026</v>
      </c>
      <c r="F51" s="229">
        <f t="shared" si="4"/>
        <v>9326</v>
      </c>
      <c r="G51" s="229">
        <f t="shared" si="4"/>
        <v>9520</v>
      </c>
      <c r="H51" s="229">
        <f t="shared" si="4"/>
        <v>9659</v>
      </c>
      <c r="I51" s="236"/>
      <c r="J51" s="248">
        <f>D51/$D$51</f>
        <v>1</v>
      </c>
      <c r="K51" s="248">
        <f>E51/$E$51</f>
        <v>1</v>
      </c>
      <c r="L51" s="248">
        <f>F51/$F$51</f>
        <v>1</v>
      </c>
      <c r="M51" s="248">
        <f>G51/$G$51</f>
        <v>1</v>
      </c>
      <c r="N51" s="248">
        <f>H51/$H$51</f>
        <v>1</v>
      </c>
    </row>
    <row r="52" spans="1:14" x14ac:dyDescent="0.2">
      <c r="A52" s="236"/>
      <c r="B52" s="236"/>
      <c r="C52" s="236"/>
      <c r="D52" s="236"/>
      <c r="E52" s="236"/>
      <c r="F52" s="236"/>
      <c r="G52" s="236"/>
      <c r="H52" s="236"/>
      <c r="I52" s="236"/>
      <c r="J52" s="235"/>
      <c r="K52" s="235"/>
      <c r="L52" s="235"/>
      <c r="M52" s="235"/>
      <c r="N52" s="231"/>
    </row>
    <row r="53" spans="1:14" ht="14.25" x14ac:dyDescent="0.2">
      <c r="A53" s="236"/>
      <c r="B53" s="247" t="s">
        <v>405</v>
      </c>
      <c r="C53" s="245"/>
      <c r="D53" s="245"/>
      <c r="E53" s="245"/>
      <c r="F53" s="245"/>
      <c r="G53" s="245"/>
      <c r="H53" s="245"/>
      <c r="I53" s="236"/>
      <c r="J53" s="235"/>
      <c r="K53" s="235"/>
      <c r="L53" s="235"/>
      <c r="M53" s="235"/>
      <c r="N53" s="231"/>
    </row>
    <row r="54" spans="1:14" ht="14.25" x14ac:dyDescent="0.2">
      <c r="A54" s="236"/>
      <c r="B54" s="247" t="s">
        <v>406</v>
      </c>
      <c r="C54" s="245"/>
      <c r="D54" s="245"/>
      <c r="E54" s="245"/>
      <c r="F54" s="245"/>
      <c r="G54" s="245"/>
      <c r="H54" s="245"/>
      <c r="I54" s="236"/>
      <c r="J54" s="235"/>
      <c r="K54" s="235"/>
      <c r="L54" s="235"/>
      <c r="M54" s="235"/>
      <c r="N54" s="231"/>
    </row>
    <row r="55" spans="1:14" x14ac:dyDescent="0.2">
      <c r="A55" s="236"/>
      <c r="B55" s="246" t="s">
        <v>407</v>
      </c>
      <c r="C55" s="245"/>
      <c r="D55" s="245"/>
      <c r="E55" s="245"/>
      <c r="F55" s="245"/>
      <c r="G55" s="245"/>
      <c r="H55" s="245"/>
      <c r="I55" s="236"/>
      <c r="J55" s="235"/>
      <c r="K55" s="235"/>
      <c r="L55" s="235"/>
      <c r="M55" s="235"/>
      <c r="N55" s="231"/>
    </row>
    <row r="56" spans="1:14" ht="13.5" thickBot="1" x14ac:dyDescent="0.25">
      <c r="A56" s="236"/>
      <c r="B56" s="236"/>
      <c r="C56" s="236"/>
      <c r="D56" s="236"/>
      <c r="E56" s="236"/>
      <c r="F56" s="236"/>
      <c r="G56" s="236"/>
      <c r="H56" s="236"/>
      <c r="I56" s="236"/>
      <c r="J56" s="235"/>
      <c r="K56" s="235"/>
      <c r="L56" s="235"/>
      <c r="M56" s="235"/>
      <c r="N56" s="231"/>
    </row>
    <row r="57" spans="1:14" ht="15.75" customHeight="1" x14ac:dyDescent="0.2">
      <c r="A57" s="236"/>
      <c r="B57" s="394" t="s">
        <v>400</v>
      </c>
      <c r="C57" s="397" t="s">
        <v>401</v>
      </c>
      <c r="D57" s="398"/>
      <c r="E57" s="398"/>
      <c r="F57" s="398"/>
      <c r="G57" s="398"/>
      <c r="H57" s="399"/>
      <c r="I57" s="236"/>
      <c r="J57" s="235"/>
      <c r="K57" s="235"/>
      <c r="L57" s="235"/>
      <c r="M57" s="235"/>
      <c r="N57" s="231"/>
    </row>
    <row r="58" spans="1:14" ht="15" x14ac:dyDescent="0.2">
      <c r="A58" s="236"/>
      <c r="B58" s="395"/>
      <c r="C58" s="244">
        <f>+C14</f>
        <v>2022</v>
      </c>
      <c r="D58" s="243">
        <f>+C59</f>
        <v>2023</v>
      </c>
      <c r="E58" s="243">
        <f>+D59</f>
        <v>2024</v>
      </c>
      <c r="F58" s="243">
        <f>+E59</f>
        <v>2025</v>
      </c>
      <c r="G58" s="243">
        <f>+F59</f>
        <v>2026</v>
      </c>
      <c r="H58" s="242">
        <f>+G59</f>
        <v>2027</v>
      </c>
      <c r="I58" s="236"/>
      <c r="J58" s="235"/>
      <c r="K58" s="235"/>
      <c r="L58" s="235"/>
      <c r="M58" s="235"/>
      <c r="N58" s="231"/>
    </row>
    <row r="59" spans="1:14" ht="15.75" thickBot="1" x14ac:dyDescent="0.25">
      <c r="A59" s="236"/>
      <c r="B59" s="396"/>
      <c r="C59" s="241">
        <f t="shared" ref="C59:H59" si="5">+C58+1</f>
        <v>2023</v>
      </c>
      <c r="D59" s="240">
        <f t="shared" si="5"/>
        <v>2024</v>
      </c>
      <c r="E59" s="240">
        <f t="shared" si="5"/>
        <v>2025</v>
      </c>
      <c r="F59" s="240">
        <f t="shared" si="5"/>
        <v>2026</v>
      </c>
      <c r="G59" s="240">
        <f t="shared" si="5"/>
        <v>2027</v>
      </c>
      <c r="H59" s="239">
        <f t="shared" si="5"/>
        <v>2028</v>
      </c>
      <c r="I59" s="236"/>
      <c r="J59" s="235"/>
      <c r="K59" s="235"/>
      <c r="L59" s="235"/>
      <c r="M59" s="235"/>
      <c r="N59" s="231"/>
    </row>
    <row r="60" spans="1:14" ht="15" x14ac:dyDescent="0.2">
      <c r="A60" s="236"/>
      <c r="B60" s="237" t="s">
        <v>402</v>
      </c>
      <c r="C60" s="238"/>
      <c r="D60" s="238"/>
      <c r="E60" s="238"/>
      <c r="F60" s="238"/>
      <c r="G60" s="238"/>
      <c r="H60" s="238"/>
      <c r="I60" s="236"/>
      <c r="J60" s="235"/>
      <c r="K60" s="235"/>
      <c r="L60" s="235"/>
      <c r="M60" s="235"/>
      <c r="N60" s="231"/>
    </row>
    <row r="61" spans="1:14" ht="15" x14ac:dyDescent="0.2">
      <c r="A61" s="236"/>
      <c r="B61" s="237" t="s">
        <v>403</v>
      </c>
      <c r="C61" s="249">
        <f t="shared" ref="C61:H73" si="6">ROUND(C38*1.05,0)</f>
        <v>656</v>
      </c>
      <c r="D61" s="249">
        <f t="shared" si="6"/>
        <v>761</v>
      </c>
      <c r="E61" s="249">
        <f t="shared" si="6"/>
        <v>761</v>
      </c>
      <c r="F61" s="249">
        <f t="shared" si="6"/>
        <v>761</v>
      </c>
      <c r="G61" s="249">
        <f t="shared" si="6"/>
        <v>761</v>
      </c>
      <c r="H61" s="249">
        <f t="shared" si="6"/>
        <v>761</v>
      </c>
      <c r="I61" s="236"/>
      <c r="J61" s="235"/>
      <c r="K61" s="235"/>
      <c r="L61" s="235"/>
      <c r="M61" s="235"/>
      <c r="N61" s="231"/>
    </row>
    <row r="62" spans="1:14" ht="15" x14ac:dyDescent="0.2">
      <c r="A62" s="236"/>
      <c r="B62" s="234">
        <v>1</v>
      </c>
      <c r="C62" s="249">
        <f t="shared" si="6"/>
        <v>662</v>
      </c>
      <c r="D62" s="249">
        <f t="shared" si="6"/>
        <v>767</v>
      </c>
      <c r="E62" s="249">
        <f t="shared" si="6"/>
        <v>767</v>
      </c>
      <c r="F62" s="249">
        <f t="shared" si="6"/>
        <v>767</v>
      </c>
      <c r="G62" s="249">
        <f t="shared" si="6"/>
        <v>767</v>
      </c>
      <c r="H62" s="249">
        <f t="shared" si="6"/>
        <v>767</v>
      </c>
      <c r="I62" s="236"/>
      <c r="J62" s="235"/>
      <c r="K62" s="235"/>
      <c r="L62" s="235"/>
      <c r="M62" s="235"/>
      <c r="N62" s="231"/>
    </row>
    <row r="63" spans="1:14" ht="15" x14ac:dyDescent="0.2">
      <c r="A63" s="236"/>
      <c r="B63" s="234">
        <v>2</v>
      </c>
      <c r="C63" s="249">
        <f t="shared" si="6"/>
        <v>683</v>
      </c>
      <c r="D63" s="249">
        <f t="shared" si="6"/>
        <v>788</v>
      </c>
      <c r="E63" s="249">
        <f t="shared" si="6"/>
        <v>788</v>
      </c>
      <c r="F63" s="249">
        <f t="shared" si="6"/>
        <v>788</v>
      </c>
      <c r="G63" s="249">
        <f t="shared" si="6"/>
        <v>788</v>
      </c>
      <c r="H63" s="249">
        <f t="shared" si="6"/>
        <v>788</v>
      </c>
      <c r="I63" s="236"/>
      <c r="J63" s="235"/>
      <c r="K63" s="235"/>
      <c r="L63" s="235"/>
      <c r="M63" s="235"/>
      <c r="N63" s="231"/>
    </row>
    <row r="64" spans="1:14" ht="15" x14ac:dyDescent="0.2">
      <c r="A64" s="236"/>
      <c r="B64" s="234">
        <v>3</v>
      </c>
      <c r="C64" s="249">
        <f t="shared" si="6"/>
        <v>747</v>
      </c>
      <c r="D64" s="249">
        <f t="shared" si="6"/>
        <v>824</v>
      </c>
      <c r="E64" s="249">
        <f t="shared" si="6"/>
        <v>824</v>
      </c>
      <c r="F64" s="249">
        <f t="shared" si="6"/>
        <v>824</v>
      </c>
      <c r="G64" s="249">
        <f t="shared" si="6"/>
        <v>824</v>
      </c>
      <c r="H64" s="249">
        <f t="shared" si="6"/>
        <v>824</v>
      </c>
      <c r="I64" s="236"/>
      <c r="J64" s="235"/>
      <c r="K64" s="235"/>
      <c r="L64" s="235"/>
      <c r="M64" s="235"/>
      <c r="N64" s="231"/>
    </row>
    <row r="65" spans="2:14" ht="15" x14ac:dyDescent="0.2">
      <c r="B65" s="234">
        <v>4</v>
      </c>
      <c r="C65" s="249">
        <f t="shared" si="6"/>
        <v>736</v>
      </c>
      <c r="D65" s="249">
        <f t="shared" si="6"/>
        <v>815</v>
      </c>
      <c r="E65" s="249">
        <f t="shared" si="6"/>
        <v>841</v>
      </c>
      <c r="F65" s="249">
        <f t="shared" si="6"/>
        <v>841</v>
      </c>
      <c r="G65" s="249">
        <f t="shared" si="6"/>
        <v>841</v>
      </c>
      <c r="H65" s="249">
        <f t="shared" si="6"/>
        <v>841</v>
      </c>
      <c r="J65" s="231"/>
      <c r="K65" s="231"/>
      <c r="L65" s="231"/>
      <c r="M65" s="231"/>
      <c r="N65" s="231"/>
    </row>
    <row r="66" spans="2:14" ht="15" x14ac:dyDescent="0.2">
      <c r="B66" s="234">
        <v>5</v>
      </c>
      <c r="C66" s="249">
        <f t="shared" si="6"/>
        <v>719</v>
      </c>
      <c r="D66" s="249">
        <f t="shared" si="6"/>
        <v>811</v>
      </c>
      <c r="E66" s="249">
        <f t="shared" si="6"/>
        <v>837</v>
      </c>
      <c r="F66" s="249">
        <f t="shared" si="6"/>
        <v>863</v>
      </c>
      <c r="G66" s="249">
        <f t="shared" si="6"/>
        <v>863</v>
      </c>
      <c r="H66" s="249">
        <f t="shared" si="6"/>
        <v>863</v>
      </c>
      <c r="J66" s="231"/>
      <c r="K66" s="231"/>
      <c r="L66" s="231"/>
      <c r="M66" s="231"/>
      <c r="N66" s="231"/>
    </row>
    <row r="67" spans="2:14" ht="15" x14ac:dyDescent="0.2">
      <c r="B67" s="234">
        <v>6</v>
      </c>
      <c r="C67" s="249">
        <f t="shared" si="6"/>
        <v>809</v>
      </c>
      <c r="D67" s="249">
        <f t="shared" si="6"/>
        <v>906</v>
      </c>
      <c r="E67" s="249">
        <f t="shared" si="6"/>
        <v>917</v>
      </c>
      <c r="F67" s="249">
        <f t="shared" si="6"/>
        <v>927</v>
      </c>
      <c r="G67" s="249">
        <f t="shared" si="6"/>
        <v>905</v>
      </c>
      <c r="H67" s="249">
        <f t="shared" si="6"/>
        <v>905</v>
      </c>
      <c r="J67" s="231"/>
      <c r="K67" s="231"/>
      <c r="L67" s="231"/>
      <c r="M67" s="231"/>
      <c r="N67" s="231"/>
    </row>
    <row r="68" spans="2:14" ht="15" x14ac:dyDescent="0.2">
      <c r="B68" s="234">
        <v>7</v>
      </c>
      <c r="C68" s="249">
        <f t="shared" si="6"/>
        <v>767</v>
      </c>
      <c r="D68" s="249">
        <f t="shared" si="6"/>
        <v>780</v>
      </c>
      <c r="E68" s="249">
        <f t="shared" si="6"/>
        <v>917</v>
      </c>
      <c r="F68" s="249">
        <f t="shared" si="6"/>
        <v>927</v>
      </c>
      <c r="G68" s="249">
        <f t="shared" si="6"/>
        <v>938</v>
      </c>
      <c r="H68" s="249">
        <f t="shared" si="6"/>
        <v>905</v>
      </c>
      <c r="J68" s="231"/>
      <c r="K68" s="231"/>
      <c r="L68" s="231"/>
      <c r="M68" s="231"/>
      <c r="N68" s="231"/>
    </row>
    <row r="69" spans="2:14" ht="15" x14ac:dyDescent="0.2">
      <c r="B69" s="234">
        <v>8</v>
      </c>
      <c r="C69" s="249">
        <f t="shared" si="6"/>
        <v>686</v>
      </c>
      <c r="D69" s="249">
        <f t="shared" si="6"/>
        <v>780</v>
      </c>
      <c r="E69" s="249">
        <f t="shared" si="6"/>
        <v>791</v>
      </c>
      <c r="F69" s="249">
        <f t="shared" si="6"/>
        <v>927</v>
      </c>
      <c r="G69" s="249">
        <f t="shared" si="6"/>
        <v>938</v>
      </c>
      <c r="H69" s="249">
        <f t="shared" si="6"/>
        <v>938</v>
      </c>
      <c r="J69" s="231"/>
      <c r="K69" s="231"/>
      <c r="L69" s="231"/>
      <c r="M69" s="231"/>
      <c r="N69" s="231"/>
    </row>
    <row r="70" spans="2:14" ht="15" x14ac:dyDescent="0.2">
      <c r="B70" s="234">
        <v>9</v>
      </c>
      <c r="C70" s="249">
        <f t="shared" si="6"/>
        <v>513</v>
      </c>
      <c r="D70" s="249">
        <f t="shared" si="6"/>
        <v>544</v>
      </c>
      <c r="E70" s="249">
        <f t="shared" si="6"/>
        <v>587</v>
      </c>
      <c r="F70" s="249">
        <f t="shared" si="6"/>
        <v>597</v>
      </c>
      <c r="G70" s="249">
        <f t="shared" si="6"/>
        <v>734</v>
      </c>
      <c r="H70" s="249">
        <f t="shared" si="6"/>
        <v>734</v>
      </c>
      <c r="J70" s="231"/>
      <c r="K70" s="231"/>
      <c r="L70" s="231"/>
      <c r="M70" s="231"/>
      <c r="N70" s="231"/>
    </row>
    <row r="71" spans="2:14" ht="15" x14ac:dyDescent="0.2">
      <c r="B71" s="234">
        <v>10</v>
      </c>
      <c r="C71" s="249">
        <f t="shared" si="6"/>
        <v>412</v>
      </c>
      <c r="D71" s="249">
        <f t="shared" si="6"/>
        <v>515</v>
      </c>
      <c r="E71" s="249">
        <f t="shared" si="6"/>
        <v>536</v>
      </c>
      <c r="F71" s="249">
        <f t="shared" si="6"/>
        <v>578</v>
      </c>
      <c r="G71" s="249">
        <f t="shared" si="6"/>
        <v>588</v>
      </c>
      <c r="H71" s="249">
        <f t="shared" si="6"/>
        <v>714</v>
      </c>
      <c r="J71" s="231"/>
      <c r="K71" s="231"/>
      <c r="L71" s="231"/>
      <c r="M71" s="231"/>
      <c r="N71" s="231"/>
    </row>
    <row r="72" spans="2:14" ht="15" x14ac:dyDescent="0.2">
      <c r="B72" s="234">
        <v>11</v>
      </c>
      <c r="C72" s="249">
        <f t="shared" si="6"/>
        <v>321</v>
      </c>
      <c r="D72" s="249">
        <f t="shared" si="6"/>
        <v>436</v>
      </c>
      <c r="E72" s="249">
        <f t="shared" si="6"/>
        <v>499</v>
      </c>
      <c r="F72" s="249">
        <f t="shared" si="6"/>
        <v>520</v>
      </c>
      <c r="G72" s="249">
        <f t="shared" si="6"/>
        <v>557</v>
      </c>
      <c r="H72" s="249">
        <f t="shared" si="6"/>
        <v>567</v>
      </c>
      <c r="J72" s="231"/>
      <c r="K72" s="231"/>
      <c r="L72" s="231"/>
      <c r="M72" s="231"/>
      <c r="N72" s="231"/>
    </row>
    <row r="73" spans="2:14" ht="15" x14ac:dyDescent="0.2">
      <c r="B73" s="233">
        <v>12</v>
      </c>
      <c r="C73" s="249">
        <f t="shared" si="6"/>
        <v>204</v>
      </c>
      <c r="D73" s="249">
        <f t="shared" si="6"/>
        <v>320</v>
      </c>
      <c r="E73" s="249">
        <f t="shared" si="6"/>
        <v>415</v>
      </c>
      <c r="F73" s="249">
        <f t="shared" si="6"/>
        <v>473</v>
      </c>
      <c r="G73" s="249">
        <f t="shared" si="6"/>
        <v>494</v>
      </c>
      <c r="H73" s="249">
        <f t="shared" si="6"/>
        <v>536</v>
      </c>
      <c r="J73" s="231"/>
      <c r="K73" s="231"/>
      <c r="L73" s="231"/>
      <c r="M73" s="231"/>
      <c r="N73" s="231"/>
    </row>
    <row r="74" spans="2:14" ht="15" x14ac:dyDescent="0.2">
      <c r="B74" s="230" t="s">
        <v>281</v>
      </c>
      <c r="C74" s="229">
        <f t="shared" ref="C74:H74" si="7">SUM(C60:C73)</f>
        <v>7915</v>
      </c>
      <c r="D74" s="229">
        <f t="shared" si="7"/>
        <v>9047</v>
      </c>
      <c r="E74" s="229">
        <f t="shared" si="7"/>
        <v>9480</v>
      </c>
      <c r="F74" s="229">
        <f t="shared" si="7"/>
        <v>9793</v>
      </c>
      <c r="G74" s="229">
        <f t="shared" si="7"/>
        <v>9998</v>
      </c>
      <c r="H74" s="229">
        <f t="shared" si="7"/>
        <v>10143</v>
      </c>
      <c r="J74" s="228">
        <f>D74/$D$51</f>
        <v>1.0501450957632037</v>
      </c>
      <c r="K74" s="228">
        <f>E74/$E$51</f>
        <v>1.050299135829825</v>
      </c>
      <c r="L74" s="228">
        <f>F74/$F$51</f>
        <v>1.0500750589749088</v>
      </c>
      <c r="M74" s="228">
        <f>G74/$G$51</f>
        <v>1.0502100840336135</v>
      </c>
      <c r="N74" s="228">
        <f>H74/$H$51</f>
        <v>1.0501087069054769</v>
      </c>
    </row>
  </sheetData>
  <mergeCells count="6">
    <mergeCell ref="B13:B15"/>
    <mergeCell ref="C13:H13"/>
    <mergeCell ref="C34:H34"/>
    <mergeCell ref="C57:H57"/>
    <mergeCell ref="B34:B36"/>
    <mergeCell ref="B57:B59"/>
  </mergeCells>
  <pageMargins left="0.35" right="0.25" top="0.32" bottom="0.5" header="0.32" footer="0.3"/>
  <pageSetup scale="97" orientation="portrait" r:id="rId1"/>
  <headerFooter alignWithMargins="0">
    <oddFooter>&amp;L&amp;7&amp;D  at &amp;T Mike 702.486.8879&amp;C&amp;7Page &amp;P of &amp;N&amp;R&amp;7&amp;F  &amp;A</oddFooter>
  </headerFooter>
  <rowBreaks count="1" manualBreakCount="1">
    <brk id="52" max="8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N74"/>
  <sheetViews>
    <sheetView showGridLines="0" topLeftCell="A28" zoomScale="75" zoomScaleNormal="75" zoomScaleSheetLayoutView="70" workbookViewId="0">
      <selection activeCell="C17" sqref="C17"/>
    </sheetView>
  </sheetViews>
  <sheetFormatPr defaultColWidth="9.140625" defaultRowHeight="12.75" x14ac:dyDescent="0.2"/>
  <cols>
    <col min="1" max="1" width="3" style="227" customWidth="1"/>
    <col min="2" max="2" width="9.140625" style="227"/>
    <col min="3" max="8" width="10.140625" style="227" customWidth="1"/>
    <col min="9" max="9" width="3.5703125" style="227" customWidth="1"/>
    <col min="10" max="16384" width="9.140625" style="227"/>
  </cols>
  <sheetData>
    <row r="1" spans="1:13" ht="15.75" x14ac:dyDescent="0.25">
      <c r="A1" s="259" t="s">
        <v>393</v>
      </c>
      <c r="B1" s="259"/>
      <c r="C1" s="259"/>
    </row>
    <row r="2" spans="1:13" ht="15.75" x14ac:dyDescent="0.25">
      <c r="A2" s="258" t="s">
        <v>408</v>
      </c>
      <c r="B2" s="257"/>
      <c r="C2" s="257"/>
    </row>
    <row r="3" spans="1:13" x14ac:dyDescent="0.2">
      <c r="A3" s="256" t="s">
        <v>394</v>
      </c>
    </row>
    <row r="4" spans="1:13" x14ac:dyDescent="0.2">
      <c r="A4" s="255" t="s">
        <v>395</v>
      </c>
    </row>
    <row r="5" spans="1:13" x14ac:dyDescent="0.2">
      <c r="A5" s="254" t="e">
        <f ca="1">CELL("filename")</f>
        <v>#N/A</v>
      </c>
    </row>
    <row r="6" spans="1:13" x14ac:dyDescent="0.2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</row>
    <row r="7" spans="1:13" ht="14.25" x14ac:dyDescent="0.2">
      <c r="A7" s="236"/>
      <c r="B7" s="253" t="s">
        <v>396</v>
      </c>
      <c r="C7" s="236"/>
      <c r="D7" s="236"/>
      <c r="E7" s="236"/>
      <c r="F7" s="236"/>
      <c r="G7" s="236"/>
      <c r="H7" s="236"/>
      <c r="I7" s="236"/>
      <c r="J7" s="236"/>
      <c r="K7" s="236"/>
    </row>
    <row r="8" spans="1:13" ht="14.25" x14ac:dyDescent="0.2">
      <c r="A8" s="236"/>
      <c r="B8" s="253" t="s">
        <v>397</v>
      </c>
      <c r="C8" s="236"/>
      <c r="D8" s="236"/>
      <c r="E8" s="236"/>
      <c r="F8" s="236"/>
      <c r="G8" s="236"/>
      <c r="H8" s="236"/>
      <c r="I8" s="236"/>
      <c r="J8" s="236"/>
      <c r="K8" s="236"/>
    </row>
    <row r="9" spans="1:13" ht="14.25" x14ac:dyDescent="0.2">
      <c r="A9" s="236"/>
      <c r="B9" s="253"/>
      <c r="C9" s="236"/>
      <c r="D9" s="236"/>
      <c r="E9" s="236"/>
      <c r="F9" s="236"/>
      <c r="G9" s="236"/>
      <c r="H9" s="236"/>
      <c r="I9" s="236"/>
      <c r="J9" s="236"/>
      <c r="K9" s="236"/>
    </row>
    <row r="10" spans="1:13" ht="14.25" x14ac:dyDescent="0.2">
      <c r="A10" s="236"/>
      <c r="B10" s="247" t="s">
        <v>398</v>
      </c>
      <c r="C10" s="236"/>
      <c r="D10" s="236"/>
      <c r="E10" s="236"/>
      <c r="F10" s="236"/>
      <c r="G10" s="236"/>
      <c r="H10" s="236"/>
      <c r="I10" s="236"/>
      <c r="J10" s="236"/>
      <c r="K10" s="236"/>
    </row>
    <row r="11" spans="1:13" ht="14.25" x14ac:dyDescent="0.2">
      <c r="A11" s="236"/>
      <c r="B11" s="252" t="s">
        <v>399</v>
      </c>
      <c r="C11" s="236"/>
      <c r="D11" s="236"/>
      <c r="E11" s="236"/>
      <c r="F11" s="236"/>
      <c r="G11" s="236"/>
      <c r="H11" s="236"/>
      <c r="I11" s="236"/>
      <c r="J11" s="236"/>
      <c r="K11" s="236"/>
    </row>
    <row r="12" spans="1:13" ht="13.5" thickBot="1" x14ac:dyDescent="0.25">
      <c r="A12" s="236"/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</row>
    <row r="13" spans="1:13" ht="15" x14ac:dyDescent="0.2">
      <c r="A13" s="236"/>
      <c r="B13" s="394" t="s">
        <v>400</v>
      </c>
      <c r="C13" s="397" t="s">
        <v>401</v>
      </c>
      <c r="D13" s="398"/>
      <c r="E13" s="398"/>
      <c r="F13" s="398"/>
      <c r="G13" s="398"/>
      <c r="H13" s="399"/>
      <c r="I13" s="236"/>
      <c r="J13" s="236"/>
      <c r="K13" s="236"/>
      <c r="L13" s="236"/>
      <c r="M13" s="236"/>
    </row>
    <row r="14" spans="1:13" ht="15" x14ac:dyDescent="0.2">
      <c r="A14" s="236"/>
      <c r="B14" s="395"/>
      <c r="C14" s="251">
        <v>2022</v>
      </c>
      <c r="D14" s="243">
        <f>+C15</f>
        <v>2023</v>
      </c>
      <c r="E14" s="243">
        <f>+D15</f>
        <v>2024</v>
      </c>
      <c r="F14" s="243">
        <f>+E15</f>
        <v>2025</v>
      </c>
      <c r="G14" s="243">
        <f>+F15</f>
        <v>2026</v>
      </c>
      <c r="H14" s="242">
        <f>+G15</f>
        <v>2027</v>
      </c>
      <c r="I14" s="236"/>
      <c r="J14" s="236"/>
      <c r="K14" s="236"/>
      <c r="L14" s="236"/>
      <c r="M14" s="236"/>
    </row>
    <row r="15" spans="1:13" ht="15.75" thickBot="1" x14ac:dyDescent="0.25">
      <c r="A15" s="236"/>
      <c r="B15" s="396"/>
      <c r="C15" s="241">
        <f t="shared" ref="C15:H15" si="0">+C14+1</f>
        <v>2023</v>
      </c>
      <c r="D15" s="240">
        <f t="shared" si="0"/>
        <v>2024</v>
      </c>
      <c r="E15" s="240">
        <f t="shared" si="0"/>
        <v>2025</v>
      </c>
      <c r="F15" s="240">
        <f t="shared" si="0"/>
        <v>2026</v>
      </c>
      <c r="G15" s="240">
        <f t="shared" si="0"/>
        <v>2027</v>
      </c>
      <c r="H15" s="239">
        <f t="shared" si="0"/>
        <v>2028</v>
      </c>
      <c r="I15" s="236"/>
      <c r="J15" s="236"/>
      <c r="K15" s="236"/>
      <c r="L15" s="236"/>
      <c r="M15" s="236"/>
    </row>
    <row r="16" spans="1:13" ht="15" x14ac:dyDescent="0.2">
      <c r="A16" s="236"/>
      <c r="B16" s="237" t="s">
        <v>402</v>
      </c>
      <c r="C16" s="238"/>
      <c r="D16" s="238"/>
      <c r="E16" s="238"/>
      <c r="F16" s="238"/>
      <c r="G16" s="238"/>
      <c r="H16" s="238"/>
      <c r="I16" s="236"/>
      <c r="J16" s="236"/>
      <c r="K16" s="236"/>
      <c r="L16" s="236"/>
      <c r="M16" s="236"/>
    </row>
    <row r="17" spans="1:14" ht="15" x14ac:dyDescent="0.2">
      <c r="A17" s="236"/>
      <c r="B17" s="237" t="s">
        <v>403</v>
      </c>
      <c r="C17" s="249">
        <f t="shared" ref="C17:H29" si="1">ROUND(C38*0.97,0)</f>
        <v>0</v>
      </c>
      <c r="D17" s="249">
        <f t="shared" si="1"/>
        <v>97</v>
      </c>
      <c r="E17" s="249">
        <f t="shared" si="1"/>
        <v>97</v>
      </c>
      <c r="F17" s="249">
        <f t="shared" si="1"/>
        <v>97</v>
      </c>
      <c r="G17" s="249">
        <f t="shared" si="1"/>
        <v>97</v>
      </c>
      <c r="H17" s="249">
        <f t="shared" si="1"/>
        <v>97</v>
      </c>
      <c r="I17" s="236"/>
      <c r="J17" s="236"/>
      <c r="K17" s="236"/>
      <c r="L17" s="236"/>
      <c r="M17" s="236"/>
    </row>
    <row r="18" spans="1:14" ht="15" x14ac:dyDescent="0.2">
      <c r="A18" s="236"/>
      <c r="B18" s="234">
        <v>1</v>
      </c>
      <c r="C18" s="249">
        <f t="shared" si="1"/>
        <v>0</v>
      </c>
      <c r="D18" s="249">
        <f t="shared" si="1"/>
        <v>97</v>
      </c>
      <c r="E18" s="249">
        <f t="shared" si="1"/>
        <v>97</v>
      </c>
      <c r="F18" s="249">
        <f t="shared" si="1"/>
        <v>97</v>
      </c>
      <c r="G18" s="249">
        <f t="shared" si="1"/>
        <v>97</v>
      </c>
      <c r="H18" s="249">
        <f t="shared" si="1"/>
        <v>97</v>
      </c>
      <c r="I18" s="236"/>
      <c r="J18" s="236"/>
      <c r="K18" s="236"/>
      <c r="L18" s="236"/>
      <c r="M18" s="236"/>
    </row>
    <row r="19" spans="1:14" ht="15" x14ac:dyDescent="0.2">
      <c r="A19" s="236"/>
      <c r="B19" s="234">
        <v>2</v>
      </c>
      <c r="C19" s="249">
        <f t="shared" si="1"/>
        <v>0</v>
      </c>
      <c r="D19" s="249">
        <f t="shared" si="1"/>
        <v>97</v>
      </c>
      <c r="E19" s="249">
        <f t="shared" si="1"/>
        <v>97</v>
      </c>
      <c r="F19" s="249">
        <f t="shared" si="1"/>
        <v>97</v>
      </c>
      <c r="G19" s="249">
        <f t="shared" si="1"/>
        <v>97</v>
      </c>
      <c r="H19" s="249">
        <f t="shared" si="1"/>
        <v>97</v>
      </c>
      <c r="I19" s="236"/>
      <c r="J19" s="236"/>
      <c r="K19" s="236"/>
      <c r="L19" s="236"/>
      <c r="M19" s="236"/>
    </row>
    <row r="20" spans="1:14" ht="15" x14ac:dyDescent="0.2">
      <c r="A20" s="236"/>
      <c r="B20" s="234">
        <v>3</v>
      </c>
      <c r="C20" s="249">
        <f t="shared" si="1"/>
        <v>0</v>
      </c>
      <c r="D20" s="249">
        <f t="shared" si="1"/>
        <v>97</v>
      </c>
      <c r="E20" s="249">
        <f t="shared" si="1"/>
        <v>97</v>
      </c>
      <c r="F20" s="249">
        <f t="shared" si="1"/>
        <v>97</v>
      </c>
      <c r="G20" s="249">
        <f t="shared" si="1"/>
        <v>97</v>
      </c>
      <c r="H20" s="249">
        <f t="shared" si="1"/>
        <v>97</v>
      </c>
      <c r="I20" s="236"/>
      <c r="J20" s="236"/>
      <c r="K20" s="236"/>
      <c r="L20" s="236"/>
      <c r="M20" s="236"/>
    </row>
    <row r="21" spans="1:14" ht="15" x14ac:dyDescent="0.2">
      <c r="A21" s="236"/>
      <c r="B21" s="234">
        <v>4</v>
      </c>
      <c r="C21" s="249">
        <f t="shared" si="1"/>
        <v>0</v>
      </c>
      <c r="D21" s="249">
        <f t="shared" si="1"/>
        <v>73</v>
      </c>
      <c r="E21" s="249">
        <f t="shared" si="1"/>
        <v>97</v>
      </c>
      <c r="F21" s="249">
        <f t="shared" si="1"/>
        <v>97</v>
      </c>
      <c r="G21" s="249">
        <f t="shared" si="1"/>
        <v>97</v>
      </c>
      <c r="H21" s="249">
        <f t="shared" si="1"/>
        <v>97</v>
      </c>
      <c r="I21" s="236"/>
      <c r="J21" s="236"/>
      <c r="K21" s="236"/>
      <c r="L21" s="236"/>
      <c r="M21" s="236"/>
    </row>
    <row r="22" spans="1:14" ht="15" x14ac:dyDescent="0.2">
      <c r="A22" s="236"/>
      <c r="B22" s="234">
        <v>5</v>
      </c>
      <c r="C22" s="249">
        <f t="shared" si="1"/>
        <v>0</v>
      </c>
      <c r="D22" s="249">
        <f t="shared" si="1"/>
        <v>49</v>
      </c>
      <c r="E22" s="249">
        <f t="shared" si="1"/>
        <v>73</v>
      </c>
      <c r="F22" s="249">
        <f t="shared" si="1"/>
        <v>97</v>
      </c>
      <c r="G22" s="249">
        <f t="shared" si="1"/>
        <v>97</v>
      </c>
      <c r="H22" s="249">
        <f t="shared" si="1"/>
        <v>97</v>
      </c>
      <c r="I22" s="236"/>
      <c r="J22" s="236"/>
      <c r="K22" s="236"/>
      <c r="L22" s="236"/>
      <c r="M22" s="236"/>
    </row>
    <row r="23" spans="1:14" ht="15" x14ac:dyDescent="0.2">
      <c r="A23" s="236"/>
      <c r="B23" s="234">
        <v>6</v>
      </c>
      <c r="C23" s="249">
        <f t="shared" si="1"/>
        <v>0</v>
      </c>
      <c r="D23" s="249">
        <f t="shared" si="1"/>
        <v>116</v>
      </c>
      <c r="E23" s="249">
        <f t="shared" si="1"/>
        <v>116</v>
      </c>
      <c r="F23" s="249">
        <f t="shared" si="1"/>
        <v>116</v>
      </c>
      <c r="G23" s="249">
        <f t="shared" si="1"/>
        <v>116</v>
      </c>
      <c r="H23" s="249">
        <f t="shared" si="1"/>
        <v>116</v>
      </c>
      <c r="I23" s="236"/>
      <c r="J23" s="236"/>
      <c r="K23" s="236"/>
      <c r="L23" s="236"/>
      <c r="M23" s="236"/>
    </row>
    <row r="24" spans="1:14" ht="15" x14ac:dyDescent="0.2">
      <c r="A24" s="236"/>
      <c r="B24" s="234">
        <v>7</v>
      </c>
      <c r="C24" s="249">
        <f t="shared" si="1"/>
        <v>0</v>
      </c>
      <c r="D24" s="249">
        <f t="shared" si="1"/>
        <v>0</v>
      </c>
      <c r="E24" s="249">
        <f t="shared" si="1"/>
        <v>116</v>
      </c>
      <c r="F24" s="249">
        <f t="shared" si="1"/>
        <v>116</v>
      </c>
      <c r="G24" s="249">
        <f t="shared" si="1"/>
        <v>116</v>
      </c>
      <c r="H24" s="249">
        <f t="shared" si="1"/>
        <v>116</v>
      </c>
      <c r="I24" s="236"/>
      <c r="J24" s="236"/>
      <c r="K24" s="236"/>
      <c r="L24" s="236"/>
      <c r="M24" s="236"/>
    </row>
    <row r="25" spans="1:14" ht="15" x14ac:dyDescent="0.2">
      <c r="A25" s="236"/>
      <c r="B25" s="234">
        <v>8</v>
      </c>
      <c r="C25" s="249">
        <f t="shared" si="1"/>
        <v>0</v>
      </c>
      <c r="D25" s="249">
        <f t="shared" si="1"/>
        <v>0</v>
      </c>
      <c r="E25" s="249">
        <f t="shared" si="1"/>
        <v>0</v>
      </c>
      <c r="F25" s="249">
        <f t="shared" si="1"/>
        <v>116</v>
      </c>
      <c r="G25" s="249">
        <f t="shared" si="1"/>
        <v>116</v>
      </c>
      <c r="H25" s="249">
        <f t="shared" si="1"/>
        <v>116</v>
      </c>
      <c r="I25" s="236"/>
      <c r="J25" s="236"/>
      <c r="K25" s="236"/>
      <c r="L25" s="236"/>
      <c r="M25" s="236"/>
    </row>
    <row r="26" spans="1:14" ht="15" x14ac:dyDescent="0.2">
      <c r="A26" s="236"/>
      <c r="B26" s="234">
        <v>9</v>
      </c>
      <c r="C26" s="249">
        <f t="shared" si="1"/>
        <v>0</v>
      </c>
      <c r="D26" s="249">
        <f t="shared" si="1"/>
        <v>0</v>
      </c>
      <c r="E26" s="249">
        <f t="shared" si="1"/>
        <v>0</v>
      </c>
      <c r="F26" s="249">
        <f t="shared" si="1"/>
        <v>0</v>
      </c>
      <c r="G26" s="249">
        <f t="shared" si="1"/>
        <v>116</v>
      </c>
      <c r="H26" s="249">
        <f t="shared" si="1"/>
        <v>116</v>
      </c>
      <c r="I26" s="236"/>
      <c r="J26" s="236"/>
      <c r="K26" s="236"/>
      <c r="L26" s="236"/>
      <c r="M26" s="236"/>
    </row>
    <row r="27" spans="1:14" ht="15" x14ac:dyDescent="0.2">
      <c r="A27" s="236"/>
      <c r="B27" s="234">
        <v>10</v>
      </c>
      <c r="C27" s="249">
        <f t="shared" si="1"/>
        <v>0</v>
      </c>
      <c r="D27" s="249">
        <f t="shared" si="1"/>
        <v>0</v>
      </c>
      <c r="E27" s="249">
        <f t="shared" si="1"/>
        <v>0</v>
      </c>
      <c r="F27" s="249">
        <f t="shared" si="1"/>
        <v>0</v>
      </c>
      <c r="G27" s="249">
        <f t="shared" si="1"/>
        <v>0</v>
      </c>
      <c r="H27" s="249">
        <f t="shared" si="1"/>
        <v>116</v>
      </c>
      <c r="I27" s="236"/>
      <c r="J27" s="236"/>
      <c r="K27" s="236"/>
      <c r="L27" s="236"/>
      <c r="M27" s="236"/>
    </row>
    <row r="28" spans="1:14" ht="15" x14ac:dyDescent="0.2">
      <c r="A28" s="236"/>
      <c r="B28" s="234">
        <v>11</v>
      </c>
      <c r="C28" s="249">
        <f t="shared" si="1"/>
        <v>0</v>
      </c>
      <c r="D28" s="249">
        <f t="shared" si="1"/>
        <v>0</v>
      </c>
      <c r="E28" s="249">
        <f t="shared" si="1"/>
        <v>0</v>
      </c>
      <c r="F28" s="249">
        <f t="shared" si="1"/>
        <v>0</v>
      </c>
      <c r="G28" s="249">
        <f t="shared" si="1"/>
        <v>0</v>
      </c>
      <c r="H28" s="249">
        <f t="shared" si="1"/>
        <v>0</v>
      </c>
      <c r="I28" s="236"/>
      <c r="J28" s="236"/>
      <c r="K28" s="236"/>
      <c r="L28" s="236"/>
      <c r="M28" s="236"/>
    </row>
    <row r="29" spans="1:14" ht="15" x14ac:dyDescent="0.2">
      <c r="A29" s="236"/>
      <c r="B29" s="233">
        <v>12</v>
      </c>
      <c r="C29" s="249">
        <f t="shared" si="1"/>
        <v>0</v>
      </c>
      <c r="D29" s="249">
        <f t="shared" si="1"/>
        <v>0</v>
      </c>
      <c r="E29" s="249">
        <f t="shared" si="1"/>
        <v>0</v>
      </c>
      <c r="F29" s="249">
        <f t="shared" si="1"/>
        <v>0</v>
      </c>
      <c r="G29" s="249">
        <f t="shared" si="1"/>
        <v>0</v>
      </c>
      <c r="H29" s="249">
        <f t="shared" si="1"/>
        <v>0</v>
      </c>
      <c r="I29" s="236"/>
      <c r="J29" s="236"/>
      <c r="K29" s="236"/>
      <c r="L29" s="236"/>
      <c r="M29" s="236"/>
    </row>
    <row r="30" spans="1:14" ht="15" x14ac:dyDescent="0.2">
      <c r="A30" s="236"/>
      <c r="B30" s="230" t="s">
        <v>281</v>
      </c>
      <c r="C30" s="229">
        <f t="shared" ref="C30:H30" si="2">SUM(C16:C29)</f>
        <v>0</v>
      </c>
      <c r="D30" s="229">
        <f t="shared" si="2"/>
        <v>626</v>
      </c>
      <c r="E30" s="229">
        <f t="shared" si="2"/>
        <v>790</v>
      </c>
      <c r="F30" s="229">
        <f t="shared" si="2"/>
        <v>930</v>
      </c>
      <c r="G30" s="229">
        <f t="shared" si="2"/>
        <v>1046</v>
      </c>
      <c r="H30" s="229">
        <f t="shared" si="2"/>
        <v>1162</v>
      </c>
      <c r="I30" s="236"/>
      <c r="J30" s="228">
        <f>D30/$D$51</f>
        <v>0.97054263565891474</v>
      </c>
      <c r="K30" s="228">
        <f>E30/$E$51</f>
        <v>0.96932515337423308</v>
      </c>
      <c r="L30" s="228">
        <f>F30/$F$51</f>
        <v>0.96875</v>
      </c>
      <c r="M30" s="228">
        <f>G30/$G$51</f>
        <v>0.96851851851851856</v>
      </c>
      <c r="N30" s="228">
        <f>H30/$H$51</f>
        <v>0.96833333333333338</v>
      </c>
    </row>
    <row r="31" spans="1:14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5"/>
      <c r="K31" s="235"/>
      <c r="L31" s="235"/>
      <c r="M31" s="235"/>
      <c r="N31" s="231"/>
    </row>
    <row r="32" spans="1:14" ht="14.25" x14ac:dyDescent="0.2">
      <c r="A32" s="236"/>
      <c r="B32" s="250" t="s">
        <v>404</v>
      </c>
      <c r="C32" s="236"/>
      <c r="D32" s="236"/>
      <c r="E32" s="236"/>
      <c r="F32" s="236"/>
      <c r="G32" s="236"/>
      <c r="H32" s="236"/>
      <c r="I32" s="236"/>
      <c r="J32" s="235"/>
      <c r="K32" s="235"/>
      <c r="L32" s="235"/>
      <c r="M32" s="235"/>
      <c r="N32" s="231"/>
    </row>
    <row r="33" spans="1:14" ht="13.5" thickBot="1" x14ac:dyDescent="0.25">
      <c r="A33" s="236"/>
      <c r="B33" s="236"/>
      <c r="C33" s="236"/>
      <c r="D33" s="236"/>
      <c r="E33" s="236"/>
      <c r="F33" s="236"/>
      <c r="G33" s="236"/>
      <c r="H33" s="236"/>
      <c r="I33" s="236"/>
      <c r="J33" s="235"/>
      <c r="K33" s="235"/>
      <c r="L33" s="235"/>
      <c r="M33" s="235"/>
      <c r="N33" s="231"/>
    </row>
    <row r="34" spans="1:14" ht="15.75" customHeight="1" x14ac:dyDescent="0.2">
      <c r="A34" s="236"/>
      <c r="B34" s="394" t="s">
        <v>400</v>
      </c>
      <c r="C34" s="397" t="s">
        <v>401</v>
      </c>
      <c r="D34" s="398"/>
      <c r="E34" s="398"/>
      <c r="F34" s="398"/>
      <c r="G34" s="398"/>
      <c r="H34" s="399"/>
      <c r="I34" s="236"/>
      <c r="J34" s="235"/>
      <c r="K34" s="235"/>
      <c r="L34" s="235"/>
      <c r="M34" s="235"/>
      <c r="N34" s="231"/>
    </row>
    <row r="35" spans="1:14" ht="15" x14ac:dyDescent="0.2">
      <c r="A35" s="236"/>
      <c r="B35" s="395"/>
      <c r="C35" s="244">
        <f>+C14</f>
        <v>2022</v>
      </c>
      <c r="D35" s="243">
        <f>+C36</f>
        <v>2023</v>
      </c>
      <c r="E35" s="243">
        <f>+D36</f>
        <v>2024</v>
      </c>
      <c r="F35" s="243">
        <f>+E36</f>
        <v>2025</v>
      </c>
      <c r="G35" s="243">
        <f>+F36</f>
        <v>2026</v>
      </c>
      <c r="H35" s="242">
        <f>+G36</f>
        <v>2027</v>
      </c>
      <c r="I35" s="236"/>
      <c r="J35" s="235"/>
      <c r="K35" s="235"/>
      <c r="L35" s="235"/>
      <c r="M35" s="235"/>
      <c r="N35" s="231"/>
    </row>
    <row r="36" spans="1:14" ht="15.75" thickBot="1" x14ac:dyDescent="0.25">
      <c r="A36" s="236"/>
      <c r="B36" s="396"/>
      <c r="C36" s="241">
        <f t="shared" ref="C36:H36" si="3">+C35+1</f>
        <v>2023</v>
      </c>
      <c r="D36" s="240">
        <f t="shared" si="3"/>
        <v>2024</v>
      </c>
      <c r="E36" s="240">
        <f t="shared" si="3"/>
        <v>2025</v>
      </c>
      <c r="F36" s="240">
        <f t="shared" si="3"/>
        <v>2026</v>
      </c>
      <c r="G36" s="240">
        <f t="shared" si="3"/>
        <v>2027</v>
      </c>
      <c r="H36" s="239">
        <f t="shared" si="3"/>
        <v>2028</v>
      </c>
      <c r="I36" s="236"/>
      <c r="J36" s="235"/>
      <c r="K36" s="235"/>
      <c r="L36" s="235"/>
      <c r="M36" s="235"/>
      <c r="N36" s="231"/>
    </row>
    <row r="37" spans="1:14" ht="15" x14ac:dyDescent="0.2">
      <c r="A37" s="236"/>
      <c r="B37" s="237" t="s">
        <v>402</v>
      </c>
      <c r="C37" s="238"/>
      <c r="D37" s="238"/>
      <c r="E37" s="238"/>
      <c r="F37" s="238"/>
      <c r="G37" s="238"/>
      <c r="H37" s="238"/>
      <c r="I37" s="236"/>
      <c r="J37" s="235"/>
      <c r="K37" s="235"/>
      <c r="L37" s="235"/>
      <c r="M37" s="235"/>
      <c r="N37" s="231"/>
    </row>
    <row r="38" spans="1:14" ht="15" x14ac:dyDescent="0.2">
      <c r="A38" s="236"/>
      <c r="B38" s="237" t="s">
        <v>403</v>
      </c>
      <c r="C38" s="249">
        <f>'6-Year - Springs (new campus)'!B6</f>
        <v>0</v>
      </c>
      <c r="D38" s="249">
        <f>'6-Year - Springs (new campus)'!C6</f>
        <v>100</v>
      </c>
      <c r="E38" s="249">
        <f>'6-Year - Springs (new campus)'!D6</f>
        <v>100</v>
      </c>
      <c r="F38" s="249">
        <f>'6-Year - Springs (new campus)'!E6</f>
        <v>100</v>
      </c>
      <c r="G38" s="249">
        <f>'6-Year - Springs (new campus)'!F6</f>
        <v>100</v>
      </c>
      <c r="H38" s="249">
        <f>'6-Year - Springs (new campus)'!G6</f>
        <v>100</v>
      </c>
      <c r="I38" s="236"/>
      <c r="J38" s="235"/>
      <c r="K38" s="235"/>
      <c r="L38" s="235"/>
      <c r="M38" s="235"/>
      <c r="N38" s="231"/>
    </row>
    <row r="39" spans="1:14" ht="15" x14ac:dyDescent="0.2">
      <c r="A39" s="236"/>
      <c r="B39" s="234">
        <v>1</v>
      </c>
      <c r="C39" s="249">
        <f>'6-Year - Springs (new campus)'!B7</f>
        <v>0</v>
      </c>
      <c r="D39" s="249">
        <f>'6-Year - Springs (new campus)'!C7</f>
        <v>100</v>
      </c>
      <c r="E39" s="249">
        <f>'6-Year - Springs (new campus)'!D7</f>
        <v>100</v>
      </c>
      <c r="F39" s="249">
        <f>'6-Year - Springs (new campus)'!E7</f>
        <v>100</v>
      </c>
      <c r="G39" s="249">
        <f>'6-Year - Springs (new campus)'!F7</f>
        <v>100</v>
      </c>
      <c r="H39" s="249">
        <f>'6-Year - Springs (new campus)'!G7</f>
        <v>100</v>
      </c>
      <c r="I39" s="236"/>
      <c r="J39" s="235"/>
      <c r="K39" s="235"/>
      <c r="L39" s="235"/>
      <c r="M39" s="235"/>
      <c r="N39" s="231"/>
    </row>
    <row r="40" spans="1:14" ht="15" x14ac:dyDescent="0.2">
      <c r="A40" s="236"/>
      <c r="B40" s="234">
        <v>2</v>
      </c>
      <c r="C40" s="249">
        <f>'6-Year - Springs (new campus)'!B8</f>
        <v>0</v>
      </c>
      <c r="D40" s="249">
        <f>'6-Year - Springs (new campus)'!C8</f>
        <v>100</v>
      </c>
      <c r="E40" s="249">
        <f>'6-Year - Springs (new campus)'!D8</f>
        <v>100</v>
      </c>
      <c r="F40" s="249">
        <f>'6-Year - Springs (new campus)'!E8</f>
        <v>100</v>
      </c>
      <c r="G40" s="249">
        <f>'6-Year - Springs (new campus)'!F8</f>
        <v>100</v>
      </c>
      <c r="H40" s="249">
        <f>'6-Year - Springs (new campus)'!G8</f>
        <v>100</v>
      </c>
      <c r="I40" s="236"/>
      <c r="J40" s="235"/>
      <c r="K40" s="235"/>
      <c r="L40" s="235"/>
      <c r="M40" s="235"/>
      <c r="N40" s="231"/>
    </row>
    <row r="41" spans="1:14" ht="15" x14ac:dyDescent="0.2">
      <c r="A41" s="236"/>
      <c r="B41" s="234">
        <v>3</v>
      </c>
      <c r="C41" s="249">
        <f>'6-Year - Springs (new campus)'!B9</f>
        <v>0</v>
      </c>
      <c r="D41" s="249">
        <f>'6-Year - Springs (new campus)'!C9</f>
        <v>100</v>
      </c>
      <c r="E41" s="249">
        <f>'6-Year - Springs (new campus)'!D9</f>
        <v>100</v>
      </c>
      <c r="F41" s="249">
        <f>'6-Year - Springs (new campus)'!E9</f>
        <v>100</v>
      </c>
      <c r="G41" s="249">
        <f>'6-Year - Springs (new campus)'!F9</f>
        <v>100</v>
      </c>
      <c r="H41" s="249">
        <f>'6-Year - Springs (new campus)'!G9</f>
        <v>100</v>
      </c>
      <c r="I41" s="236"/>
      <c r="J41" s="235"/>
      <c r="K41" s="235"/>
      <c r="L41" s="235"/>
      <c r="M41" s="235"/>
      <c r="N41" s="231"/>
    </row>
    <row r="42" spans="1:14" ht="15" x14ac:dyDescent="0.2">
      <c r="A42" s="236"/>
      <c r="B42" s="234">
        <v>4</v>
      </c>
      <c r="C42" s="249">
        <f>'6-Year - Springs (new campus)'!B10</f>
        <v>0</v>
      </c>
      <c r="D42" s="249">
        <f>'6-Year - Springs (new campus)'!C10</f>
        <v>75</v>
      </c>
      <c r="E42" s="249">
        <f>'6-Year - Springs (new campus)'!D10</f>
        <v>100</v>
      </c>
      <c r="F42" s="249">
        <f>'6-Year - Springs (new campus)'!E10</f>
        <v>100</v>
      </c>
      <c r="G42" s="249">
        <f>'6-Year - Springs (new campus)'!F10</f>
        <v>100</v>
      </c>
      <c r="H42" s="249">
        <f>'6-Year - Springs (new campus)'!G10</f>
        <v>100</v>
      </c>
      <c r="I42" s="236"/>
      <c r="J42" s="235"/>
      <c r="K42" s="235"/>
      <c r="L42" s="235"/>
      <c r="M42" s="235"/>
      <c r="N42" s="231"/>
    </row>
    <row r="43" spans="1:14" ht="15" x14ac:dyDescent="0.2">
      <c r="A43" s="236"/>
      <c r="B43" s="234">
        <v>5</v>
      </c>
      <c r="C43" s="249">
        <f>'6-Year - Springs (new campus)'!B11</f>
        <v>0</v>
      </c>
      <c r="D43" s="249">
        <f>'6-Year - Springs (new campus)'!C11</f>
        <v>50</v>
      </c>
      <c r="E43" s="249">
        <f>'6-Year - Springs (new campus)'!D11</f>
        <v>75</v>
      </c>
      <c r="F43" s="249">
        <f>'6-Year - Springs (new campus)'!E11</f>
        <v>100</v>
      </c>
      <c r="G43" s="249">
        <f>'6-Year - Springs (new campus)'!F11</f>
        <v>100</v>
      </c>
      <c r="H43" s="249">
        <f>'6-Year - Springs (new campus)'!G11</f>
        <v>100</v>
      </c>
      <c r="I43" s="236"/>
      <c r="J43" s="235"/>
      <c r="K43" s="235"/>
      <c r="L43" s="235"/>
      <c r="M43" s="235"/>
      <c r="N43" s="231"/>
    </row>
    <row r="44" spans="1:14" ht="15" x14ac:dyDescent="0.2">
      <c r="A44" s="236"/>
      <c r="B44" s="234">
        <v>6</v>
      </c>
      <c r="C44" s="249">
        <f>'6-Year - Springs (new campus)'!B12</f>
        <v>0</v>
      </c>
      <c r="D44" s="249">
        <f>'6-Year - Springs (new campus)'!C12</f>
        <v>120</v>
      </c>
      <c r="E44" s="249">
        <f>'6-Year - Springs (new campus)'!D12</f>
        <v>120</v>
      </c>
      <c r="F44" s="249">
        <f>'6-Year - Springs (new campus)'!E12</f>
        <v>120</v>
      </c>
      <c r="G44" s="249">
        <f>'6-Year - Springs (new campus)'!F12</f>
        <v>120</v>
      </c>
      <c r="H44" s="249">
        <f>'6-Year - Springs (new campus)'!G12</f>
        <v>120</v>
      </c>
      <c r="I44" s="236"/>
      <c r="J44" s="235"/>
      <c r="K44" s="235"/>
      <c r="L44" s="235"/>
      <c r="M44" s="235"/>
      <c r="N44" s="231"/>
    </row>
    <row r="45" spans="1:14" ht="15" x14ac:dyDescent="0.2">
      <c r="A45" s="236"/>
      <c r="B45" s="234">
        <v>7</v>
      </c>
      <c r="C45" s="249">
        <f>'6-Year - Springs (new campus)'!B13</f>
        <v>0</v>
      </c>
      <c r="D45" s="249">
        <f>'6-Year - Springs (new campus)'!C13</f>
        <v>0</v>
      </c>
      <c r="E45" s="249">
        <f>'6-Year - Springs (new campus)'!D13</f>
        <v>120</v>
      </c>
      <c r="F45" s="249">
        <f>'6-Year - Springs (new campus)'!E13</f>
        <v>120</v>
      </c>
      <c r="G45" s="249">
        <f>'6-Year - Springs (new campus)'!F13</f>
        <v>120</v>
      </c>
      <c r="H45" s="249">
        <f>'6-Year - Springs (new campus)'!G13</f>
        <v>120</v>
      </c>
      <c r="I45" s="236"/>
      <c r="J45" s="235"/>
      <c r="K45" s="235"/>
      <c r="L45" s="235"/>
      <c r="M45" s="235"/>
      <c r="N45" s="231"/>
    </row>
    <row r="46" spans="1:14" ht="15" x14ac:dyDescent="0.2">
      <c r="A46" s="236"/>
      <c r="B46" s="234">
        <v>8</v>
      </c>
      <c r="C46" s="249">
        <f>'6-Year - Springs (new campus)'!B14</f>
        <v>0</v>
      </c>
      <c r="D46" s="249">
        <f>'6-Year - Springs (new campus)'!C14</f>
        <v>0</v>
      </c>
      <c r="E46" s="249">
        <f>'6-Year - Springs (new campus)'!D14</f>
        <v>0</v>
      </c>
      <c r="F46" s="249">
        <f>'6-Year - Springs (new campus)'!E14</f>
        <v>120</v>
      </c>
      <c r="G46" s="249">
        <f>'6-Year - Springs (new campus)'!F14</f>
        <v>120</v>
      </c>
      <c r="H46" s="249">
        <f>'6-Year - Springs (new campus)'!G14</f>
        <v>120</v>
      </c>
      <c r="I46" s="236"/>
      <c r="J46" s="235"/>
      <c r="K46" s="235"/>
      <c r="L46" s="235"/>
      <c r="M46" s="235"/>
      <c r="N46" s="231"/>
    </row>
    <row r="47" spans="1:14" ht="15" x14ac:dyDescent="0.2">
      <c r="A47" s="236"/>
      <c r="B47" s="234">
        <v>9</v>
      </c>
      <c r="C47" s="249">
        <f>'6-Year - Springs (new campus)'!B15</f>
        <v>0</v>
      </c>
      <c r="D47" s="249">
        <f>'6-Year - Springs (new campus)'!C15</f>
        <v>0</v>
      </c>
      <c r="E47" s="249">
        <f>'6-Year - Springs (new campus)'!D15</f>
        <v>0</v>
      </c>
      <c r="F47" s="249">
        <f>'6-Year - Springs (new campus)'!E15</f>
        <v>0</v>
      </c>
      <c r="G47" s="249">
        <f>'6-Year - Springs (new campus)'!F15</f>
        <v>120</v>
      </c>
      <c r="H47" s="249">
        <f>'6-Year - Springs (new campus)'!G15</f>
        <v>120</v>
      </c>
      <c r="I47" s="236"/>
      <c r="J47" s="235"/>
      <c r="K47" s="235"/>
      <c r="L47" s="235"/>
      <c r="M47" s="235"/>
      <c r="N47" s="231"/>
    </row>
    <row r="48" spans="1:14" ht="15" x14ac:dyDescent="0.2">
      <c r="A48" s="236"/>
      <c r="B48" s="234">
        <v>10</v>
      </c>
      <c r="C48" s="249">
        <f>'6-Year - Springs (new campus)'!B16</f>
        <v>0</v>
      </c>
      <c r="D48" s="249">
        <f>'6-Year - Springs (new campus)'!C16</f>
        <v>0</v>
      </c>
      <c r="E48" s="249">
        <f>'6-Year - Springs (new campus)'!D16</f>
        <v>0</v>
      </c>
      <c r="F48" s="249">
        <f>'6-Year - Springs (new campus)'!E16</f>
        <v>0</v>
      </c>
      <c r="G48" s="249">
        <f>'6-Year - Springs (new campus)'!F16</f>
        <v>0</v>
      </c>
      <c r="H48" s="249">
        <f>'6-Year - Springs (new campus)'!G16</f>
        <v>120</v>
      </c>
      <c r="I48" s="236"/>
      <c r="J48" s="235"/>
      <c r="K48" s="235"/>
      <c r="L48" s="235"/>
      <c r="M48" s="235"/>
      <c r="N48" s="231"/>
    </row>
    <row r="49" spans="1:14" ht="15" x14ac:dyDescent="0.2">
      <c r="A49" s="236"/>
      <c r="B49" s="234">
        <v>11</v>
      </c>
      <c r="C49" s="249">
        <f>'6-Year - Springs (new campus)'!B17</f>
        <v>0</v>
      </c>
      <c r="D49" s="249">
        <f>'6-Year - Springs (new campus)'!C17</f>
        <v>0</v>
      </c>
      <c r="E49" s="249">
        <f>'6-Year - Springs (new campus)'!D17</f>
        <v>0</v>
      </c>
      <c r="F49" s="249">
        <f>'6-Year - Springs (new campus)'!E17</f>
        <v>0</v>
      </c>
      <c r="G49" s="249">
        <f>'6-Year - Springs (new campus)'!F17</f>
        <v>0</v>
      </c>
      <c r="H49" s="249">
        <f>'6-Year - Springs (new campus)'!G17</f>
        <v>0</v>
      </c>
      <c r="I49" s="236"/>
      <c r="J49" s="235"/>
      <c r="K49" s="235"/>
      <c r="L49" s="235"/>
      <c r="M49" s="235"/>
      <c r="N49" s="231"/>
    </row>
    <row r="50" spans="1:14" ht="15" x14ac:dyDescent="0.2">
      <c r="A50" s="236"/>
      <c r="B50" s="233">
        <v>12</v>
      </c>
      <c r="C50" s="249">
        <f>'6-Year - Springs (new campus)'!B18</f>
        <v>0</v>
      </c>
      <c r="D50" s="249">
        <f>'6-Year - Springs (new campus)'!C18</f>
        <v>0</v>
      </c>
      <c r="E50" s="249">
        <f>'6-Year - Springs (new campus)'!D18</f>
        <v>0</v>
      </c>
      <c r="F50" s="249">
        <f>'6-Year - Springs (new campus)'!E18</f>
        <v>0</v>
      </c>
      <c r="G50" s="249">
        <f>'6-Year - Springs (new campus)'!F18</f>
        <v>0</v>
      </c>
      <c r="H50" s="249">
        <f>'6-Year - Springs (new campus)'!G18</f>
        <v>0</v>
      </c>
      <c r="I50" s="236"/>
      <c r="J50" s="235"/>
      <c r="K50" s="235"/>
      <c r="L50" s="235"/>
      <c r="M50" s="235"/>
      <c r="N50" s="231"/>
    </row>
    <row r="51" spans="1:14" ht="15" x14ac:dyDescent="0.2">
      <c r="A51" s="236"/>
      <c r="B51" s="230" t="s">
        <v>281</v>
      </c>
      <c r="C51" s="229">
        <f t="shared" ref="C51:H51" si="4">SUM(C37:C50)</f>
        <v>0</v>
      </c>
      <c r="D51" s="229">
        <f t="shared" si="4"/>
        <v>645</v>
      </c>
      <c r="E51" s="229">
        <f t="shared" si="4"/>
        <v>815</v>
      </c>
      <c r="F51" s="229">
        <f t="shared" si="4"/>
        <v>960</v>
      </c>
      <c r="G51" s="229">
        <f t="shared" si="4"/>
        <v>1080</v>
      </c>
      <c r="H51" s="229">
        <f t="shared" si="4"/>
        <v>1200</v>
      </c>
      <c r="I51" s="236"/>
      <c r="J51" s="248">
        <f>D51/$D$51</f>
        <v>1</v>
      </c>
      <c r="K51" s="248">
        <f>E51/$E$51</f>
        <v>1</v>
      </c>
      <c r="L51" s="248">
        <f>F51/$F$51</f>
        <v>1</v>
      </c>
      <c r="M51" s="248">
        <f>G51/$G$51</f>
        <v>1</v>
      </c>
      <c r="N51" s="248">
        <f>H51/$H$51</f>
        <v>1</v>
      </c>
    </row>
    <row r="52" spans="1:14" x14ac:dyDescent="0.2">
      <c r="A52" s="236"/>
      <c r="B52" s="236"/>
      <c r="C52" s="236"/>
      <c r="D52" s="236"/>
      <c r="E52" s="236"/>
      <c r="F52" s="236"/>
      <c r="G52" s="236"/>
      <c r="H52" s="236"/>
      <c r="I52" s="236"/>
      <c r="J52" s="235"/>
      <c r="K52" s="235"/>
      <c r="L52" s="235"/>
      <c r="M52" s="235"/>
      <c r="N52" s="231"/>
    </row>
    <row r="53" spans="1:14" ht="14.25" x14ac:dyDescent="0.2">
      <c r="A53" s="236"/>
      <c r="B53" s="247" t="s">
        <v>405</v>
      </c>
      <c r="C53" s="245"/>
      <c r="D53" s="245"/>
      <c r="E53" s="245"/>
      <c r="F53" s="245"/>
      <c r="G53" s="245"/>
      <c r="H53" s="245"/>
      <c r="I53" s="236"/>
      <c r="J53" s="235"/>
      <c r="K53" s="235"/>
      <c r="L53" s="235"/>
      <c r="M53" s="235"/>
      <c r="N53" s="231"/>
    </row>
    <row r="54" spans="1:14" ht="14.25" x14ac:dyDescent="0.2">
      <c r="A54" s="236"/>
      <c r="B54" s="247" t="s">
        <v>406</v>
      </c>
      <c r="C54" s="245"/>
      <c r="D54" s="245"/>
      <c r="E54" s="245"/>
      <c r="F54" s="245"/>
      <c r="G54" s="245"/>
      <c r="H54" s="245"/>
      <c r="I54" s="236"/>
      <c r="J54" s="235"/>
      <c r="K54" s="235"/>
      <c r="L54" s="235"/>
      <c r="M54" s="235"/>
      <c r="N54" s="231"/>
    </row>
    <row r="55" spans="1:14" x14ac:dyDescent="0.2">
      <c r="A55" s="236"/>
      <c r="B55" s="246" t="s">
        <v>407</v>
      </c>
      <c r="C55" s="245"/>
      <c r="D55" s="245"/>
      <c r="E55" s="245"/>
      <c r="F55" s="245"/>
      <c r="G55" s="245"/>
      <c r="H55" s="245"/>
      <c r="I55" s="236"/>
      <c r="J55" s="235"/>
      <c r="K55" s="235"/>
      <c r="L55" s="235"/>
      <c r="M55" s="235"/>
      <c r="N55" s="231"/>
    </row>
    <row r="56" spans="1:14" ht="13.5" thickBot="1" x14ac:dyDescent="0.25">
      <c r="A56" s="236"/>
      <c r="B56" s="236"/>
      <c r="C56" s="236"/>
      <c r="D56" s="236"/>
      <c r="E56" s="236"/>
      <c r="F56" s="236"/>
      <c r="G56" s="236"/>
      <c r="H56" s="236"/>
      <c r="I56" s="236"/>
      <c r="J56" s="235"/>
      <c r="K56" s="235"/>
      <c r="L56" s="235"/>
      <c r="M56" s="235"/>
      <c r="N56" s="231"/>
    </row>
    <row r="57" spans="1:14" ht="15.75" customHeight="1" x14ac:dyDescent="0.2">
      <c r="A57" s="236"/>
      <c r="B57" s="394" t="s">
        <v>400</v>
      </c>
      <c r="C57" s="397" t="s">
        <v>401</v>
      </c>
      <c r="D57" s="398"/>
      <c r="E57" s="398"/>
      <c r="F57" s="398"/>
      <c r="G57" s="398"/>
      <c r="H57" s="399"/>
      <c r="I57" s="236"/>
      <c r="J57" s="235"/>
      <c r="K57" s="235"/>
      <c r="L57" s="235"/>
      <c r="M57" s="235"/>
      <c r="N57" s="231"/>
    </row>
    <row r="58" spans="1:14" ht="15" x14ac:dyDescent="0.2">
      <c r="A58" s="236"/>
      <c r="B58" s="395"/>
      <c r="C58" s="244">
        <f>+C14</f>
        <v>2022</v>
      </c>
      <c r="D58" s="243">
        <f>+C59</f>
        <v>2023</v>
      </c>
      <c r="E58" s="243">
        <f>+D59</f>
        <v>2024</v>
      </c>
      <c r="F58" s="243">
        <f>+E59</f>
        <v>2025</v>
      </c>
      <c r="G58" s="243">
        <f>+F59</f>
        <v>2026</v>
      </c>
      <c r="H58" s="242">
        <f>+G59</f>
        <v>2027</v>
      </c>
      <c r="I58" s="236"/>
      <c r="J58" s="235"/>
      <c r="K58" s="235"/>
      <c r="L58" s="235"/>
      <c r="M58" s="235"/>
      <c r="N58" s="231"/>
    </row>
    <row r="59" spans="1:14" ht="15.75" thickBot="1" x14ac:dyDescent="0.25">
      <c r="A59" s="236"/>
      <c r="B59" s="396"/>
      <c r="C59" s="241">
        <f t="shared" ref="C59:H59" si="5">+C58+1</f>
        <v>2023</v>
      </c>
      <c r="D59" s="240">
        <f t="shared" si="5"/>
        <v>2024</v>
      </c>
      <c r="E59" s="240">
        <f t="shared" si="5"/>
        <v>2025</v>
      </c>
      <c r="F59" s="240">
        <f t="shared" si="5"/>
        <v>2026</v>
      </c>
      <c r="G59" s="240">
        <f t="shared" si="5"/>
        <v>2027</v>
      </c>
      <c r="H59" s="239">
        <f t="shared" si="5"/>
        <v>2028</v>
      </c>
      <c r="I59" s="236"/>
      <c r="J59" s="235"/>
      <c r="K59" s="235"/>
      <c r="L59" s="235"/>
      <c r="M59" s="235"/>
      <c r="N59" s="231"/>
    </row>
    <row r="60" spans="1:14" ht="15" x14ac:dyDescent="0.2">
      <c r="A60" s="236"/>
      <c r="B60" s="237" t="s">
        <v>402</v>
      </c>
      <c r="C60" s="238"/>
      <c r="D60" s="238"/>
      <c r="E60" s="238"/>
      <c r="F60" s="238"/>
      <c r="G60" s="238"/>
      <c r="H60" s="238"/>
      <c r="I60" s="236"/>
      <c r="J60" s="235"/>
      <c r="K60" s="235"/>
      <c r="L60" s="235"/>
      <c r="M60" s="235"/>
      <c r="N60" s="231"/>
    </row>
    <row r="61" spans="1:14" ht="15" x14ac:dyDescent="0.2">
      <c r="A61" s="236"/>
      <c r="B61" s="237" t="s">
        <v>403</v>
      </c>
      <c r="C61" s="232">
        <f t="shared" ref="C61:H73" si="6">ROUND(C38*1.05,0)</f>
        <v>0</v>
      </c>
      <c r="D61" s="232">
        <f t="shared" si="6"/>
        <v>105</v>
      </c>
      <c r="E61" s="232">
        <f t="shared" si="6"/>
        <v>105</v>
      </c>
      <c r="F61" s="232">
        <f t="shared" si="6"/>
        <v>105</v>
      </c>
      <c r="G61" s="232">
        <f t="shared" si="6"/>
        <v>105</v>
      </c>
      <c r="H61" s="232">
        <f t="shared" si="6"/>
        <v>105</v>
      </c>
      <c r="I61" s="236"/>
      <c r="J61" s="235"/>
      <c r="K61" s="235"/>
      <c r="L61" s="235"/>
      <c r="M61" s="235"/>
      <c r="N61" s="231"/>
    </row>
    <row r="62" spans="1:14" ht="15" x14ac:dyDescent="0.2">
      <c r="A62" s="236"/>
      <c r="B62" s="234">
        <v>1</v>
      </c>
      <c r="C62" s="232">
        <f t="shared" si="6"/>
        <v>0</v>
      </c>
      <c r="D62" s="232">
        <f t="shared" si="6"/>
        <v>105</v>
      </c>
      <c r="E62" s="232">
        <f t="shared" si="6"/>
        <v>105</v>
      </c>
      <c r="F62" s="232">
        <f t="shared" si="6"/>
        <v>105</v>
      </c>
      <c r="G62" s="232">
        <f t="shared" si="6"/>
        <v>105</v>
      </c>
      <c r="H62" s="232">
        <f t="shared" si="6"/>
        <v>105</v>
      </c>
      <c r="I62" s="236"/>
      <c r="J62" s="235"/>
      <c r="K62" s="235"/>
      <c r="L62" s="235"/>
      <c r="M62" s="235"/>
      <c r="N62" s="231"/>
    </row>
    <row r="63" spans="1:14" ht="15" x14ac:dyDescent="0.2">
      <c r="A63" s="236"/>
      <c r="B63" s="234">
        <v>2</v>
      </c>
      <c r="C63" s="232">
        <f t="shared" si="6"/>
        <v>0</v>
      </c>
      <c r="D63" s="232">
        <f t="shared" si="6"/>
        <v>105</v>
      </c>
      <c r="E63" s="232">
        <f t="shared" si="6"/>
        <v>105</v>
      </c>
      <c r="F63" s="232">
        <f t="shared" si="6"/>
        <v>105</v>
      </c>
      <c r="G63" s="232">
        <f t="shared" si="6"/>
        <v>105</v>
      </c>
      <c r="H63" s="232">
        <f t="shared" si="6"/>
        <v>105</v>
      </c>
      <c r="I63" s="236"/>
      <c r="J63" s="235"/>
      <c r="K63" s="235"/>
      <c r="L63" s="235"/>
      <c r="M63" s="235"/>
      <c r="N63" s="231"/>
    </row>
    <row r="64" spans="1:14" ht="15" x14ac:dyDescent="0.2">
      <c r="A64" s="236"/>
      <c r="B64" s="234">
        <v>3</v>
      </c>
      <c r="C64" s="232">
        <f t="shared" si="6"/>
        <v>0</v>
      </c>
      <c r="D64" s="232">
        <f t="shared" si="6"/>
        <v>105</v>
      </c>
      <c r="E64" s="232">
        <f t="shared" si="6"/>
        <v>105</v>
      </c>
      <c r="F64" s="232">
        <f t="shared" si="6"/>
        <v>105</v>
      </c>
      <c r="G64" s="232">
        <f t="shared" si="6"/>
        <v>105</v>
      </c>
      <c r="H64" s="232">
        <f t="shared" si="6"/>
        <v>105</v>
      </c>
      <c r="I64" s="236"/>
      <c r="J64" s="235"/>
      <c r="K64" s="235"/>
      <c r="L64" s="235"/>
      <c r="M64" s="235"/>
      <c r="N64" s="231"/>
    </row>
    <row r="65" spans="2:14" ht="15" x14ac:dyDescent="0.2">
      <c r="B65" s="234">
        <v>4</v>
      </c>
      <c r="C65" s="232">
        <f t="shared" si="6"/>
        <v>0</v>
      </c>
      <c r="D65" s="232">
        <f t="shared" si="6"/>
        <v>79</v>
      </c>
      <c r="E65" s="232">
        <f t="shared" si="6"/>
        <v>105</v>
      </c>
      <c r="F65" s="232">
        <f t="shared" si="6"/>
        <v>105</v>
      </c>
      <c r="G65" s="232">
        <f t="shared" si="6"/>
        <v>105</v>
      </c>
      <c r="H65" s="232">
        <f t="shared" si="6"/>
        <v>105</v>
      </c>
      <c r="J65" s="231"/>
      <c r="K65" s="231"/>
      <c r="L65" s="231"/>
      <c r="M65" s="231"/>
      <c r="N65" s="231"/>
    </row>
    <row r="66" spans="2:14" ht="15" x14ac:dyDescent="0.2">
      <c r="B66" s="234">
        <v>5</v>
      </c>
      <c r="C66" s="232">
        <f t="shared" si="6"/>
        <v>0</v>
      </c>
      <c r="D66" s="232">
        <f t="shared" si="6"/>
        <v>53</v>
      </c>
      <c r="E66" s="232">
        <f t="shared" si="6"/>
        <v>79</v>
      </c>
      <c r="F66" s="232">
        <f t="shared" si="6"/>
        <v>105</v>
      </c>
      <c r="G66" s="232">
        <f t="shared" si="6"/>
        <v>105</v>
      </c>
      <c r="H66" s="232">
        <f t="shared" si="6"/>
        <v>105</v>
      </c>
      <c r="J66" s="231"/>
      <c r="K66" s="231"/>
      <c r="L66" s="231"/>
      <c r="M66" s="231"/>
      <c r="N66" s="231"/>
    </row>
    <row r="67" spans="2:14" ht="15" x14ac:dyDescent="0.2">
      <c r="B67" s="234">
        <v>6</v>
      </c>
      <c r="C67" s="249">
        <f t="shared" si="6"/>
        <v>0</v>
      </c>
      <c r="D67" s="232">
        <f t="shared" si="6"/>
        <v>126</v>
      </c>
      <c r="E67" s="232">
        <f t="shared" si="6"/>
        <v>126</v>
      </c>
      <c r="F67" s="232">
        <f t="shared" si="6"/>
        <v>126</v>
      </c>
      <c r="G67" s="232">
        <f t="shared" si="6"/>
        <v>126</v>
      </c>
      <c r="H67" s="232">
        <f t="shared" si="6"/>
        <v>126</v>
      </c>
      <c r="J67" s="231"/>
      <c r="K67" s="231"/>
      <c r="L67" s="231"/>
      <c r="M67" s="231"/>
      <c r="N67" s="231"/>
    </row>
    <row r="68" spans="2:14" ht="15" x14ac:dyDescent="0.2">
      <c r="B68" s="234">
        <v>7</v>
      </c>
      <c r="C68" s="249">
        <f t="shared" si="6"/>
        <v>0</v>
      </c>
      <c r="D68" s="232">
        <f t="shared" si="6"/>
        <v>0</v>
      </c>
      <c r="E68" s="232">
        <f t="shared" si="6"/>
        <v>126</v>
      </c>
      <c r="F68" s="232">
        <f t="shared" si="6"/>
        <v>126</v>
      </c>
      <c r="G68" s="232">
        <f t="shared" si="6"/>
        <v>126</v>
      </c>
      <c r="H68" s="232">
        <f t="shared" si="6"/>
        <v>126</v>
      </c>
      <c r="J68" s="231"/>
      <c r="K68" s="231"/>
      <c r="L68" s="231"/>
      <c r="M68" s="231"/>
      <c r="N68" s="231"/>
    </row>
    <row r="69" spans="2:14" ht="15" x14ac:dyDescent="0.2">
      <c r="B69" s="234">
        <v>8</v>
      </c>
      <c r="C69" s="249">
        <f t="shared" si="6"/>
        <v>0</v>
      </c>
      <c r="D69" s="232">
        <f t="shared" si="6"/>
        <v>0</v>
      </c>
      <c r="E69" s="232">
        <f t="shared" si="6"/>
        <v>0</v>
      </c>
      <c r="F69" s="232">
        <f t="shared" si="6"/>
        <v>126</v>
      </c>
      <c r="G69" s="232">
        <f t="shared" si="6"/>
        <v>126</v>
      </c>
      <c r="H69" s="232">
        <f t="shared" si="6"/>
        <v>126</v>
      </c>
      <c r="J69" s="231"/>
      <c r="K69" s="231"/>
      <c r="L69" s="231"/>
      <c r="M69" s="231"/>
      <c r="N69" s="231"/>
    </row>
    <row r="70" spans="2:14" ht="15" x14ac:dyDescent="0.2">
      <c r="B70" s="234">
        <v>9</v>
      </c>
      <c r="C70" s="249">
        <f t="shared" si="6"/>
        <v>0</v>
      </c>
      <c r="D70" s="232">
        <f t="shared" si="6"/>
        <v>0</v>
      </c>
      <c r="E70" s="232">
        <f t="shared" si="6"/>
        <v>0</v>
      </c>
      <c r="F70" s="232">
        <f t="shared" si="6"/>
        <v>0</v>
      </c>
      <c r="G70" s="232">
        <f t="shared" si="6"/>
        <v>126</v>
      </c>
      <c r="H70" s="232">
        <f t="shared" si="6"/>
        <v>126</v>
      </c>
      <c r="J70" s="231"/>
      <c r="K70" s="231"/>
      <c r="L70" s="231"/>
      <c r="M70" s="231"/>
      <c r="N70" s="231"/>
    </row>
    <row r="71" spans="2:14" ht="15" x14ac:dyDescent="0.2">
      <c r="B71" s="234">
        <v>10</v>
      </c>
      <c r="C71" s="249">
        <f t="shared" si="6"/>
        <v>0</v>
      </c>
      <c r="D71" s="232">
        <f t="shared" si="6"/>
        <v>0</v>
      </c>
      <c r="E71" s="232">
        <f t="shared" si="6"/>
        <v>0</v>
      </c>
      <c r="F71" s="232">
        <f t="shared" si="6"/>
        <v>0</v>
      </c>
      <c r="G71" s="232">
        <f t="shared" si="6"/>
        <v>0</v>
      </c>
      <c r="H71" s="232">
        <f t="shared" si="6"/>
        <v>126</v>
      </c>
      <c r="J71" s="231"/>
      <c r="K71" s="231"/>
      <c r="L71" s="231"/>
      <c r="M71" s="231"/>
      <c r="N71" s="231"/>
    </row>
    <row r="72" spans="2:14" ht="15" x14ac:dyDescent="0.2">
      <c r="B72" s="234">
        <v>11</v>
      </c>
      <c r="C72" s="249">
        <f t="shared" si="6"/>
        <v>0</v>
      </c>
      <c r="D72" s="232">
        <f t="shared" si="6"/>
        <v>0</v>
      </c>
      <c r="E72" s="232">
        <f t="shared" si="6"/>
        <v>0</v>
      </c>
      <c r="F72" s="232">
        <f t="shared" si="6"/>
        <v>0</v>
      </c>
      <c r="G72" s="232">
        <f t="shared" si="6"/>
        <v>0</v>
      </c>
      <c r="H72" s="232">
        <f t="shared" si="6"/>
        <v>0</v>
      </c>
      <c r="J72" s="231"/>
      <c r="K72" s="231"/>
      <c r="L72" s="231"/>
      <c r="M72" s="231"/>
      <c r="N72" s="231"/>
    </row>
    <row r="73" spans="2:14" ht="15" x14ac:dyDescent="0.2">
      <c r="B73" s="233">
        <v>12</v>
      </c>
      <c r="C73" s="249">
        <f t="shared" si="6"/>
        <v>0</v>
      </c>
      <c r="D73" s="232">
        <f t="shared" si="6"/>
        <v>0</v>
      </c>
      <c r="E73" s="232">
        <f t="shared" si="6"/>
        <v>0</v>
      </c>
      <c r="F73" s="232">
        <f t="shared" si="6"/>
        <v>0</v>
      </c>
      <c r="G73" s="232">
        <f t="shared" si="6"/>
        <v>0</v>
      </c>
      <c r="H73" s="232">
        <f t="shared" si="6"/>
        <v>0</v>
      </c>
      <c r="J73" s="231"/>
      <c r="K73" s="231"/>
      <c r="L73" s="231"/>
      <c r="M73" s="231"/>
      <c r="N73" s="231"/>
    </row>
    <row r="74" spans="2:14" ht="15" x14ac:dyDescent="0.2">
      <c r="B74" s="230" t="s">
        <v>281</v>
      </c>
      <c r="C74" s="229">
        <f t="shared" ref="C74:H74" si="7">SUM(C60:C73)</f>
        <v>0</v>
      </c>
      <c r="D74" s="229">
        <f t="shared" si="7"/>
        <v>678</v>
      </c>
      <c r="E74" s="229">
        <f t="shared" si="7"/>
        <v>856</v>
      </c>
      <c r="F74" s="229">
        <f t="shared" si="7"/>
        <v>1008</v>
      </c>
      <c r="G74" s="229">
        <f t="shared" si="7"/>
        <v>1134</v>
      </c>
      <c r="H74" s="229">
        <f t="shared" si="7"/>
        <v>1260</v>
      </c>
      <c r="J74" s="228">
        <f>D74/$D$51</f>
        <v>1.0511627906976744</v>
      </c>
      <c r="K74" s="228">
        <f>E74/$E$51</f>
        <v>1.0503067484662576</v>
      </c>
      <c r="L74" s="228">
        <f>F74/$F$51</f>
        <v>1.05</v>
      </c>
      <c r="M74" s="228">
        <f>G74/$G$51</f>
        <v>1.05</v>
      </c>
      <c r="N74" s="228">
        <f>H74/$H$51</f>
        <v>1.05</v>
      </c>
    </row>
  </sheetData>
  <mergeCells count="6">
    <mergeCell ref="B13:B15"/>
    <mergeCell ref="C13:H13"/>
    <mergeCell ref="B34:B36"/>
    <mergeCell ref="C34:H34"/>
    <mergeCell ref="B57:B59"/>
    <mergeCell ref="C57:H57"/>
  </mergeCells>
  <pageMargins left="0.35" right="0.25" top="0.32" bottom="0.5" header="0.32" footer="0.3"/>
  <pageSetup scale="97" orientation="portrait" r:id="rId1"/>
  <headerFooter alignWithMargins="0">
    <oddFooter>&amp;L&amp;7&amp;D  at &amp;T Mike 702.486.8879&amp;C&amp;7Page &amp;P of &amp;N&amp;R&amp;7&amp;F  &amp;A</oddFooter>
  </headerFooter>
  <rowBreaks count="1" manualBreakCount="1">
    <brk id="52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23"/>
  <sheetViews>
    <sheetView topLeftCell="A13" zoomScaleNormal="100" workbookViewId="0">
      <selection activeCell="D23" sqref="D23"/>
    </sheetView>
  </sheetViews>
  <sheetFormatPr defaultRowHeight="15" x14ac:dyDescent="0.25"/>
  <cols>
    <col min="1" max="1" width="10.42578125" customWidth="1"/>
    <col min="2" max="2" width="46.85546875" customWidth="1"/>
    <col min="3" max="3" width="16.42578125" customWidth="1"/>
    <col min="4" max="4" width="14.85546875" customWidth="1"/>
    <col min="5" max="5" width="16.42578125" customWidth="1"/>
    <col min="6" max="7" width="14.85546875" customWidth="1"/>
    <col min="8" max="8" width="11" bestFit="1" customWidth="1"/>
    <col min="9" max="9" width="10.140625" bestFit="1" customWidth="1"/>
    <col min="12" max="12" width="11.85546875" bestFit="1" customWidth="1"/>
  </cols>
  <sheetData>
    <row r="1" spans="1:11" x14ac:dyDescent="0.25">
      <c r="A1" s="2"/>
      <c r="B1" s="1" t="s">
        <v>207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208</v>
      </c>
    </row>
    <row r="2" spans="1:11" x14ac:dyDescent="0.25">
      <c r="A2" s="4"/>
      <c r="B2" s="6" t="s">
        <v>7</v>
      </c>
      <c r="C2" s="7">
        <v>7196.79</v>
      </c>
      <c r="D2" s="7">
        <v>0</v>
      </c>
      <c r="E2" s="7">
        <v>0</v>
      </c>
      <c r="F2" s="7">
        <v>0</v>
      </c>
      <c r="G2" s="7">
        <f>SUM(C2:F2)</f>
        <v>7196.79</v>
      </c>
    </row>
    <row r="3" spans="1:11" x14ac:dyDescent="0.25">
      <c r="A3" s="4"/>
      <c r="B3" s="8"/>
      <c r="C3" s="7">
        <v>0</v>
      </c>
      <c r="D3" s="7">
        <v>0</v>
      </c>
      <c r="E3" s="7"/>
      <c r="F3" s="7">
        <v>0</v>
      </c>
      <c r="G3" s="7">
        <f>SUM(C3:F3)</f>
        <v>0</v>
      </c>
    </row>
    <row r="4" spans="1:11" x14ac:dyDescent="0.25">
      <c r="A4" s="4"/>
      <c r="B4" s="8"/>
      <c r="C4" s="139"/>
      <c r="D4" s="139"/>
      <c r="E4" s="139"/>
      <c r="F4" s="139"/>
      <c r="G4" s="153"/>
    </row>
    <row r="5" spans="1:11" x14ac:dyDescent="0.25">
      <c r="A5" s="4"/>
      <c r="B5" s="8" t="s">
        <v>8</v>
      </c>
      <c r="C5" s="9">
        <f>C6+C7+C8+C9+C10+C11+C12+C13+C14+C15+C16+C17+C18</f>
        <v>2101</v>
      </c>
      <c r="D5" s="9"/>
      <c r="E5" s="9"/>
      <c r="F5" s="9"/>
      <c r="G5" s="9">
        <f t="shared" ref="G5:G19" si="0">SUM(C5:F5)</f>
        <v>2101</v>
      </c>
    </row>
    <row r="6" spans="1:11" x14ac:dyDescent="0.25">
      <c r="A6" s="163">
        <v>5</v>
      </c>
      <c r="B6" s="10" t="s">
        <v>9</v>
      </c>
      <c r="C6" s="11">
        <f>25*5</f>
        <v>125</v>
      </c>
      <c r="D6" s="11"/>
      <c r="E6" s="11"/>
      <c r="F6" s="11"/>
      <c r="G6" s="9">
        <f t="shared" si="0"/>
        <v>125</v>
      </c>
    </row>
    <row r="7" spans="1:11" x14ac:dyDescent="0.25">
      <c r="A7" s="163">
        <v>5</v>
      </c>
      <c r="B7" s="12" t="s">
        <v>10</v>
      </c>
      <c r="C7" s="11">
        <f>26*5</f>
        <v>130</v>
      </c>
      <c r="D7" s="11"/>
      <c r="E7" s="11"/>
      <c r="F7" s="11"/>
      <c r="G7" s="9">
        <f t="shared" si="0"/>
        <v>130</v>
      </c>
    </row>
    <row r="8" spans="1:11" x14ac:dyDescent="0.25">
      <c r="A8" s="163">
        <v>5</v>
      </c>
      <c r="B8" s="12" t="s">
        <v>11</v>
      </c>
      <c r="C8" s="11">
        <f>27*5</f>
        <v>135</v>
      </c>
      <c r="D8" s="11"/>
      <c r="E8" s="11"/>
      <c r="F8" s="11"/>
      <c r="G8" s="9">
        <f t="shared" si="0"/>
        <v>135</v>
      </c>
    </row>
    <row r="9" spans="1:11" x14ac:dyDescent="0.25">
      <c r="A9" s="163">
        <v>5</v>
      </c>
      <c r="B9" s="13" t="s">
        <v>12</v>
      </c>
      <c r="C9" s="11">
        <f>27*5-1</f>
        <v>134</v>
      </c>
      <c r="D9" s="11"/>
      <c r="E9" s="11"/>
      <c r="F9" s="11"/>
      <c r="G9" s="9">
        <f t="shared" si="0"/>
        <v>134</v>
      </c>
    </row>
    <row r="10" spans="1:11" x14ac:dyDescent="0.25">
      <c r="A10" s="163">
        <v>5</v>
      </c>
      <c r="B10" s="13" t="s">
        <v>13</v>
      </c>
      <c r="C10" s="11">
        <f>28*5-2</f>
        <v>138</v>
      </c>
      <c r="D10" s="11"/>
      <c r="E10" s="11"/>
      <c r="F10" s="11"/>
      <c r="G10" s="9">
        <f t="shared" si="0"/>
        <v>138</v>
      </c>
    </row>
    <row r="11" spans="1:11" x14ac:dyDescent="0.25">
      <c r="A11" s="163">
        <v>5</v>
      </c>
      <c r="B11" s="13" t="s">
        <v>14</v>
      </c>
      <c r="C11" s="11">
        <f>29*5-4</f>
        <v>141</v>
      </c>
      <c r="D11" s="11"/>
      <c r="E11" s="11"/>
      <c r="F11" s="11"/>
      <c r="G11" s="9">
        <f t="shared" si="0"/>
        <v>141</v>
      </c>
    </row>
    <row r="12" spans="1:11" x14ac:dyDescent="0.25">
      <c r="A12" s="163">
        <v>8</v>
      </c>
      <c r="B12" s="13" t="s">
        <v>15</v>
      </c>
      <c r="C12" s="11">
        <f>248-1</f>
        <v>247</v>
      </c>
      <c r="D12" s="7"/>
      <c r="E12" s="7"/>
      <c r="F12" s="7"/>
      <c r="G12" s="9">
        <f t="shared" si="0"/>
        <v>247</v>
      </c>
    </row>
    <row r="13" spans="1:11" x14ac:dyDescent="0.25">
      <c r="A13" s="163">
        <v>8</v>
      </c>
      <c r="B13" s="13" t="s">
        <v>16</v>
      </c>
      <c r="C13" s="11">
        <v>248</v>
      </c>
      <c r="D13" s="7"/>
      <c r="E13" s="7"/>
      <c r="F13" s="7"/>
      <c r="G13" s="9">
        <f t="shared" si="0"/>
        <v>248</v>
      </c>
    </row>
    <row r="14" spans="1:11" x14ac:dyDescent="0.25">
      <c r="A14" s="163">
        <v>7</v>
      </c>
      <c r="B14" s="13" t="s">
        <v>17</v>
      </c>
      <c r="C14" s="11">
        <f>217-2</f>
        <v>215</v>
      </c>
      <c r="D14" s="7"/>
      <c r="E14" s="7"/>
      <c r="F14" s="7"/>
      <c r="G14" s="9">
        <f t="shared" si="0"/>
        <v>215</v>
      </c>
    </row>
    <row r="15" spans="1:11" x14ac:dyDescent="0.25">
      <c r="A15" s="163">
        <v>7</v>
      </c>
      <c r="B15" s="13" t="s">
        <v>18</v>
      </c>
      <c r="C15" s="162">
        <f>210-2</f>
        <v>208</v>
      </c>
      <c r="D15" s="7"/>
      <c r="E15" s="7"/>
      <c r="F15" s="7"/>
      <c r="G15" s="9">
        <f t="shared" si="0"/>
        <v>208</v>
      </c>
      <c r="J15" s="162">
        <v>212</v>
      </c>
      <c r="K15" s="138">
        <f>C15-J15</f>
        <v>-4</v>
      </c>
    </row>
    <row r="16" spans="1:11" x14ac:dyDescent="0.25">
      <c r="A16" s="163">
        <v>6</v>
      </c>
      <c r="B16" s="13" t="s">
        <v>19</v>
      </c>
      <c r="C16" s="11">
        <v>180</v>
      </c>
      <c r="D16" s="7"/>
      <c r="E16" s="7"/>
      <c r="F16" s="7"/>
      <c r="G16" s="9">
        <f t="shared" si="0"/>
        <v>180</v>
      </c>
      <c r="J16" s="11">
        <v>184</v>
      </c>
      <c r="K16" s="138">
        <f t="shared" ref="K16:K18" si="1">C16-J16</f>
        <v>-4</v>
      </c>
    </row>
    <row r="17" spans="1:12" x14ac:dyDescent="0.25">
      <c r="A17" s="163">
        <v>4</v>
      </c>
      <c r="B17" s="13" t="s">
        <v>20</v>
      </c>
      <c r="C17" s="11">
        <v>112</v>
      </c>
      <c r="D17" s="7"/>
      <c r="E17" s="7"/>
      <c r="F17" s="7"/>
      <c r="G17" s="9">
        <f t="shared" si="0"/>
        <v>112</v>
      </c>
      <c r="J17" s="11">
        <v>122</v>
      </c>
      <c r="K17" s="138">
        <f t="shared" si="1"/>
        <v>-10</v>
      </c>
    </row>
    <row r="18" spans="1:12" x14ac:dyDescent="0.25">
      <c r="A18" s="163">
        <v>4</v>
      </c>
      <c r="B18" s="13" t="s">
        <v>21</v>
      </c>
      <c r="C18" s="11">
        <f>90-2</f>
        <v>88</v>
      </c>
      <c r="D18" s="7"/>
      <c r="E18" s="7"/>
      <c r="F18" s="7"/>
      <c r="G18" s="9">
        <f t="shared" si="0"/>
        <v>88</v>
      </c>
      <c r="J18" s="11">
        <v>112</v>
      </c>
      <c r="K18" s="138">
        <f t="shared" si="1"/>
        <v>-24</v>
      </c>
    </row>
    <row r="19" spans="1:12" x14ac:dyDescent="0.25">
      <c r="A19" s="151"/>
      <c r="B19" s="13" t="s">
        <v>8</v>
      </c>
      <c r="C19" s="9">
        <f>SUM(C6:C18)</f>
        <v>2101</v>
      </c>
      <c r="D19" s="9"/>
      <c r="E19" s="9"/>
      <c r="F19" s="9"/>
      <c r="G19" s="9">
        <f t="shared" si="0"/>
        <v>2101</v>
      </c>
      <c r="H19" s="138">
        <f>G87+G92+G94</f>
        <v>15278126.759999998</v>
      </c>
      <c r="I19">
        <f>H19/G19</f>
        <v>7271.8356782484525</v>
      </c>
      <c r="K19" s="138">
        <f>SUM(K15:K18)</f>
        <v>-42</v>
      </c>
      <c r="L19" s="172">
        <f>K19*C2</f>
        <v>-302265.18</v>
      </c>
    </row>
    <row r="20" spans="1:12" x14ac:dyDescent="0.25">
      <c r="A20" s="4"/>
      <c r="B20" s="16"/>
      <c r="C20" s="7"/>
      <c r="D20" s="7"/>
      <c r="E20" s="7"/>
      <c r="F20" s="7"/>
      <c r="G20" s="7"/>
    </row>
    <row r="21" spans="1:12" x14ac:dyDescent="0.25">
      <c r="A21" s="4"/>
      <c r="B21" s="17" t="s">
        <v>22</v>
      </c>
      <c r="C21" s="18"/>
      <c r="D21" s="18"/>
      <c r="E21" s="18"/>
      <c r="F21" s="18"/>
      <c r="G21" s="18"/>
      <c r="I21" s="137"/>
    </row>
    <row r="22" spans="1:12" x14ac:dyDescent="0.25">
      <c r="A22" s="4"/>
      <c r="B22" s="140" t="s">
        <v>23</v>
      </c>
      <c r="C22" s="7"/>
      <c r="D22" s="7"/>
      <c r="E22" s="7">
        <v>235</v>
      </c>
      <c r="F22" s="7"/>
      <c r="G22" s="7">
        <f t="shared" ref="G22:G27" si="2">SUM(C22:F22)</f>
        <v>235</v>
      </c>
    </row>
    <row r="23" spans="1:12" x14ac:dyDescent="0.25">
      <c r="A23" s="4"/>
      <c r="B23" s="140" t="s">
        <v>24</v>
      </c>
      <c r="C23" s="7"/>
      <c r="D23" s="7">
        <v>30</v>
      </c>
      <c r="E23" s="7"/>
      <c r="F23" s="7"/>
      <c r="G23" s="7">
        <f t="shared" si="2"/>
        <v>30</v>
      </c>
    </row>
    <row r="24" spans="1:12" x14ac:dyDescent="0.25">
      <c r="A24" s="4"/>
      <c r="B24" s="140" t="s">
        <v>25</v>
      </c>
      <c r="C24" s="7"/>
      <c r="D24" s="7">
        <v>60</v>
      </c>
      <c r="E24" s="7"/>
      <c r="F24" s="7"/>
      <c r="G24" s="7">
        <f t="shared" si="2"/>
        <v>60</v>
      </c>
    </row>
    <row r="25" spans="1:12" x14ac:dyDescent="0.25">
      <c r="A25" s="4"/>
      <c r="B25" s="140" t="s">
        <v>26</v>
      </c>
      <c r="C25" s="19"/>
      <c r="D25" s="19"/>
      <c r="E25" s="19"/>
      <c r="F25" s="19">
        <v>0.28849999999999998</v>
      </c>
      <c r="G25" s="19">
        <f t="shared" si="2"/>
        <v>0.28849999999999998</v>
      </c>
    </row>
    <row r="26" spans="1:12" x14ac:dyDescent="0.25">
      <c r="A26" s="4"/>
      <c r="B26" s="140" t="s">
        <v>27</v>
      </c>
      <c r="C26" s="7"/>
      <c r="D26" s="7">
        <v>451</v>
      </c>
      <c r="E26" s="7"/>
      <c r="F26" s="7"/>
      <c r="G26" s="7">
        <f t="shared" si="2"/>
        <v>451</v>
      </c>
    </row>
    <row r="27" spans="1:12" x14ac:dyDescent="0.25">
      <c r="A27" s="4"/>
      <c r="B27" s="20"/>
      <c r="C27" s="7"/>
      <c r="D27" s="7"/>
      <c r="E27" s="7"/>
      <c r="F27" s="7"/>
      <c r="G27" s="7">
        <f t="shared" si="2"/>
        <v>0</v>
      </c>
    </row>
    <row r="28" spans="1:12" x14ac:dyDescent="0.25">
      <c r="A28" s="4"/>
      <c r="B28" s="17" t="s">
        <v>28</v>
      </c>
      <c r="C28" s="18"/>
      <c r="D28" s="18"/>
      <c r="E28" s="18"/>
      <c r="F28" s="18"/>
      <c r="G28" s="18"/>
    </row>
    <row r="29" spans="1:12" x14ac:dyDescent="0.25">
      <c r="A29" s="4"/>
      <c r="B29" s="21" t="s">
        <v>29</v>
      </c>
      <c r="C29" s="23">
        <v>72</v>
      </c>
      <c r="D29" s="23"/>
      <c r="E29" s="23"/>
      <c r="F29" s="23"/>
      <c r="G29" s="23">
        <f t="shared" ref="G29:G38" si="3">SUM(C29:F29)</f>
        <v>72</v>
      </c>
    </row>
    <row r="30" spans="1:12" x14ac:dyDescent="0.25">
      <c r="A30" s="25"/>
      <c r="B30" s="21" t="s">
        <v>30</v>
      </c>
      <c r="C30" s="26">
        <v>0</v>
      </c>
      <c r="D30" s="26"/>
      <c r="E30" s="26">
        <v>12</v>
      </c>
      <c r="F30" s="26"/>
      <c r="G30" s="23">
        <f t="shared" si="3"/>
        <v>12</v>
      </c>
      <c r="I30" t="s">
        <v>209</v>
      </c>
    </row>
    <row r="31" spans="1:12" x14ac:dyDescent="0.25">
      <c r="A31" s="4"/>
      <c r="B31" s="21" t="s">
        <v>31</v>
      </c>
      <c r="C31" s="23">
        <v>2</v>
      </c>
      <c r="D31" s="23"/>
      <c r="E31" s="23"/>
      <c r="F31" s="23"/>
      <c r="G31" s="23">
        <f t="shared" si="3"/>
        <v>2</v>
      </c>
    </row>
    <row r="32" spans="1:12" x14ac:dyDescent="0.25">
      <c r="A32" s="4"/>
      <c r="B32" s="21" t="s">
        <v>32</v>
      </c>
      <c r="C32" s="23">
        <v>2</v>
      </c>
      <c r="D32" s="23"/>
      <c r="E32" s="23"/>
      <c r="F32" s="23"/>
      <c r="G32" s="23">
        <f t="shared" si="3"/>
        <v>2</v>
      </c>
    </row>
    <row r="33" spans="1:7" x14ac:dyDescent="0.25">
      <c r="A33" s="4"/>
      <c r="B33" s="21" t="s">
        <v>33</v>
      </c>
      <c r="C33" s="23">
        <v>3</v>
      </c>
      <c r="D33" s="23"/>
      <c r="E33" s="23"/>
      <c r="F33" s="23"/>
      <c r="G33" s="23">
        <f t="shared" si="3"/>
        <v>3</v>
      </c>
    </row>
    <row r="34" spans="1:7" x14ac:dyDescent="0.25">
      <c r="A34" s="4"/>
      <c r="B34" s="24" t="s">
        <v>34</v>
      </c>
      <c r="C34" s="23">
        <v>0</v>
      </c>
      <c r="D34" s="22"/>
      <c r="E34" s="22"/>
      <c r="F34" s="22"/>
      <c r="G34" s="23">
        <f t="shared" si="3"/>
        <v>0</v>
      </c>
    </row>
    <row r="35" spans="1:7" x14ac:dyDescent="0.25">
      <c r="A35" s="4"/>
      <c r="B35" s="27" t="s">
        <v>35</v>
      </c>
      <c r="C35" s="23">
        <v>2</v>
      </c>
      <c r="D35" s="23"/>
      <c r="E35" s="23"/>
      <c r="F35" s="23"/>
      <c r="G35" s="23">
        <f t="shared" si="3"/>
        <v>2</v>
      </c>
    </row>
    <row r="36" spans="1:7" x14ac:dyDescent="0.25">
      <c r="A36" s="4"/>
      <c r="B36" s="28" t="s">
        <v>36</v>
      </c>
      <c r="C36" s="23">
        <v>0</v>
      </c>
      <c r="D36" s="22"/>
      <c r="E36" s="22"/>
      <c r="F36" s="22"/>
      <c r="G36" s="23">
        <f t="shared" si="3"/>
        <v>0</v>
      </c>
    </row>
    <row r="37" spans="1:7" x14ac:dyDescent="0.25">
      <c r="A37" s="4"/>
      <c r="B37" s="27" t="s">
        <v>37</v>
      </c>
      <c r="C37" s="23">
        <v>2</v>
      </c>
      <c r="D37" s="23"/>
      <c r="E37" s="23"/>
      <c r="F37" s="23"/>
      <c r="G37" s="23">
        <f t="shared" si="3"/>
        <v>2</v>
      </c>
    </row>
    <row r="38" spans="1:7" x14ac:dyDescent="0.25">
      <c r="A38" s="4"/>
      <c r="B38" s="27" t="s">
        <v>38</v>
      </c>
      <c r="C38" s="23">
        <v>3</v>
      </c>
      <c r="D38" s="23"/>
      <c r="E38" s="23"/>
      <c r="F38" s="23"/>
      <c r="G38" s="23">
        <f t="shared" si="3"/>
        <v>3</v>
      </c>
    </row>
    <row r="39" spans="1:7" x14ac:dyDescent="0.25">
      <c r="A39" s="4"/>
      <c r="B39" s="29" t="s">
        <v>39</v>
      </c>
      <c r="C39" s="30">
        <f>SUM(C29:C38)</f>
        <v>86</v>
      </c>
      <c r="D39" s="30">
        <f>SUM(D29:D38)</f>
        <v>0</v>
      </c>
      <c r="E39" s="30">
        <f t="shared" ref="E39:G39" si="4">SUM(E29:E38)</f>
        <v>12</v>
      </c>
      <c r="F39" s="30">
        <f t="shared" si="4"/>
        <v>0</v>
      </c>
      <c r="G39" s="30">
        <f t="shared" si="4"/>
        <v>98</v>
      </c>
    </row>
    <row r="40" spans="1:7" x14ac:dyDescent="0.25">
      <c r="A40" s="4"/>
      <c r="B40" s="31"/>
      <c r="C40" s="23"/>
      <c r="D40" s="23"/>
      <c r="E40" s="23"/>
      <c r="F40" s="23"/>
      <c r="G40" s="23"/>
    </row>
    <row r="41" spans="1:7" x14ac:dyDescent="0.25">
      <c r="A41" s="4"/>
      <c r="B41" s="17" t="s">
        <v>40</v>
      </c>
      <c r="C41" s="32" t="str">
        <f>C1</f>
        <v>Operating</v>
      </c>
      <c r="D41" s="32" t="str">
        <f t="shared" ref="D41:G41" si="5">D1</f>
        <v>Weights</v>
      </c>
      <c r="E41" s="32" t="str">
        <f t="shared" si="5"/>
        <v>SPED</v>
      </c>
      <c r="F41" s="32" t="str">
        <f t="shared" si="5"/>
        <v>NSLP</v>
      </c>
      <c r="G41" s="32" t="str">
        <f t="shared" si="5"/>
        <v>Cadence</v>
      </c>
    </row>
    <row r="42" spans="1:7" x14ac:dyDescent="0.25">
      <c r="A42" s="4"/>
      <c r="B42" s="21" t="s">
        <v>41</v>
      </c>
      <c r="C42" s="23">
        <v>1</v>
      </c>
      <c r="D42" s="23"/>
      <c r="E42" s="23"/>
      <c r="F42" s="23"/>
      <c r="G42" s="23">
        <f>SUM(C42:F42)</f>
        <v>1</v>
      </c>
    </row>
    <row r="43" spans="1:7" x14ac:dyDescent="0.25">
      <c r="A43" s="4"/>
      <c r="B43" s="21" t="s">
        <v>42</v>
      </c>
      <c r="C43" s="26">
        <v>4</v>
      </c>
      <c r="D43" s="23"/>
      <c r="E43" s="23"/>
      <c r="F43" s="23"/>
      <c r="G43" s="23">
        <f t="shared" ref="G43:G61" si="6">SUM(C43:F43)</f>
        <v>4</v>
      </c>
    </row>
    <row r="44" spans="1:7" x14ac:dyDescent="0.25">
      <c r="A44" s="4"/>
      <c r="B44" s="34" t="s">
        <v>43</v>
      </c>
      <c r="C44" s="23">
        <v>0</v>
      </c>
      <c r="D44" s="23"/>
      <c r="E44" s="23"/>
      <c r="F44" s="23"/>
      <c r="G44" s="23">
        <f t="shared" si="6"/>
        <v>0</v>
      </c>
    </row>
    <row r="45" spans="1:7" x14ac:dyDescent="0.25">
      <c r="A45" s="4"/>
      <c r="B45" s="33" t="s">
        <v>44</v>
      </c>
      <c r="C45" s="23">
        <v>5</v>
      </c>
      <c r="D45" s="23"/>
      <c r="E45" s="23"/>
      <c r="F45" s="23"/>
      <c r="G45" s="23">
        <f t="shared" si="6"/>
        <v>5</v>
      </c>
    </row>
    <row r="46" spans="1:7" x14ac:dyDescent="0.25">
      <c r="A46" s="4"/>
      <c r="B46" s="33" t="s">
        <v>45</v>
      </c>
      <c r="C46" s="23">
        <v>1</v>
      </c>
      <c r="D46" s="23">
        <v>1</v>
      </c>
      <c r="E46" s="23"/>
      <c r="F46" s="23"/>
      <c r="G46" s="23">
        <f t="shared" si="6"/>
        <v>2</v>
      </c>
    </row>
    <row r="47" spans="1:7" x14ac:dyDescent="0.25">
      <c r="A47" s="4"/>
      <c r="B47" s="21" t="s">
        <v>200</v>
      </c>
      <c r="C47" s="23">
        <v>2</v>
      </c>
      <c r="D47" s="23"/>
      <c r="E47" s="23"/>
      <c r="F47" s="23"/>
      <c r="G47" s="23">
        <f t="shared" si="6"/>
        <v>2</v>
      </c>
    </row>
    <row r="48" spans="1:7" x14ac:dyDescent="0.25">
      <c r="A48" s="4"/>
      <c r="B48" s="21" t="s">
        <v>47</v>
      </c>
      <c r="C48" s="23">
        <v>2</v>
      </c>
      <c r="D48" s="26"/>
      <c r="E48" s="26"/>
      <c r="F48" s="26"/>
      <c r="G48" s="23">
        <f t="shared" si="6"/>
        <v>2</v>
      </c>
    </row>
    <row r="49" spans="1:7" x14ac:dyDescent="0.25">
      <c r="A49" s="4"/>
      <c r="B49" s="21" t="s">
        <v>48</v>
      </c>
      <c r="C49" s="23">
        <v>2</v>
      </c>
      <c r="D49" s="26"/>
      <c r="E49" s="26"/>
      <c r="F49" s="26"/>
      <c r="G49" s="23">
        <f t="shared" si="6"/>
        <v>2</v>
      </c>
    </row>
    <row r="50" spans="1:7" x14ac:dyDescent="0.25">
      <c r="A50" s="4"/>
      <c r="B50" s="21" t="s">
        <v>49</v>
      </c>
      <c r="C50" s="23">
        <v>2</v>
      </c>
      <c r="D50" s="26"/>
      <c r="E50" s="26"/>
      <c r="F50" s="26"/>
      <c r="G50" s="23">
        <f t="shared" si="6"/>
        <v>2</v>
      </c>
    </row>
    <row r="51" spans="1:7" x14ac:dyDescent="0.25">
      <c r="A51" s="4"/>
      <c r="B51" s="21" t="s">
        <v>50</v>
      </c>
      <c r="C51" s="164">
        <v>0</v>
      </c>
      <c r="D51" s="173">
        <v>3</v>
      </c>
      <c r="E51" s="152">
        <v>12</v>
      </c>
      <c r="F51" s="152">
        <v>0</v>
      </c>
      <c r="G51" s="23">
        <f t="shared" si="6"/>
        <v>15</v>
      </c>
    </row>
    <row r="52" spans="1:7" x14ac:dyDescent="0.25">
      <c r="A52" s="4"/>
      <c r="B52" s="21" t="s">
        <v>51</v>
      </c>
      <c r="C52" s="23">
        <v>5</v>
      </c>
      <c r="D52" s="152"/>
      <c r="E52" s="152"/>
      <c r="F52" s="152"/>
      <c r="G52" s="23">
        <f t="shared" si="6"/>
        <v>5</v>
      </c>
    </row>
    <row r="53" spans="1:7" x14ac:dyDescent="0.25">
      <c r="A53" s="4"/>
      <c r="B53" s="21" t="s">
        <v>52</v>
      </c>
      <c r="C53" s="23">
        <v>0</v>
      </c>
      <c r="D53" s="152"/>
      <c r="E53" s="152"/>
      <c r="F53" s="152">
        <v>3</v>
      </c>
      <c r="G53" s="23">
        <f t="shared" si="6"/>
        <v>3</v>
      </c>
    </row>
    <row r="54" spans="1:7" x14ac:dyDescent="0.25">
      <c r="A54" s="4"/>
      <c r="B54" s="21" t="s">
        <v>53</v>
      </c>
      <c r="C54" s="23">
        <v>0</v>
      </c>
      <c r="D54" s="26">
        <v>0</v>
      </c>
      <c r="E54" s="26"/>
      <c r="F54" s="26"/>
      <c r="G54" s="23">
        <f t="shared" si="6"/>
        <v>0</v>
      </c>
    </row>
    <row r="55" spans="1:7" x14ac:dyDescent="0.25">
      <c r="A55" s="4"/>
      <c r="B55" s="34" t="s">
        <v>54</v>
      </c>
      <c r="C55" s="23">
        <v>0</v>
      </c>
      <c r="D55" s="23"/>
      <c r="E55" s="23">
        <v>1</v>
      </c>
      <c r="F55" s="23"/>
      <c r="G55" s="23">
        <f t="shared" si="6"/>
        <v>1</v>
      </c>
    </row>
    <row r="56" spans="1:7" x14ac:dyDescent="0.25">
      <c r="A56" s="4"/>
      <c r="B56" s="34" t="s">
        <v>55</v>
      </c>
      <c r="C56" s="23">
        <v>0</v>
      </c>
      <c r="D56" s="23">
        <v>0</v>
      </c>
      <c r="E56" s="23">
        <v>1</v>
      </c>
      <c r="F56" s="23"/>
      <c r="G56" s="23">
        <f t="shared" si="6"/>
        <v>1</v>
      </c>
    </row>
    <row r="57" spans="1:7" x14ac:dyDescent="0.25">
      <c r="A57" s="4"/>
      <c r="B57" s="34" t="s">
        <v>56</v>
      </c>
      <c r="C57" s="23">
        <v>0</v>
      </c>
      <c r="D57" s="23">
        <v>0</v>
      </c>
      <c r="E57" s="23">
        <v>0</v>
      </c>
      <c r="F57" s="23"/>
      <c r="G57" s="23">
        <f t="shared" si="6"/>
        <v>0</v>
      </c>
    </row>
    <row r="58" spans="1:7" x14ac:dyDescent="0.25">
      <c r="A58" s="4"/>
      <c r="B58" s="34" t="s">
        <v>57</v>
      </c>
      <c r="C58" s="23">
        <v>0</v>
      </c>
      <c r="D58" s="23">
        <v>0</v>
      </c>
      <c r="E58" s="23"/>
      <c r="F58" s="23"/>
      <c r="G58" s="23">
        <f t="shared" si="6"/>
        <v>0</v>
      </c>
    </row>
    <row r="59" spans="1:7" x14ac:dyDescent="0.25">
      <c r="A59" s="4"/>
      <c r="B59" s="34" t="s">
        <v>58</v>
      </c>
      <c r="C59" s="23">
        <v>0</v>
      </c>
      <c r="D59" s="23">
        <v>0</v>
      </c>
      <c r="E59" s="23">
        <v>1</v>
      </c>
      <c r="F59" s="23"/>
      <c r="G59" s="23">
        <f t="shared" si="6"/>
        <v>1</v>
      </c>
    </row>
    <row r="60" spans="1:7" x14ac:dyDescent="0.25">
      <c r="A60" s="4"/>
      <c r="B60" s="34" t="s">
        <v>59</v>
      </c>
      <c r="C60" s="23">
        <v>0</v>
      </c>
      <c r="D60" s="23">
        <v>1</v>
      </c>
      <c r="E60" s="23"/>
      <c r="F60" s="23"/>
      <c r="G60" s="23">
        <f t="shared" si="6"/>
        <v>1</v>
      </c>
    </row>
    <row r="61" spans="1:7" x14ac:dyDescent="0.25">
      <c r="A61" s="4"/>
      <c r="B61" s="35"/>
      <c r="C61" s="23">
        <v>0</v>
      </c>
      <c r="D61" s="23">
        <v>0</v>
      </c>
      <c r="E61" s="23"/>
      <c r="F61" s="23"/>
      <c r="G61" s="23">
        <f t="shared" si="6"/>
        <v>0</v>
      </c>
    </row>
    <row r="62" spans="1:7" x14ac:dyDescent="0.25">
      <c r="A62" s="4"/>
      <c r="B62" s="29" t="s">
        <v>60</v>
      </c>
      <c r="C62" s="30">
        <f>SUM(C42:C61)</f>
        <v>24</v>
      </c>
      <c r="D62" s="30">
        <f t="shared" ref="D62:G62" si="7">SUM(D42:D61)</f>
        <v>5</v>
      </c>
      <c r="E62" s="30">
        <f t="shared" si="7"/>
        <v>15</v>
      </c>
      <c r="F62" s="30">
        <f t="shared" si="7"/>
        <v>3</v>
      </c>
      <c r="G62" s="30">
        <f t="shared" si="7"/>
        <v>47</v>
      </c>
    </row>
    <row r="63" spans="1:7" ht="15.75" thickBot="1" x14ac:dyDescent="0.3">
      <c r="A63" s="4"/>
      <c r="B63" s="36"/>
      <c r="C63" s="38"/>
      <c r="D63" s="38"/>
      <c r="E63" s="38"/>
      <c r="F63" s="38"/>
      <c r="G63" s="38"/>
    </row>
    <row r="64" spans="1:7" x14ac:dyDescent="0.25">
      <c r="A64" s="2"/>
      <c r="B64" s="40" t="s">
        <v>61</v>
      </c>
      <c r="C64" s="39">
        <f>C39</f>
        <v>86</v>
      </c>
      <c r="D64" s="39">
        <f>D39</f>
        <v>0</v>
      </c>
      <c r="E64" s="39">
        <f>E39</f>
        <v>12</v>
      </c>
      <c r="F64" s="39">
        <f t="shared" ref="F64" si="8">F39</f>
        <v>0</v>
      </c>
      <c r="G64" s="39">
        <f>G39</f>
        <v>98</v>
      </c>
    </row>
    <row r="65" spans="1:7" ht="15.75" thickBot="1" x14ac:dyDescent="0.3">
      <c r="A65" s="2"/>
      <c r="B65" s="42" t="s">
        <v>62</v>
      </c>
      <c r="C65" s="41">
        <f>C62</f>
        <v>24</v>
      </c>
      <c r="D65" s="41">
        <f>D62</f>
        <v>5</v>
      </c>
      <c r="E65" s="41">
        <f>E62</f>
        <v>15</v>
      </c>
      <c r="F65" s="41">
        <f t="shared" ref="F65:G65" si="9">F62</f>
        <v>3</v>
      </c>
      <c r="G65" s="41">
        <f t="shared" si="9"/>
        <v>47</v>
      </c>
    </row>
    <row r="66" spans="1:7" ht="15.75" thickBot="1" x14ac:dyDescent="0.3">
      <c r="A66" s="2"/>
      <c r="B66" s="44" t="s">
        <v>63</v>
      </c>
      <c r="C66" s="43">
        <f>SUM(C64:C65)</f>
        <v>110</v>
      </c>
      <c r="D66" s="43">
        <f>SUM(D64:D65)</f>
        <v>5</v>
      </c>
      <c r="E66" s="43">
        <f>SUM(E64:E65)</f>
        <v>27</v>
      </c>
      <c r="F66" s="43">
        <f t="shared" ref="F66:G66" si="10">SUM(F64:F65)</f>
        <v>3</v>
      </c>
      <c r="G66" s="43">
        <f t="shared" si="10"/>
        <v>145</v>
      </c>
    </row>
    <row r="67" spans="1:7" ht="15.75" thickBot="1" x14ac:dyDescent="0.3">
      <c r="A67" s="4"/>
      <c r="B67" s="34"/>
      <c r="C67" s="45"/>
      <c r="D67" s="45"/>
      <c r="E67" s="45"/>
      <c r="F67" s="45"/>
      <c r="G67" s="45"/>
    </row>
    <row r="68" spans="1:7" x14ac:dyDescent="0.25">
      <c r="A68" s="4"/>
      <c r="B68" s="47" t="s">
        <v>64</v>
      </c>
      <c r="C68" s="46"/>
      <c r="D68" s="46"/>
      <c r="E68" s="46"/>
      <c r="F68" s="46"/>
      <c r="G68" s="46">
        <f t="shared" ref="G68" si="11">G137/(SUM(G204:G214))</f>
        <v>0.60553619502174083</v>
      </c>
    </row>
    <row r="69" spans="1:7" x14ac:dyDescent="0.25">
      <c r="A69" s="4"/>
      <c r="B69" s="49" t="s">
        <v>65</v>
      </c>
      <c r="C69" s="48"/>
      <c r="D69" s="48"/>
      <c r="E69" s="48"/>
      <c r="F69" s="48"/>
      <c r="G69" s="48">
        <f t="shared" ref="G69" si="12">(G108+G109+G110+G113)/G129</f>
        <v>0.74808098206822016</v>
      </c>
    </row>
    <row r="70" spans="1:7" x14ac:dyDescent="0.25">
      <c r="A70" s="4"/>
      <c r="B70" s="51" t="s">
        <v>66</v>
      </c>
      <c r="C70" s="48"/>
      <c r="D70" s="48"/>
      <c r="E70" s="48"/>
      <c r="F70" s="48"/>
      <c r="G70" s="48">
        <f t="shared" ref="G70" si="13">(G103+G104+G106+G107+G111+G112+G114+G115+G118+G119+G120+G121+G122+G105+G123+G124+G125+G126+G127)/G129</f>
        <v>0.2519190179317799</v>
      </c>
    </row>
    <row r="71" spans="1:7" ht="15.75" thickBot="1" x14ac:dyDescent="0.3">
      <c r="A71" s="4"/>
      <c r="B71" s="53" t="s">
        <v>67</v>
      </c>
      <c r="C71" s="52"/>
      <c r="D71" s="52"/>
      <c r="E71" s="52"/>
      <c r="F71" s="52"/>
      <c r="G71" s="52">
        <f t="shared" ref="G71" si="14">SUM(G206:G214)/G86</f>
        <v>0.14831675856708887</v>
      </c>
    </row>
    <row r="72" spans="1:7" x14ac:dyDescent="0.25">
      <c r="A72" s="50"/>
      <c r="B72" s="54"/>
      <c r="C72" s="55"/>
      <c r="D72" s="55"/>
      <c r="E72" s="55"/>
      <c r="F72" s="55"/>
      <c r="G72" s="55"/>
    </row>
    <row r="73" spans="1:7" x14ac:dyDescent="0.25">
      <c r="A73" s="56"/>
      <c r="B73" s="57" t="s">
        <v>68</v>
      </c>
      <c r="C73" s="58" t="str">
        <f>C1</f>
        <v>Operating</v>
      </c>
      <c r="D73" s="58" t="str">
        <f>D1</f>
        <v>Weights</v>
      </c>
      <c r="E73" s="58" t="s">
        <v>3</v>
      </c>
      <c r="F73" s="58" t="str">
        <f t="shared" ref="F73" si="15">F1</f>
        <v>NSLP</v>
      </c>
      <c r="G73" s="58" t="str">
        <f>G1</f>
        <v>Cadence</v>
      </c>
    </row>
    <row r="74" spans="1:7" x14ac:dyDescent="0.25">
      <c r="A74" s="59">
        <v>3110</v>
      </c>
      <c r="B74" s="60" t="s">
        <v>69</v>
      </c>
      <c r="C74" s="7">
        <f>(C2*C5)*0.97</f>
        <v>14666842.116299998</v>
      </c>
      <c r="D74" s="7">
        <f t="shared" ref="D74" si="16">(D2*D5)*0.95</f>
        <v>0</v>
      </c>
      <c r="E74" s="7"/>
      <c r="F74" s="7"/>
      <c r="G74" s="7">
        <f t="shared" ref="G74:G85" si="17">SUM(C74:F74)</f>
        <v>14666842.116299998</v>
      </c>
    </row>
    <row r="75" spans="1:7" x14ac:dyDescent="0.25">
      <c r="A75" s="59"/>
      <c r="B75" s="62" t="s">
        <v>70</v>
      </c>
      <c r="C75" s="7">
        <f>(C3*C5)*0.95</f>
        <v>0</v>
      </c>
      <c r="D75" s="7">
        <f t="shared" ref="D75" si="18">(D3*D5)*0.95</f>
        <v>0</v>
      </c>
      <c r="E75" s="7">
        <f>SPED!D6</f>
        <v>0</v>
      </c>
      <c r="F75" s="7"/>
      <c r="G75" s="7">
        <f t="shared" si="17"/>
        <v>0</v>
      </c>
    </row>
    <row r="76" spans="1:7" x14ac:dyDescent="0.25">
      <c r="A76" s="59">
        <v>4500</v>
      </c>
      <c r="B76" s="62" t="s">
        <v>71</v>
      </c>
      <c r="C76" s="7">
        <f>($C$19*C25)*3.15*180</f>
        <v>0</v>
      </c>
      <c r="D76" s="7">
        <f t="shared" ref="D76" si="19">($C$19*D25)*3.15*180</f>
        <v>0</v>
      </c>
      <c r="E76" s="7"/>
      <c r="F76" s="7">
        <f>(($C$19*F25)*4*180)</f>
        <v>436419.71999999991</v>
      </c>
      <c r="G76" s="7">
        <f t="shared" si="17"/>
        <v>436419.71999999991</v>
      </c>
    </row>
    <row r="77" spans="1:7" x14ac:dyDescent="0.25">
      <c r="A77" s="59">
        <v>4500</v>
      </c>
      <c r="B77" s="62" t="s">
        <v>72</v>
      </c>
      <c r="C77" s="7">
        <f>950*C22</f>
        <v>0</v>
      </c>
      <c r="D77" s="7">
        <f t="shared" ref="D77" si="20">950*D22</f>
        <v>0</v>
      </c>
      <c r="E77" s="7">
        <f>950*E22</f>
        <v>223250</v>
      </c>
      <c r="F77" s="7"/>
      <c r="G77" s="7">
        <f t="shared" si="17"/>
        <v>223250</v>
      </c>
    </row>
    <row r="78" spans="1:7" x14ac:dyDescent="0.25">
      <c r="A78" s="143">
        <v>3115</v>
      </c>
      <c r="B78" s="141" t="s">
        <v>73</v>
      </c>
      <c r="C78" s="37">
        <f>3200*C22</f>
        <v>0</v>
      </c>
      <c r="D78" s="37">
        <f t="shared" ref="D78" si="21">3200*D22</f>
        <v>0</v>
      </c>
      <c r="E78" s="37">
        <f>2755*E22</f>
        <v>647425</v>
      </c>
      <c r="F78" s="37"/>
      <c r="G78" s="7">
        <f t="shared" si="17"/>
        <v>647425</v>
      </c>
    </row>
    <row r="79" spans="1:7" x14ac:dyDescent="0.25">
      <c r="A79" s="63"/>
      <c r="B79" s="62" t="s">
        <v>74</v>
      </c>
      <c r="C79" s="37">
        <f>1400*C23</f>
        <v>0</v>
      </c>
      <c r="D79" s="37">
        <f>1634.62*D23</f>
        <v>49038.6</v>
      </c>
      <c r="E79" s="37"/>
      <c r="F79" s="37"/>
      <c r="G79" s="7">
        <f t="shared" si="17"/>
        <v>49038.6</v>
      </c>
    </row>
    <row r="80" spans="1:7" x14ac:dyDescent="0.25">
      <c r="A80" s="59">
        <v>3200</v>
      </c>
      <c r="B80" s="62" t="s">
        <v>75</v>
      </c>
      <c r="C80" s="7">
        <f>830*C24</f>
        <v>0</v>
      </c>
      <c r="D80" s="7">
        <f>837.64*D24</f>
        <v>50258.400000000001</v>
      </c>
      <c r="E80" s="7"/>
      <c r="F80" s="7"/>
      <c r="G80" s="7">
        <f t="shared" si="17"/>
        <v>50258.400000000001</v>
      </c>
    </row>
    <row r="81" spans="1:7" x14ac:dyDescent="0.25">
      <c r="A81" s="59"/>
      <c r="B81" s="62" t="s">
        <v>76</v>
      </c>
      <c r="C81" s="7">
        <f>240*C26</f>
        <v>0</v>
      </c>
      <c r="D81" s="7">
        <f>240.87*D26</f>
        <v>108632.37</v>
      </c>
      <c r="E81" s="7"/>
      <c r="F81" s="7"/>
      <c r="G81" s="7">
        <f t="shared" si="17"/>
        <v>108632.37</v>
      </c>
    </row>
    <row r="82" spans="1:7" x14ac:dyDescent="0.25">
      <c r="A82" s="64"/>
      <c r="B82" s="62" t="s">
        <v>77</v>
      </c>
      <c r="C82" s="7"/>
      <c r="D82" s="7"/>
      <c r="E82" s="7"/>
      <c r="F82" s="7"/>
      <c r="G82" s="7">
        <f t="shared" si="17"/>
        <v>0</v>
      </c>
    </row>
    <row r="83" spans="1:7" x14ac:dyDescent="0.25">
      <c r="A83" s="59">
        <v>1510</v>
      </c>
      <c r="B83" s="154" t="s">
        <v>78</v>
      </c>
      <c r="C83" s="7">
        <v>0</v>
      </c>
      <c r="D83" s="7"/>
      <c r="E83" s="7"/>
      <c r="F83" s="7"/>
      <c r="G83" s="7">
        <f t="shared" si="17"/>
        <v>0</v>
      </c>
    </row>
    <row r="84" spans="1:7" x14ac:dyDescent="0.25">
      <c r="A84" s="59"/>
      <c r="B84" s="62" t="s">
        <v>77</v>
      </c>
      <c r="C84" s="7"/>
      <c r="D84" s="7"/>
      <c r="E84" s="7"/>
      <c r="F84" s="7"/>
      <c r="G84" s="7">
        <f t="shared" si="17"/>
        <v>0</v>
      </c>
    </row>
    <row r="85" spans="1:7" ht="15.75" thickBot="1" x14ac:dyDescent="0.3">
      <c r="A85" s="63"/>
      <c r="B85" s="65" t="s">
        <v>79</v>
      </c>
      <c r="C85" s="37">
        <f>C155</f>
        <v>28400</v>
      </c>
      <c r="D85" s="37">
        <f t="shared" ref="D85:F85" si="22">D155</f>
        <v>1200</v>
      </c>
      <c r="E85" s="37">
        <f t="shared" si="22"/>
        <v>6480</v>
      </c>
      <c r="F85" s="37">
        <f t="shared" si="22"/>
        <v>720</v>
      </c>
      <c r="G85" s="7">
        <f t="shared" si="17"/>
        <v>36800</v>
      </c>
    </row>
    <row r="86" spans="1:7" ht="15.75" thickBot="1" x14ac:dyDescent="0.3">
      <c r="A86" s="66"/>
      <c r="B86" s="67" t="s">
        <v>80</v>
      </c>
      <c r="C86" s="68">
        <f>SUM(C74:C85)</f>
        <v>14695242.116299998</v>
      </c>
      <c r="D86" s="68">
        <f>SUM(D74:D85)</f>
        <v>209129.37</v>
      </c>
      <c r="E86" s="68">
        <f>SUM(E74:E85)</f>
        <v>877155</v>
      </c>
      <c r="F86" s="68">
        <f t="shared" ref="F86:G86" si="23">SUM(F74:F85)</f>
        <v>437139.71999999991</v>
      </c>
      <c r="G86" s="68">
        <f t="shared" si="23"/>
        <v>16218666.206299998</v>
      </c>
    </row>
    <row r="87" spans="1:7" hidden="1" x14ac:dyDescent="0.25">
      <c r="A87" s="59">
        <f>A74</f>
        <v>3110</v>
      </c>
      <c r="B87" s="60" t="s">
        <v>69</v>
      </c>
      <c r="C87" s="61">
        <f>C2*C5</f>
        <v>15120455.789999999</v>
      </c>
      <c r="D87" s="61">
        <f>D2*D5</f>
        <v>0</v>
      </c>
      <c r="E87" s="61">
        <f>E2*E5</f>
        <v>0</v>
      </c>
      <c r="F87" s="61">
        <f t="shared" ref="F87:G87" si="24">F2*F5</f>
        <v>0</v>
      </c>
      <c r="G87" s="61">
        <f t="shared" si="24"/>
        <v>15120455.789999999</v>
      </c>
    </row>
    <row r="88" spans="1:7" hidden="1" x14ac:dyDescent="0.25">
      <c r="A88" s="59"/>
      <c r="B88" s="62" t="s">
        <v>201</v>
      </c>
      <c r="C88" s="61">
        <f>C3*C5</f>
        <v>0</v>
      </c>
      <c r="D88" s="61">
        <f>D3*D5</f>
        <v>0</v>
      </c>
      <c r="E88" s="61">
        <f>E3*E5</f>
        <v>0</v>
      </c>
      <c r="F88" s="61">
        <f t="shared" ref="F88:G88" si="25">F3*F5</f>
        <v>0</v>
      </c>
      <c r="G88" s="61">
        <f t="shared" si="25"/>
        <v>0</v>
      </c>
    </row>
    <row r="89" spans="1:7" hidden="1" x14ac:dyDescent="0.25">
      <c r="A89" s="59">
        <f t="shared" ref="A89:A91" si="26">A76</f>
        <v>4500</v>
      </c>
      <c r="B89" s="62" t="s">
        <v>71</v>
      </c>
      <c r="C89" s="61">
        <f t="shared" ref="C89:G98" si="27">C76</f>
        <v>0</v>
      </c>
      <c r="D89" s="61">
        <f t="shared" si="27"/>
        <v>0</v>
      </c>
      <c r="E89" s="61">
        <f t="shared" si="27"/>
        <v>0</v>
      </c>
      <c r="F89" s="61">
        <f t="shared" si="27"/>
        <v>436419.71999999991</v>
      </c>
      <c r="G89" s="61">
        <f t="shared" si="27"/>
        <v>436419.71999999991</v>
      </c>
    </row>
    <row r="90" spans="1:7" hidden="1" x14ac:dyDescent="0.25">
      <c r="A90" s="59">
        <f t="shared" si="26"/>
        <v>4500</v>
      </c>
      <c r="B90" s="62" t="s">
        <v>72</v>
      </c>
      <c r="C90" s="61">
        <f t="shared" si="27"/>
        <v>0</v>
      </c>
      <c r="D90" s="61">
        <f t="shared" si="27"/>
        <v>0</v>
      </c>
      <c r="E90" s="61">
        <f t="shared" si="27"/>
        <v>223250</v>
      </c>
      <c r="F90" s="61">
        <f t="shared" si="27"/>
        <v>0</v>
      </c>
      <c r="G90" s="61">
        <f t="shared" si="27"/>
        <v>223250</v>
      </c>
    </row>
    <row r="91" spans="1:7" hidden="1" x14ac:dyDescent="0.25">
      <c r="A91" s="59">
        <f t="shared" si="26"/>
        <v>3115</v>
      </c>
      <c r="B91" s="141" t="s">
        <v>73</v>
      </c>
      <c r="C91" s="61">
        <f t="shared" si="27"/>
        <v>0</v>
      </c>
      <c r="D91" s="61">
        <f t="shared" si="27"/>
        <v>0</v>
      </c>
      <c r="E91" s="61">
        <f t="shared" si="27"/>
        <v>647425</v>
      </c>
      <c r="F91" s="61">
        <f t="shared" si="27"/>
        <v>0</v>
      </c>
      <c r="G91" s="61">
        <f t="shared" si="27"/>
        <v>647425</v>
      </c>
    </row>
    <row r="92" spans="1:7" hidden="1" x14ac:dyDescent="0.25">
      <c r="A92" s="59"/>
      <c r="B92" s="62" t="s">
        <v>74</v>
      </c>
      <c r="C92" s="61">
        <f t="shared" si="27"/>
        <v>0</v>
      </c>
      <c r="D92" s="61">
        <f t="shared" si="27"/>
        <v>49038.6</v>
      </c>
      <c r="E92" s="61">
        <f t="shared" si="27"/>
        <v>0</v>
      </c>
      <c r="F92" s="61">
        <f t="shared" si="27"/>
        <v>0</v>
      </c>
      <c r="G92" s="61">
        <f t="shared" si="27"/>
        <v>49038.6</v>
      </c>
    </row>
    <row r="93" spans="1:7" hidden="1" x14ac:dyDescent="0.25">
      <c r="A93" s="59">
        <f t="shared" ref="A93" si="28">A80</f>
        <v>3200</v>
      </c>
      <c r="B93" s="62" t="s">
        <v>75</v>
      </c>
      <c r="C93" s="61">
        <f t="shared" si="27"/>
        <v>0</v>
      </c>
      <c r="D93" s="61">
        <f t="shared" si="27"/>
        <v>50258.400000000001</v>
      </c>
      <c r="E93" s="61">
        <f t="shared" si="27"/>
        <v>0</v>
      </c>
      <c r="F93" s="61">
        <f t="shared" si="27"/>
        <v>0</v>
      </c>
      <c r="G93" s="61">
        <f t="shared" si="27"/>
        <v>50258.400000000001</v>
      </c>
    </row>
    <row r="94" spans="1:7" hidden="1" x14ac:dyDescent="0.25">
      <c r="A94" s="59"/>
      <c r="B94" s="62" t="s">
        <v>76</v>
      </c>
      <c r="C94" s="61">
        <f t="shared" si="27"/>
        <v>0</v>
      </c>
      <c r="D94" s="61">
        <f t="shared" si="27"/>
        <v>108632.37</v>
      </c>
      <c r="E94" s="61">
        <f t="shared" si="27"/>
        <v>0</v>
      </c>
      <c r="F94" s="61">
        <f t="shared" si="27"/>
        <v>0</v>
      </c>
      <c r="G94" s="61">
        <f t="shared" si="27"/>
        <v>108632.37</v>
      </c>
    </row>
    <row r="95" spans="1:7" hidden="1" x14ac:dyDescent="0.25">
      <c r="A95" s="64"/>
      <c r="B95" s="62" t="s">
        <v>202</v>
      </c>
      <c r="C95" s="61">
        <f t="shared" si="27"/>
        <v>0</v>
      </c>
      <c r="D95" s="61">
        <f t="shared" si="27"/>
        <v>0</v>
      </c>
      <c r="E95" s="61">
        <f t="shared" si="27"/>
        <v>0</v>
      </c>
      <c r="F95" s="61">
        <f t="shared" si="27"/>
        <v>0</v>
      </c>
      <c r="G95" s="61">
        <f t="shared" si="27"/>
        <v>0</v>
      </c>
    </row>
    <row r="96" spans="1:7" hidden="1" x14ac:dyDescent="0.25">
      <c r="A96" s="59">
        <f t="shared" ref="A96" si="29">A83</f>
        <v>1510</v>
      </c>
      <c r="B96" s="62" t="s">
        <v>203</v>
      </c>
      <c r="C96" s="61">
        <f t="shared" si="27"/>
        <v>0</v>
      </c>
      <c r="D96" s="61">
        <f t="shared" si="27"/>
        <v>0</v>
      </c>
      <c r="E96" s="61">
        <f t="shared" si="27"/>
        <v>0</v>
      </c>
      <c r="F96" s="61">
        <f t="shared" si="27"/>
        <v>0</v>
      </c>
      <c r="G96" s="61">
        <f t="shared" si="27"/>
        <v>0</v>
      </c>
    </row>
    <row r="97" spans="1:9" hidden="1" x14ac:dyDescent="0.25">
      <c r="A97" s="59"/>
      <c r="B97" s="62" t="s">
        <v>77</v>
      </c>
      <c r="C97" s="61">
        <f t="shared" si="27"/>
        <v>0</v>
      </c>
      <c r="D97" s="61">
        <f t="shared" si="27"/>
        <v>0</v>
      </c>
      <c r="E97" s="61">
        <f t="shared" si="27"/>
        <v>0</v>
      </c>
      <c r="F97" s="61">
        <f t="shared" si="27"/>
        <v>0</v>
      </c>
      <c r="G97" s="61">
        <f t="shared" si="27"/>
        <v>0</v>
      </c>
    </row>
    <row r="98" spans="1:9" ht="15.75" hidden="1" thickBot="1" x14ac:dyDescent="0.3">
      <c r="A98" s="59"/>
      <c r="B98" s="65" t="s">
        <v>204</v>
      </c>
      <c r="C98" s="61">
        <f t="shared" si="27"/>
        <v>28400</v>
      </c>
      <c r="D98" s="61">
        <f t="shared" si="27"/>
        <v>1200</v>
      </c>
      <c r="E98" s="61">
        <f t="shared" si="27"/>
        <v>6480</v>
      </c>
      <c r="F98" s="61">
        <f t="shared" si="27"/>
        <v>720</v>
      </c>
      <c r="G98" s="61">
        <f t="shared" si="27"/>
        <v>36800</v>
      </c>
    </row>
    <row r="99" spans="1:9" ht="15.75" hidden="1" thickBot="1" x14ac:dyDescent="0.3">
      <c r="A99" s="66"/>
      <c r="B99" s="67" t="s">
        <v>81</v>
      </c>
      <c r="C99" s="68">
        <f>SUM(C87:C98)</f>
        <v>15148855.789999999</v>
      </c>
      <c r="D99" s="68">
        <f>SUM(D87:D98)</f>
        <v>209129.37</v>
      </c>
      <c r="E99" s="68"/>
      <c r="F99" s="68">
        <f t="shared" ref="F99:G99" si="30">SUM(F87:F98)</f>
        <v>437139.71999999991</v>
      </c>
      <c r="G99" s="68">
        <f t="shared" si="30"/>
        <v>16672279.879999999</v>
      </c>
    </row>
    <row r="100" spans="1:9" x14ac:dyDescent="0.25">
      <c r="A100" s="50"/>
      <c r="B100" s="70"/>
      <c r="C100" s="55"/>
      <c r="D100" s="55"/>
      <c r="E100" s="55"/>
      <c r="F100" s="55"/>
      <c r="G100" s="55"/>
    </row>
    <row r="101" spans="1:9" ht="15.75" thickBot="1" x14ac:dyDescent="0.3">
      <c r="A101" s="72"/>
      <c r="B101" s="73" t="s">
        <v>82</v>
      </c>
      <c r="C101" s="74" t="str">
        <f>C1</f>
        <v>Operating</v>
      </c>
      <c r="D101" s="74" t="str">
        <f>D1</f>
        <v>Weights</v>
      </c>
      <c r="E101" s="74" t="str">
        <f>E1</f>
        <v>SPED</v>
      </c>
      <c r="F101" s="74" t="str">
        <f t="shared" ref="F101:G101" si="31">F1</f>
        <v>NSLP</v>
      </c>
      <c r="G101" s="74" t="str">
        <f t="shared" si="31"/>
        <v>Cadence</v>
      </c>
    </row>
    <row r="102" spans="1:9" x14ac:dyDescent="0.25">
      <c r="A102" s="78"/>
      <c r="B102" s="76" t="s">
        <v>83</v>
      </c>
      <c r="C102" s="77"/>
      <c r="D102" s="77"/>
      <c r="E102" s="77"/>
      <c r="F102" s="77"/>
      <c r="G102" s="77"/>
    </row>
    <row r="103" spans="1:9" x14ac:dyDescent="0.25">
      <c r="A103" s="59">
        <v>104</v>
      </c>
      <c r="B103" s="62" t="s">
        <v>41</v>
      </c>
      <c r="C103" s="15">
        <f>131500*1.02</f>
        <v>134130</v>
      </c>
      <c r="D103" s="7"/>
      <c r="E103" s="7"/>
      <c r="F103" s="7"/>
      <c r="G103" s="7">
        <f t="shared" ref="G103:G115" si="32">SUM(C103:F103)</f>
        <v>134130</v>
      </c>
    </row>
    <row r="104" spans="1:9" x14ac:dyDescent="0.25">
      <c r="A104" s="59">
        <v>104</v>
      </c>
      <c r="B104" s="62" t="s">
        <v>84</v>
      </c>
      <c r="C104" s="15">
        <f>(70000+83000+79000+73000)*1.015*1.02</f>
        <v>315766.49999999994</v>
      </c>
      <c r="D104" s="7"/>
      <c r="E104" s="7"/>
      <c r="F104" s="7"/>
      <c r="G104" s="7">
        <f t="shared" si="32"/>
        <v>315766.49999999994</v>
      </c>
    </row>
    <row r="105" spans="1:9" x14ac:dyDescent="0.25">
      <c r="A105" s="59">
        <v>105</v>
      </c>
      <c r="B105" s="62" t="s">
        <v>45</v>
      </c>
      <c r="C105" s="7">
        <f>(60000*1.015*1.02)*C46</f>
        <v>62117.999999999993</v>
      </c>
      <c r="D105" s="179"/>
      <c r="E105" s="7"/>
      <c r="F105" s="7"/>
      <c r="G105" s="7">
        <f t="shared" si="32"/>
        <v>62117.999999999993</v>
      </c>
      <c r="I105">
        <f>60900</f>
        <v>60900</v>
      </c>
    </row>
    <row r="106" spans="1:9" x14ac:dyDescent="0.25">
      <c r="A106" s="59">
        <v>105</v>
      </c>
      <c r="B106" s="62" t="s">
        <v>210</v>
      </c>
      <c r="C106" s="15">
        <v>0</v>
      </c>
      <c r="D106" s="179"/>
      <c r="E106" s="7"/>
      <c r="F106" s="7"/>
      <c r="G106" s="7">
        <f t="shared" si="32"/>
        <v>0</v>
      </c>
      <c r="I106">
        <v>55825</v>
      </c>
    </row>
    <row r="107" spans="1:9" x14ac:dyDescent="0.25">
      <c r="A107" s="59" t="s">
        <v>86</v>
      </c>
      <c r="B107" s="62" t="s">
        <v>87</v>
      </c>
      <c r="C107" s="7">
        <f>(58500*1.015*1.02)*C45</f>
        <v>302825.25</v>
      </c>
      <c r="D107" s="7"/>
      <c r="E107" s="7"/>
      <c r="F107" s="7"/>
      <c r="G107" s="7">
        <f t="shared" si="32"/>
        <v>302825.25</v>
      </c>
      <c r="I107" t="s">
        <v>211</v>
      </c>
    </row>
    <row r="108" spans="1:9" x14ac:dyDescent="0.25">
      <c r="A108" s="59" t="s">
        <v>88</v>
      </c>
      <c r="B108" s="62" t="s">
        <v>89</v>
      </c>
      <c r="C108" s="7">
        <f>46725*C39+(500*25)</f>
        <v>4030850</v>
      </c>
      <c r="D108" s="7"/>
      <c r="E108" s="7"/>
      <c r="F108" s="7"/>
      <c r="G108" s="7">
        <f t="shared" si="32"/>
        <v>4030850</v>
      </c>
    </row>
    <row r="109" spans="1:9" hidden="1" x14ac:dyDescent="0.25">
      <c r="A109" s="4">
        <v>101</v>
      </c>
      <c r="B109" s="62" t="s">
        <v>90</v>
      </c>
      <c r="C109" s="14">
        <v>0</v>
      </c>
      <c r="D109" s="14"/>
      <c r="E109" s="14"/>
      <c r="F109" s="14"/>
      <c r="G109" s="7">
        <f t="shared" si="32"/>
        <v>0</v>
      </c>
    </row>
    <row r="110" spans="1:9" x14ac:dyDescent="0.25">
      <c r="A110" s="59">
        <v>101</v>
      </c>
      <c r="B110" s="62" t="s">
        <v>30</v>
      </c>
      <c r="C110" s="7">
        <v>0</v>
      </c>
      <c r="D110" s="7"/>
      <c r="E110" s="7">
        <f>46725*E30</f>
        <v>560700</v>
      </c>
      <c r="F110" s="7"/>
      <c r="G110" s="7">
        <f t="shared" si="32"/>
        <v>560700</v>
      </c>
      <c r="I110">
        <v>45725</v>
      </c>
    </row>
    <row r="111" spans="1:9" x14ac:dyDescent="0.25">
      <c r="A111" s="59">
        <v>107</v>
      </c>
      <c r="B111" s="62" t="s">
        <v>91</v>
      </c>
      <c r="C111" s="7">
        <f>(46725*1.02)*(C47+C48)</f>
        <v>190638</v>
      </c>
      <c r="D111" s="7"/>
      <c r="E111" s="7"/>
      <c r="F111" s="7"/>
      <c r="G111" s="7">
        <f t="shared" si="32"/>
        <v>190638</v>
      </c>
    </row>
    <row r="112" spans="1:9" x14ac:dyDescent="0.25">
      <c r="A112" s="59">
        <v>107</v>
      </c>
      <c r="B112" s="62" t="s">
        <v>92</v>
      </c>
      <c r="C112" s="7">
        <f>((42750+43800+56000)+(33000+19000))*1.015*1.02</f>
        <v>201417.61499999996</v>
      </c>
      <c r="D112" s="7"/>
      <c r="E112" s="7"/>
      <c r="F112" s="7"/>
      <c r="G112" s="7">
        <f t="shared" si="32"/>
        <v>201417.61499999996</v>
      </c>
    </row>
    <row r="113" spans="1:8" x14ac:dyDescent="0.25">
      <c r="A113" s="59">
        <v>102</v>
      </c>
      <c r="B113" s="62" t="s">
        <v>93</v>
      </c>
      <c r="C113" s="7">
        <f>(13.5*8*200)*C51</f>
        <v>0</v>
      </c>
      <c r="D113" s="7">
        <f>(13.75*8*180)*D51</f>
        <v>59400</v>
      </c>
      <c r="E113" s="7">
        <f>(13.75*8*180)*E51</f>
        <v>237600</v>
      </c>
      <c r="F113" s="7">
        <f>(14.5*8*180)*F51</f>
        <v>0</v>
      </c>
      <c r="G113" s="7">
        <f t="shared" si="32"/>
        <v>297000</v>
      </c>
    </row>
    <row r="114" spans="1:8" x14ac:dyDescent="0.25">
      <c r="A114" s="59">
        <v>107</v>
      </c>
      <c r="B114" s="62" t="s">
        <v>94</v>
      </c>
      <c r="C114" s="7">
        <f>(14*8*240)*C52</f>
        <v>134400</v>
      </c>
      <c r="D114" s="7"/>
      <c r="E114" s="7"/>
      <c r="F114" s="7"/>
      <c r="G114" s="7">
        <f t="shared" si="32"/>
        <v>134400</v>
      </c>
    </row>
    <row r="115" spans="1:8" x14ac:dyDescent="0.25">
      <c r="A115" s="59">
        <v>107</v>
      </c>
      <c r="B115" s="62" t="s">
        <v>53</v>
      </c>
      <c r="C115" s="7">
        <f>(13.75*8*240)*C54</f>
        <v>0</v>
      </c>
      <c r="D115" s="7">
        <f>(12.75*8*180)*D54</f>
        <v>0</v>
      </c>
      <c r="E115" s="7"/>
      <c r="F115" s="7"/>
      <c r="G115" s="7">
        <f t="shared" si="32"/>
        <v>0</v>
      </c>
    </row>
    <row r="116" spans="1:8" ht="15.75" thickBot="1" x14ac:dyDescent="0.3">
      <c r="A116" s="72"/>
      <c r="B116" s="82" t="s">
        <v>95</v>
      </c>
      <c r="C116" s="83">
        <f>SUM(C103:C115)</f>
        <v>5372145.3650000002</v>
      </c>
      <c r="D116" s="83">
        <f>SUM(D103:D115)</f>
        <v>59400</v>
      </c>
      <c r="E116" s="83">
        <f t="shared" ref="E116:G116" si="33">SUM(E103:E115)</f>
        <v>798300</v>
      </c>
      <c r="F116" s="83">
        <f t="shared" si="33"/>
        <v>0</v>
      </c>
      <c r="G116" s="83">
        <f t="shared" si="33"/>
        <v>6229845.3650000002</v>
      </c>
    </row>
    <row r="117" spans="1:8" x14ac:dyDescent="0.25">
      <c r="A117" s="75"/>
      <c r="B117" s="84" t="s">
        <v>96</v>
      </c>
      <c r="C117" s="150" t="str">
        <f>C1</f>
        <v>Operating</v>
      </c>
      <c r="D117" s="150" t="str">
        <f>D1</f>
        <v>Weights</v>
      </c>
      <c r="E117" s="150" t="str">
        <f>E1</f>
        <v>SPED</v>
      </c>
      <c r="F117" s="150" t="str">
        <f t="shared" ref="F117:G117" si="34">F1</f>
        <v>NSLP</v>
      </c>
      <c r="G117" s="150" t="str">
        <f t="shared" si="34"/>
        <v>Cadence</v>
      </c>
    </row>
    <row r="118" spans="1:8" x14ac:dyDescent="0.25">
      <c r="A118" s="5"/>
      <c r="B118" s="62"/>
      <c r="C118" s="7"/>
      <c r="D118" s="7"/>
      <c r="E118" s="7"/>
      <c r="F118" s="7"/>
      <c r="G118" s="7">
        <f t="shared" ref="G118:G127" si="35">SUM(C118:F118)</f>
        <v>0</v>
      </c>
    </row>
    <row r="119" spans="1:8" x14ac:dyDescent="0.25">
      <c r="A119" s="85"/>
      <c r="B119" s="62" t="s">
        <v>54</v>
      </c>
      <c r="C119" s="7"/>
      <c r="D119" s="7"/>
      <c r="E119" s="15">
        <f>65000*1.015*1.02</f>
        <v>67294.5</v>
      </c>
      <c r="F119" s="7"/>
      <c r="G119" s="7">
        <f t="shared" si="35"/>
        <v>67294.5</v>
      </c>
    </row>
    <row r="120" spans="1:8" x14ac:dyDescent="0.25">
      <c r="A120" s="59"/>
      <c r="B120" s="62" t="s">
        <v>55</v>
      </c>
      <c r="C120" s="7"/>
      <c r="D120" s="7"/>
      <c r="E120" s="170">
        <f>47000</f>
        <v>47000</v>
      </c>
      <c r="F120" s="7"/>
      <c r="G120" s="7">
        <f t="shared" si="35"/>
        <v>47000</v>
      </c>
    </row>
    <row r="121" spans="1:8" x14ac:dyDescent="0.25">
      <c r="A121" s="59"/>
      <c r="B121" s="62" t="s">
        <v>56</v>
      </c>
      <c r="C121" s="7"/>
      <c r="D121" s="7"/>
      <c r="E121" s="7">
        <v>0</v>
      </c>
      <c r="F121" s="7"/>
      <c r="G121" s="7">
        <f t="shared" si="35"/>
        <v>0</v>
      </c>
      <c r="H121" t="s">
        <v>212</v>
      </c>
    </row>
    <row r="122" spans="1:8" x14ac:dyDescent="0.25">
      <c r="A122" s="59"/>
      <c r="B122" s="62" t="s">
        <v>97</v>
      </c>
      <c r="C122" s="7"/>
      <c r="D122" s="7"/>
      <c r="E122" s="7"/>
      <c r="F122" s="7"/>
      <c r="G122" s="7">
        <f t="shared" si="35"/>
        <v>0</v>
      </c>
    </row>
    <row r="123" spans="1:8" x14ac:dyDescent="0.25">
      <c r="A123" s="59"/>
      <c r="B123" s="62" t="s">
        <v>58</v>
      </c>
      <c r="C123" s="7"/>
      <c r="D123" s="7"/>
      <c r="E123" s="7">
        <f>65000*1.02</f>
        <v>66300</v>
      </c>
      <c r="F123" s="7"/>
      <c r="G123" s="7">
        <f t="shared" si="35"/>
        <v>66300</v>
      </c>
    </row>
    <row r="124" spans="1:8" x14ac:dyDescent="0.25">
      <c r="A124" s="59"/>
      <c r="B124" s="62" t="s">
        <v>98</v>
      </c>
      <c r="C124" s="7">
        <v>0</v>
      </c>
      <c r="D124" s="7">
        <f>41615*1.02</f>
        <v>42447.3</v>
      </c>
      <c r="E124" s="7"/>
      <c r="F124" s="7"/>
      <c r="G124" s="7">
        <f t="shared" si="35"/>
        <v>42447.3</v>
      </c>
    </row>
    <row r="125" spans="1:8" x14ac:dyDescent="0.25">
      <c r="A125" s="59"/>
      <c r="B125" s="62" t="s">
        <v>99</v>
      </c>
      <c r="C125" s="7">
        <v>0</v>
      </c>
      <c r="D125" s="7">
        <v>0</v>
      </c>
      <c r="E125" s="7"/>
      <c r="F125" s="7">
        <v>0</v>
      </c>
      <c r="G125" s="7">
        <f t="shared" si="35"/>
        <v>0</v>
      </c>
    </row>
    <row r="126" spans="1:8" x14ac:dyDescent="0.25">
      <c r="A126" s="59">
        <v>107</v>
      </c>
      <c r="B126" s="62" t="s">
        <v>100</v>
      </c>
      <c r="C126" s="146"/>
      <c r="D126" s="7">
        <f t="shared" ref="D126" si="36">(12.5*6*185)*D53</f>
        <v>0</v>
      </c>
      <c r="E126" s="146"/>
      <c r="F126" s="7">
        <f>(13.75*8*180)*F53</f>
        <v>59400</v>
      </c>
      <c r="G126" s="7">
        <f t="shared" si="35"/>
        <v>59400</v>
      </c>
    </row>
    <row r="127" spans="1:8" x14ac:dyDescent="0.25">
      <c r="A127" s="59"/>
      <c r="B127" s="62" t="s">
        <v>101</v>
      </c>
      <c r="C127" s="37">
        <f>125*180</f>
        <v>22500</v>
      </c>
      <c r="D127" s="37"/>
      <c r="E127" s="37"/>
      <c r="F127" s="37"/>
      <c r="G127" s="7">
        <f t="shared" si="35"/>
        <v>22500</v>
      </c>
    </row>
    <row r="128" spans="1:8" ht="15.75" thickBot="1" x14ac:dyDescent="0.3">
      <c r="A128" s="72"/>
      <c r="B128" s="82" t="s">
        <v>102</v>
      </c>
      <c r="C128" s="87">
        <f>SUM(C118:C127)</f>
        <v>22500</v>
      </c>
      <c r="D128" s="87">
        <f>SUM(D118:D127)</f>
        <v>42447.3</v>
      </c>
      <c r="E128" s="87">
        <f>SUM(E118:E127)</f>
        <v>180594.5</v>
      </c>
      <c r="F128" s="87">
        <f t="shared" ref="F128:G128" si="37">SUM(F118:F127)</f>
        <v>59400</v>
      </c>
      <c r="G128" s="87">
        <f t="shared" si="37"/>
        <v>304941.8</v>
      </c>
    </row>
    <row r="129" spans="1:7" ht="15.75" thickBot="1" x14ac:dyDescent="0.3">
      <c r="A129" s="88"/>
      <c r="B129" s="89" t="s">
        <v>103</v>
      </c>
      <c r="C129" s="90">
        <f>C116+C128</f>
        <v>5394645.3650000002</v>
      </c>
      <c r="D129" s="90">
        <f>D116+D128</f>
        <v>101847.3</v>
      </c>
      <c r="E129" s="90">
        <f>E116+E128</f>
        <v>978894.5</v>
      </c>
      <c r="F129" s="90">
        <f t="shared" ref="F129" si="38">F116+F128</f>
        <v>59400</v>
      </c>
      <c r="G129" s="90">
        <f>G116+G128</f>
        <v>6534787.165</v>
      </c>
    </row>
    <row r="130" spans="1:7" x14ac:dyDescent="0.25">
      <c r="A130" s="93">
        <v>230</v>
      </c>
      <c r="B130" s="62" t="s">
        <v>104</v>
      </c>
      <c r="C130" s="61">
        <f>C129*0.2975</f>
        <v>1604906.9960874999</v>
      </c>
      <c r="D130" s="61">
        <f t="shared" ref="D130:F130" si="39">D129*0.2975</f>
        <v>30299.571749999999</v>
      </c>
      <c r="E130" s="61">
        <f t="shared" si="39"/>
        <v>291221.11374999996</v>
      </c>
      <c r="F130" s="61">
        <f t="shared" si="39"/>
        <v>17671.5</v>
      </c>
      <c r="G130" s="61">
        <f>SUM(C130:F130)</f>
        <v>1944099.1815874998</v>
      </c>
    </row>
    <row r="131" spans="1:7" x14ac:dyDescent="0.25">
      <c r="A131" s="64"/>
      <c r="B131" s="62" t="s">
        <v>105</v>
      </c>
      <c r="C131" s="14">
        <f>C129*0.18</f>
        <v>971036.16570000001</v>
      </c>
      <c r="D131" s="14">
        <f>D129*0.17</f>
        <v>17314.041000000001</v>
      </c>
      <c r="E131" s="14">
        <f>E129*0.175</f>
        <v>171306.53749999998</v>
      </c>
      <c r="F131" s="14">
        <f>F129*0.14</f>
        <v>8316</v>
      </c>
      <c r="G131" s="61">
        <f t="shared" ref="G131:G135" si="40">SUM(C131:F131)</f>
        <v>1167972.7442000001</v>
      </c>
    </row>
    <row r="132" spans="1:7" x14ac:dyDescent="0.25">
      <c r="A132" s="59">
        <v>150</v>
      </c>
      <c r="B132" s="62" t="s">
        <v>106</v>
      </c>
      <c r="C132" s="11">
        <f>(125*C66)+(125*8)+((C42*2000)+(C43*1500)+(C44*1200)+(C45*1200)+(C46*1200)+(C47*1000)+(C48*1000)+(C49*300)+(C50*300)+(C51*300)+(C52*300)+(C53*300)+(C55*1000)+(C56*1000)+(C57*1000)+(C58*1000)+(C59*1000)+(C60*1000)+(C39*1000)+(1000*C54))*0.9</f>
        <v>111860</v>
      </c>
      <c r="D132" s="11">
        <f>(125*D66)+((D42*2000)+(D43*1500)+(D44*1200)+(D45*1200)+(D46*1200)+(D47*1000)+(D48*1000)+(D49*300)+(D50*300)+(D51*300)+(D52*300)+(D53*300)+(D55*1000)+(D56*1000)+(D57*1000)+(D58*1000)+(D59*1000)+(D60*1000)+(D39*1000)+(1000*D54))*0.9</f>
        <v>3415</v>
      </c>
      <c r="E132" s="11">
        <f>(125*E66)+((E42*2000)+(E43*1500)+(E44*1200)+(E45*1200)+(E46*1200)+(E47*1000)+(E48*1000)+(E49*300)+(E50*300)+(E51*300)+(E52*300)+(E53*300)+(E55*1000)+(E56*1000)+(E57*1000)+(E58*1000)+(E59*1000)+(E60*1000)+(E39*1000)+(1000*E54))*0.9</f>
        <v>20115</v>
      </c>
      <c r="F132" s="11">
        <f>(125*F66)+((F42*2000)+(F43*1500)+(F44*1200)+(F45*1200)+(F46*1200)+(F47*1000)+(F48*1000)+(F49*300)+(F50*300)+(F51*300)+(F52*300)+(F53*300)+(F55*1000)+(F56*1000)+(F57*1000)+(F58*1000)+(F59*1000)+(F60*1000)+(F39*1000)+(1000*F54))</f>
        <v>1275</v>
      </c>
      <c r="G132" s="61">
        <f t="shared" si="40"/>
        <v>136665</v>
      </c>
    </row>
    <row r="133" spans="1:7" x14ac:dyDescent="0.25">
      <c r="A133" s="59">
        <v>150</v>
      </c>
      <c r="B133" s="62" t="s">
        <v>107</v>
      </c>
      <c r="C133" s="14"/>
      <c r="D133" s="14"/>
      <c r="E133" s="14"/>
      <c r="F133" s="14"/>
      <c r="G133" s="61">
        <f t="shared" si="40"/>
        <v>0</v>
      </c>
    </row>
    <row r="134" spans="1:7" x14ac:dyDescent="0.25">
      <c r="A134" s="59">
        <v>250</v>
      </c>
      <c r="B134" s="62" t="s">
        <v>108</v>
      </c>
      <c r="C134" s="7">
        <v>7500</v>
      </c>
      <c r="D134" s="7"/>
      <c r="E134" s="7"/>
      <c r="F134" s="7"/>
      <c r="G134" s="61">
        <f t="shared" si="40"/>
        <v>7500</v>
      </c>
    </row>
    <row r="135" spans="1:7" x14ac:dyDescent="0.25">
      <c r="A135" s="64"/>
      <c r="B135" s="62" t="s">
        <v>109</v>
      </c>
      <c r="C135" s="37">
        <f>(165*10*C39)-C127</f>
        <v>119400</v>
      </c>
      <c r="D135" s="37">
        <v>8000</v>
      </c>
      <c r="E135" s="37">
        <f t="shared" ref="E135:F135" si="41">(165*10*E39)-E127</f>
        <v>19800</v>
      </c>
      <c r="F135" s="37">
        <f t="shared" si="41"/>
        <v>0</v>
      </c>
      <c r="G135" s="61">
        <f t="shared" si="40"/>
        <v>147200</v>
      </c>
    </row>
    <row r="136" spans="1:7" ht="15.75" thickBot="1" x14ac:dyDescent="0.3">
      <c r="A136" s="72"/>
      <c r="B136" s="91" t="s">
        <v>110</v>
      </c>
      <c r="C136" s="87">
        <f>SUM(C130:C135)</f>
        <v>2814703.1617874997</v>
      </c>
      <c r="D136" s="87">
        <f>SUM(D130:D135)</f>
        <v>59028.61275</v>
      </c>
      <c r="E136" s="87">
        <f>SUM(E130:E135)</f>
        <v>502442.65124999994</v>
      </c>
      <c r="F136" s="87">
        <f t="shared" ref="F136:G136" si="42">SUM(F130:F135)</f>
        <v>27262.5</v>
      </c>
      <c r="G136" s="87">
        <f t="shared" si="42"/>
        <v>3403436.9257875001</v>
      </c>
    </row>
    <row r="137" spans="1:7" ht="15.75" thickBot="1" x14ac:dyDescent="0.3">
      <c r="A137" s="88"/>
      <c r="B137" s="95" t="s">
        <v>111</v>
      </c>
      <c r="C137" s="90">
        <f>C129+C136</f>
        <v>8209348.5267874999</v>
      </c>
      <c r="D137" s="90">
        <f>D129+D136</f>
        <v>160875.91275000002</v>
      </c>
      <c r="E137" s="90">
        <f>E129+E136</f>
        <v>1481337.1512499999</v>
      </c>
      <c r="F137" s="90">
        <f t="shared" ref="F137:G137" si="43">F129+F136</f>
        <v>86662.5</v>
      </c>
      <c r="G137" s="90">
        <f t="shared" si="43"/>
        <v>9938224.0907875001</v>
      </c>
    </row>
    <row r="138" spans="1:7" x14ac:dyDescent="0.25">
      <c r="A138" s="75"/>
      <c r="B138" s="97" t="s">
        <v>112</v>
      </c>
      <c r="C138" s="149" t="str">
        <f>C1</f>
        <v>Operating</v>
      </c>
      <c r="D138" s="149" t="str">
        <f>D1</f>
        <v>Weights</v>
      </c>
      <c r="E138" s="149" t="str">
        <f>E1</f>
        <v>SPED</v>
      </c>
      <c r="F138" s="149" t="str">
        <f t="shared" ref="F138:G138" si="44">F1</f>
        <v>NSLP</v>
      </c>
      <c r="G138" s="149" t="str">
        <f t="shared" si="44"/>
        <v>Cadence</v>
      </c>
    </row>
    <row r="139" spans="1:7" x14ac:dyDescent="0.25">
      <c r="A139" s="64"/>
      <c r="B139" s="98" t="s">
        <v>113</v>
      </c>
      <c r="C139" s="15">
        <f>C19*130</f>
        <v>273130</v>
      </c>
      <c r="D139" s="15"/>
      <c r="E139" s="15"/>
      <c r="F139" s="15"/>
      <c r="G139" s="15">
        <f t="shared" ref="G139:G148" si="45">SUM(C139:F139)</f>
        <v>273130</v>
      </c>
    </row>
    <row r="140" spans="1:7" x14ac:dyDescent="0.25">
      <c r="A140" s="59">
        <v>561</v>
      </c>
      <c r="B140" s="99" t="s">
        <v>114</v>
      </c>
      <c r="C140" s="15">
        <v>100000</v>
      </c>
      <c r="D140" s="7"/>
      <c r="E140" s="7"/>
      <c r="F140" s="7"/>
      <c r="G140" s="15">
        <f t="shared" si="45"/>
        <v>100000</v>
      </c>
    </row>
    <row r="141" spans="1:7" x14ac:dyDescent="0.25">
      <c r="A141" s="64"/>
      <c r="B141" s="62" t="s">
        <v>115</v>
      </c>
      <c r="C141" s="11">
        <f>466000+65000</f>
        <v>531000</v>
      </c>
      <c r="D141" s="11"/>
      <c r="E141" s="11"/>
      <c r="F141" s="11"/>
      <c r="G141" s="15">
        <f t="shared" si="45"/>
        <v>531000</v>
      </c>
    </row>
    <row r="142" spans="1:7" hidden="1" x14ac:dyDescent="0.25">
      <c r="A142" s="64"/>
      <c r="B142" s="62" t="s">
        <v>116</v>
      </c>
      <c r="C142" s="7">
        <v>0</v>
      </c>
      <c r="D142" s="7">
        <v>0</v>
      </c>
      <c r="E142" s="7"/>
      <c r="F142" s="7"/>
      <c r="G142" s="15">
        <f t="shared" si="45"/>
        <v>0</v>
      </c>
    </row>
    <row r="143" spans="1:7" x14ac:dyDescent="0.25">
      <c r="A143" s="59">
        <v>610</v>
      </c>
      <c r="B143" s="62" t="s">
        <v>117</v>
      </c>
      <c r="C143" s="7">
        <f>13*C19</f>
        <v>27313</v>
      </c>
      <c r="D143" s="7">
        <f t="shared" ref="D143" si="46">13*D19</f>
        <v>0</v>
      </c>
      <c r="E143" s="7"/>
      <c r="F143" s="7">
        <v>0</v>
      </c>
      <c r="G143" s="15">
        <f t="shared" si="45"/>
        <v>27313</v>
      </c>
    </row>
    <row r="144" spans="1:7" x14ac:dyDescent="0.25">
      <c r="A144" s="59">
        <v>610</v>
      </c>
      <c r="B144" s="62" t="s">
        <v>118</v>
      </c>
      <c r="C144" s="7">
        <f>(27*C19)</f>
        <v>56727</v>
      </c>
      <c r="D144" s="7">
        <v>0</v>
      </c>
      <c r="E144" s="7"/>
      <c r="F144" s="7"/>
      <c r="G144" s="15">
        <f t="shared" si="45"/>
        <v>56727</v>
      </c>
    </row>
    <row r="145" spans="1:9" x14ac:dyDescent="0.25">
      <c r="A145" s="59">
        <v>610</v>
      </c>
      <c r="B145" s="62" t="s">
        <v>119</v>
      </c>
      <c r="C145" s="7">
        <f>4*C19</f>
        <v>8404</v>
      </c>
      <c r="D145" s="7">
        <f t="shared" ref="D145" si="47">4*D19</f>
        <v>0</v>
      </c>
      <c r="E145" s="7"/>
      <c r="F145" s="7"/>
      <c r="G145" s="15">
        <f t="shared" si="45"/>
        <v>8404</v>
      </c>
    </row>
    <row r="146" spans="1:9" x14ac:dyDescent="0.25">
      <c r="A146" s="59">
        <v>610</v>
      </c>
      <c r="B146" s="62" t="s">
        <v>120</v>
      </c>
      <c r="C146" s="7">
        <f>3*C19</f>
        <v>6303</v>
      </c>
      <c r="D146" s="7">
        <f t="shared" ref="D146" si="48">3*D19</f>
        <v>0</v>
      </c>
      <c r="E146" s="7"/>
      <c r="F146" s="7"/>
      <c r="G146" s="15">
        <f t="shared" si="45"/>
        <v>6303</v>
      </c>
    </row>
    <row r="147" spans="1:9" x14ac:dyDescent="0.25">
      <c r="A147" s="59">
        <v>610</v>
      </c>
      <c r="B147" s="62" t="s">
        <v>121</v>
      </c>
      <c r="C147" s="7">
        <f>120*C22</f>
        <v>0</v>
      </c>
      <c r="D147" s="7">
        <f t="shared" ref="D147" si="49">120*D22</f>
        <v>0</v>
      </c>
      <c r="E147" s="7">
        <f>120*E22</f>
        <v>28200</v>
      </c>
      <c r="F147" s="7"/>
      <c r="G147" s="15">
        <f t="shared" si="45"/>
        <v>28200</v>
      </c>
    </row>
    <row r="148" spans="1:9" ht="15.75" thickBot="1" x14ac:dyDescent="0.3">
      <c r="A148" s="100"/>
      <c r="B148" s="62" t="s">
        <v>122</v>
      </c>
      <c r="C148" s="37">
        <v>35000</v>
      </c>
      <c r="D148" s="37">
        <v>0</v>
      </c>
      <c r="E148" s="37"/>
      <c r="F148" s="37"/>
      <c r="G148" s="15">
        <f t="shared" si="45"/>
        <v>35000</v>
      </c>
    </row>
    <row r="149" spans="1:9" ht="15.75" thickBot="1" x14ac:dyDescent="0.3">
      <c r="A149" s="88"/>
      <c r="B149" s="95" t="s">
        <v>123</v>
      </c>
      <c r="C149" s="92">
        <f>SUM(C139:C148)</f>
        <v>1037877</v>
      </c>
      <c r="D149" s="92">
        <f>SUM(D139:D148)</f>
        <v>0</v>
      </c>
      <c r="E149" s="92">
        <f t="shared" ref="E149:G149" si="50">SUM(E139:E148)</f>
        <v>28200</v>
      </c>
      <c r="F149" s="92">
        <f t="shared" si="50"/>
        <v>0</v>
      </c>
      <c r="G149" s="92">
        <f t="shared" si="50"/>
        <v>1066077</v>
      </c>
    </row>
    <row r="150" spans="1:9" x14ac:dyDescent="0.25">
      <c r="A150" s="75"/>
      <c r="B150" s="101" t="s">
        <v>124</v>
      </c>
      <c r="C150" s="149" t="str">
        <f>C1</f>
        <v>Operating</v>
      </c>
      <c r="D150" s="149" t="str">
        <f>D1</f>
        <v>Weights</v>
      </c>
      <c r="E150" s="149" t="str">
        <f>E1</f>
        <v>SPED</v>
      </c>
      <c r="F150" s="149" t="str">
        <f t="shared" ref="F150:G150" si="51">F1</f>
        <v>NSLP</v>
      </c>
      <c r="G150" s="149" t="str">
        <f t="shared" si="51"/>
        <v>Cadence</v>
      </c>
    </row>
    <row r="151" spans="1:9" x14ac:dyDescent="0.25">
      <c r="A151" s="93">
        <v>320</v>
      </c>
      <c r="B151" s="62" t="s">
        <v>125</v>
      </c>
      <c r="C151" s="80">
        <v>0</v>
      </c>
      <c r="D151" s="80">
        <v>18000</v>
      </c>
      <c r="E151" s="80"/>
      <c r="F151" s="80"/>
      <c r="G151" s="80">
        <f t="shared" ref="G151:G162" si="52">SUM(C151:F151)</f>
        <v>18000</v>
      </c>
    </row>
    <row r="152" spans="1:9" x14ac:dyDescent="0.25">
      <c r="A152" s="59">
        <v>300</v>
      </c>
      <c r="B152" s="62" t="s">
        <v>126</v>
      </c>
      <c r="C152" s="14">
        <v>0</v>
      </c>
      <c r="D152" s="142"/>
      <c r="E152" s="14">
        <f>150*$C$19</f>
        <v>315150</v>
      </c>
      <c r="F152" s="142"/>
      <c r="G152" s="80">
        <f t="shared" si="52"/>
        <v>315150</v>
      </c>
      <c r="H152" t="s">
        <v>213</v>
      </c>
      <c r="I152" s="138"/>
    </row>
    <row r="153" spans="1:9" x14ac:dyDescent="0.25">
      <c r="A153" s="59">
        <v>310</v>
      </c>
      <c r="B153" s="62" t="s">
        <v>127</v>
      </c>
      <c r="C153" s="11">
        <v>0</v>
      </c>
      <c r="D153" s="142"/>
      <c r="E153" s="14"/>
      <c r="F153" s="142"/>
      <c r="G153" s="80">
        <f t="shared" si="52"/>
        <v>0</v>
      </c>
      <c r="I153" s="138"/>
    </row>
    <row r="154" spans="1:9" x14ac:dyDescent="0.25">
      <c r="A154" s="59">
        <v>310</v>
      </c>
      <c r="B154" s="62" t="s">
        <v>128</v>
      </c>
      <c r="C154" s="7">
        <f>(450*C19)</f>
        <v>945450</v>
      </c>
      <c r="D154" s="7"/>
      <c r="E154" s="7"/>
      <c r="F154" s="7"/>
      <c r="G154" s="80">
        <f t="shared" si="52"/>
        <v>945450</v>
      </c>
      <c r="I154" s="155"/>
    </row>
    <row r="155" spans="1:9" x14ac:dyDescent="0.25">
      <c r="A155" s="59">
        <v>310</v>
      </c>
      <c r="B155" s="62" t="s">
        <v>129</v>
      </c>
      <c r="C155" s="7">
        <f>(240*C66)+2000</f>
        <v>28400</v>
      </c>
      <c r="D155" s="7">
        <f>(240*D66)</f>
        <v>1200</v>
      </c>
      <c r="E155" s="7">
        <f>(240*E66)</f>
        <v>6480</v>
      </c>
      <c r="F155" s="7">
        <f>(240*F66)</f>
        <v>720</v>
      </c>
      <c r="G155" s="80">
        <f t="shared" si="52"/>
        <v>36800</v>
      </c>
      <c r="I155" s="138"/>
    </row>
    <row r="156" spans="1:9" x14ac:dyDescent="0.25">
      <c r="A156" s="59">
        <v>340</v>
      </c>
      <c r="B156" s="62" t="s">
        <v>130</v>
      </c>
      <c r="C156" s="7">
        <v>11000</v>
      </c>
      <c r="D156" s="7"/>
      <c r="E156" s="7"/>
      <c r="F156" s="7"/>
      <c r="G156" s="80">
        <f t="shared" si="52"/>
        <v>11000</v>
      </c>
    </row>
    <row r="157" spans="1:9" x14ac:dyDescent="0.25">
      <c r="A157" s="59">
        <v>340</v>
      </c>
      <c r="B157" s="62" t="s">
        <v>131</v>
      </c>
      <c r="C157" s="7">
        <v>5500</v>
      </c>
      <c r="D157" s="7"/>
      <c r="E157" s="7"/>
      <c r="F157" s="7"/>
      <c r="G157" s="80">
        <f t="shared" si="52"/>
        <v>5500</v>
      </c>
    </row>
    <row r="158" spans="1:9" x14ac:dyDescent="0.25">
      <c r="A158" s="59">
        <v>352</v>
      </c>
      <c r="B158" s="62" t="s">
        <v>132</v>
      </c>
      <c r="C158" s="7">
        <f>42*C19</f>
        <v>88242</v>
      </c>
      <c r="D158" s="7"/>
      <c r="E158" s="7"/>
      <c r="F158" s="7"/>
      <c r="G158" s="80">
        <f t="shared" si="52"/>
        <v>88242</v>
      </c>
    </row>
    <row r="159" spans="1:9" x14ac:dyDescent="0.25">
      <c r="A159" s="59">
        <v>350</v>
      </c>
      <c r="B159" s="62" t="s">
        <v>133</v>
      </c>
      <c r="C159" s="7">
        <v>10000</v>
      </c>
      <c r="D159" s="7"/>
      <c r="E159" s="7"/>
      <c r="F159" s="7"/>
      <c r="G159" s="80">
        <f t="shared" si="52"/>
        <v>10000</v>
      </c>
    </row>
    <row r="160" spans="1:9" x14ac:dyDescent="0.25">
      <c r="A160" s="59">
        <v>591</v>
      </c>
      <c r="B160" s="62" t="s">
        <v>134</v>
      </c>
      <c r="C160" s="7">
        <f>(C87+C88)*0.0125</f>
        <v>189005.69737499999</v>
      </c>
      <c r="D160" s="7"/>
      <c r="E160" s="7"/>
      <c r="F160" s="7"/>
      <c r="G160" s="80">
        <f t="shared" si="52"/>
        <v>189005.69737499999</v>
      </c>
    </row>
    <row r="161" spans="1:7" x14ac:dyDescent="0.25">
      <c r="A161" s="59">
        <v>320</v>
      </c>
      <c r="B161" s="62" t="s">
        <v>135</v>
      </c>
      <c r="C161" s="7">
        <f>(C87+C88)*0.005</f>
        <v>75602.278949999993</v>
      </c>
      <c r="D161" s="7"/>
      <c r="E161" s="7"/>
      <c r="F161" s="7"/>
      <c r="G161" s="80">
        <f t="shared" si="52"/>
        <v>75602.278949999993</v>
      </c>
    </row>
    <row r="162" spans="1:7" ht="15.75" thickBot="1" x14ac:dyDescent="0.3">
      <c r="A162" s="59">
        <v>330</v>
      </c>
      <c r="B162" s="62" t="s">
        <v>136</v>
      </c>
      <c r="C162" s="7">
        <f>(C87+C88)*0.005</f>
        <v>75602.278949999993</v>
      </c>
      <c r="D162" s="7"/>
      <c r="E162" s="7"/>
      <c r="F162" s="7"/>
      <c r="G162" s="80">
        <f t="shared" si="52"/>
        <v>75602.278949999993</v>
      </c>
    </row>
    <row r="163" spans="1:7" ht="15.75" hidden="1" thickBot="1" x14ac:dyDescent="0.3">
      <c r="A163" s="59">
        <v>330</v>
      </c>
      <c r="B163" s="62" t="s">
        <v>137</v>
      </c>
      <c r="C163" s="81"/>
      <c r="D163" s="81"/>
      <c r="E163" s="81"/>
      <c r="F163" s="81"/>
      <c r="G163" s="81"/>
    </row>
    <row r="164" spans="1:7" ht="15.75" thickBot="1" x14ac:dyDescent="0.3">
      <c r="A164" s="88"/>
      <c r="B164" s="95" t="s">
        <v>138</v>
      </c>
      <c r="C164" s="92">
        <f>SUM(C151:C163)</f>
        <v>1428802.2552749999</v>
      </c>
      <c r="D164" s="92">
        <f>SUM(D151:D163)</f>
        <v>19200</v>
      </c>
      <c r="E164" s="92">
        <f>SUM(E151:E163)</f>
        <v>321630</v>
      </c>
      <c r="F164" s="92">
        <f t="shared" ref="F164:G164" si="53">SUM(F151:F163)</f>
        <v>720</v>
      </c>
      <c r="G164" s="92">
        <f t="shared" si="53"/>
        <v>1770352.2552749999</v>
      </c>
    </row>
    <row r="165" spans="1:7" x14ac:dyDescent="0.25">
      <c r="A165" s="75"/>
      <c r="B165" s="101" t="s">
        <v>139</v>
      </c>
      <c r="C165" s="149" t="str">
        <f>C150</f>
        <v>Operating</v>
      </c>
      <c r="D165" s="149" t="str">
        <f>D150</f>
        <v>Weights</v>
      </c>
      <c r="E165" s="149" t="str">
        <f>E150</f>
        <v>SPED</v>
      </c>
      <c r="F165" s="149" t="str">
        <f t="shared" ref="F165:G165" si="54">F150</f>
        <v>NSLP</v>
      </c>
      <c r="G165" s="149" t="str">
        <f t="shared" si="54"/>
        <v>Cadence</v>
      </c>
    </row>
    <row r="166" spans="1:7" x14ac:dyDescent="0.25">
      <c r="A166" s="59">
        <v>533</v>
      </c>
      <c r="B166" s="62" t="s">
        <v>140</v>
      </c>
      <c r="C166" s="7">
        <v>4500</v>
      </c>
      <c r="D166" s="7"/>
      <c r="E166" s="7"/>
      <c r="F166" s="7"/>
      <c r="G166" s="7">
        <f t="shared" ref="G166:G172" si="55">SUM(C166:F166)</f>
        <v>4500</v>
      </c>
    </row>
    <row r="167" spans="1:7" x14ac:dyDescent="0.25">
      <c r="A167" s="59">
        <v>535</v>
      </c>
      <c r="B167" s="62" t="s">
        <v>141</v>
      </c>
      <c r="C167" s="7">
        <v>20500</v>
      </c>
      <c r="D167" s="7"/>
      <c r="E167" s="7"/>
      <c r="F167" s="7"/>
      <c r="G167" s="7">
        <f t="shared" si="55"/>
        <v>20500</v>
      </c>
    </row>
    <row r="168" spans="1:7" x14ac:dyDescent="0.25">
      <c r="A168" s="59">
        <v>534</v>
      </c>
      <c r="B168" s="62" t="s">
        <v>142</v>
      </c>
      <c r="C168" s="7">
        <v>0</v>
      </c>
      <c r="D168" s="7"/>
      <c r="E168" s="7"/>
      <c r="F168" s="7"/>
      <c r="G168" s="7">
        <f t="shared" si="55"/>
        <v>0</v>
      </c>
    </row>
    <row r="169" spans="1:7" x14ac:dyDescent="0.25">
      <c r="A169" s="59">
        <v>531</v>
      </c>
      <c r="B169" s="62" t="s">
        <v>143</v>
      </c>
      <c r="C169" s="7">
        <v>1250</v>
      </c>
      <c r="D169" s="7"/>
      <c r="E169" s="7"/>
      <c r="F169" s="7"/>
      <c r="G169" s="7">
        <f t="shared" si="55"/>
        <v>1250</v>
      </c>
    </row>
    <row r="170" spans="1:7" x14ac:dyDescent="0.25">
      <c r="A170" s="59">
        <v>535</v>
      </c>
      <c r="B170" s="62" t="s">
        <v>144</v>
      </c>
      <c r="C170" s="7">
        <v>4200</v>
      </c>
      <c r="D170" s="7"/>
      <c r="E170" s="7"/>
      <c r="F170" s="7"/>
      <c r="G170" s="7">
        <f t="shared" si="55"/>
        <v>4200</v>
      </c>
    </row>
    <row r="171" spans="1:7" x14ac:dyDescent="0.25">
      <c r="A171" s="59">
        <v>443</v>
      </c>
      <c r="B171" s="62" t="s">
        <v>145</v>
      </c>
      <c r="C171" s="15">
        <v>57500</v>
      </c>
      <c r="D171" s="7"/>
      <c r="E171" s="7"/>
      <c r="F171" s="7"/>
      <c r="G171" s="7">
        <f t="shared" si="55"/>
        <v>57500</v>
      </c>
    </row>
    <row r="172" spans="1:7" ht="15.75" thickBot="1" x14ac:dyDescent="0.3">
      <c r="A172" s="59">
        <v>651</v>
      </c>
      <c r="B172" s="62" t="s">
        <v>146</v>
      </c>
      <c r="C172" s="7">
        <f>2500+(2*C20)</f>
        <v>2500</v>
      </c>
      <c r="D172" s="7"/>
      <c r="E172" s="7"/>
      <c r="F172" s="7"/>
      <c r="G172" s="7">
        <f t="shared" si="55"/>
        <v>2500</v>
      </c>
    </row>
    <row r="173" spans="1:7" ht="15.75" thickBot="1" x14ac:dyDescent="0.3">
      <c r="A173" s="88"/>
      <c r="B173" s="95" t="s">
        <v>147</v>
      </c>
      <c r="C173" s="92">
        <f>SUM(C166:C172)</f>
        <v>90450</v>
      </c>
      <c r="D173" s="92">
        <f>SUM(D166:D172)</f>
        <v>0</v>
      </c>
      <c r="E173" s="92">
        <f t="shared" ref="E173:G173" si="56">SUM(E166:E172)</f>
        <v>0</v>
      </c>
      <c r="F173" s="92">
        <f t="shared" si="56"/>
        <v>0</v>
      </c>
      <c r="G173" s="92">
        <f t="shared" si="56"/>
        <v>90450</v>
      </c>
    </row>
    <row r="174" spans="1:7" x14ac:dyDescent="0.25">
      <c r="A174" s="75"/>
      <c r="B174" s="101" t="s">
        <v>148</v>
      </c>
      <c r="C174" s="96"/>
      <c r="D174" s="96"/>
      <c r="E174" s="96"/>
      <c r="F174" s="96"/>
      <c r="G174" s="96"/>
    </row>
    <row r="175" spans="1:7" x14ac:dyDescent="0.25">
      <c r="A175" s="59">
        <v>521</v>
      </c>
      <c r="B175" s="62" t="s">
        <v>149</v>
      </c>
      <c r="C175" s="15">
        <f>20769.3159260956*1.06</f>
        <v>22015.474881661339</v>
      </c>
      <c r="D175" s="15"/>
      <c r="E175" s="15"/>
      <c r="F175" s="15"/>
      <c r="G175" s="15">
        <f>SUM(C175:F175)</f>
        <v>22015.474881661339</v>
      </c>
    </row>
    <row r="176" spans="1:7" x14ac:dyDescent="0.25">
      <c r="A176" s="59">
        <v>522</v>
      </c>
      <c r="B176" s="62" t="s">
        <v>150</v>
      </c>
      <c r="C176" s="7">
        <f>15289.7388914338*1.06</f>
        <v>16207.123224919829</v>
      </c>
      <c r="D176" s="7"/>
      <c r="E176" s="7"/>
      <c r="F176" s="7"/>
      <c r="G176" s="15">
        <f>SUM(C176:F176)</f>
        <v>16207.123224919829</v>
      </c>
    </row>
    <row r="177" spans="1:7" ht="15.75" thickBot="1" x14ac:dyDescent="0.3">
      <c r="A177" s="59">
        <v>523</v>
      </c>
      <c r="B177" s="62" t="s">
        <v>151</v>
      </c>
      <c r="C177" s="7">
        <f>(32660.3298213468*1.06)+4325</f>
        <v>38944.949610627613</v>
      </c>
      <c r="D177" s="7"/>
      <c r="E177" s="7"/>
      <c r="F177" s="7"/>
      <c r="G177" s="15">
        <f>SUM(C177:F177)</f>
        <v>38944.949610627613</v>
      </c>
    </row>
    <row r="178" spans="1:7" ht="15.75" thickBot="1" x14ac:dyDescent="0.3">
      <c r="A178" s="88"/>
      <c r="B178" s="95" t="s">
        <v>152</v>
      </c>
      <c r="C178" s="92">
        <f>SUM(C175:C177)</f>
        <v>77167.54771720877</v>
      </c>
      <c r="D178" s="92">
        <f>SUM(D175:D177)</f>
        <v>0</v>
      </c>
      <c r="E178" s="92">
        <f t="shared" ref="E178:G178" si="57">SUM(E175:E177)</f>
        <v>0</v>
      </c>
      <c r="F178" s="92">
        <f t="shared" si="57"/>
        <v>0</v>
      </c>
      <c r="G178" s="92">
        <f t="shared" si="57"/>
        <v>77167.54771720877</v>
      </c>
    </row>
    <row r="179" spans="1:7" x14ac:dyDescent="0.25">
      <c r="A179" s="75"/>
      <c r="B179" s="101" t="s">
        <v>153</v>
      </c>
      <c r="C179" s="96" t="str">
        <f>C1</f>
        <v>Operating</v>
      </c>
      <c r="D179" s="96" t="str">
        <f>D1</f>
        <v>Weights</v>
      </c>
      <c r="E179" s="96" t="str">
        <f>E1</f>
        <v>SPED</v>
      </c>
      <c r="F179" s="96" t="str">
        <f t="shared" ref="F179:G179" si="58">F1</f>
        <v>NSLP</v>
      </c>
      <c r="G179" s="96" t="str">
        <f t="shared" si="58"/>
        <v>Cadence</v>
      </c>
    </row>
    <row r="180" spans="1:7" x14ac:dyDescent="0.25">
      <c r="A180" s="59">
        <v>570</v>
      </c>
      <c r="B180" s="62" t="s">
        <v>154</v>
      </c>
      <c r="C180" s="14">
        <f>(($C$19*C25)*3.56*180)</f>
        <v>0</v>
      </c>
      <c r="D180" s="142"/>
      <c r="E180" s="142"/>
      <c r="F180" s="14">
        <f>(($C$19*F25)*3.05*180)+1000</f>
        <v>333770.03649999993</v>
      </c>
      <c r="G180" s="14">
        <f t="shared" ref="G180:G188" si="59">SUM(C180:F180)</f>
        <v>333770.03649999993</v>
      </c>
    </row>
    <row r="181" spans="1:7" x14ac:dyDescent="0.25">
      <c r="A181" s="59">
        <v>540</v>
      </c>
      <c r="B181" s="62" t="s">
        <v>155</v>
      </c>
      <c r="C181" s="7">
        <v>3000</v>
      </c>
      <c r="D181" s="7"/>
      <c r="E181" s="7"/>
      <c r="F181" s="7"/>
      <c r="G181" s="14">
        <f t="shared" si="59"/>
        <v>3000</v>
      </c>
    </row>
    <row r="182" spans="1:7" x14ac:dyDescent="0.25">
      <c r="A182" s="59">
        <v>580</v>
      </c>
      <c r="B182" s="62" t="s">
        <v>156</v>
      </c>
      <c r="C182" s="7">
        <v>3000</v>
      </c>
      <c r="D182" s="7"/>
      <c r="E182" s="7"/>
      <c r="F182" s="7"/>
      <c r="G182" s="14">
        <f t="shared" si="59"/>
        <v>3000</v>
      </c>
    </row>
    <row r="183" spans="1:7" x14ac:dyDescent="0.25">
      <c r="A183" s="59">
        <v>340</v>
      </c>
      <c r="B183" s="62" t="s">
        <v>157</v>
      </c>
      <c r="C183" s="7">
        <f>60*22</f>
        <v>1320</v>
      </c>
      <c r="D183" s="7"/>
      <c r="E183" s="7"/>
      <c r="F183" s="7"/>
      <c r="G183" s="14">
        <f t="shared" si="59"/>
        <v>1320</v>
      </c>
    </row>
    <row r="184" spans="1:7" x14ac:dyDescent="0.25">
      <c r="A184" s="79">
        <v>810</v>
      </c>
      <c r="B184" s="62" t="s">
        <v>158</v>
      </c>
      <c r="C184" s="15">
        <f>10500+1200</f>
        <v>11700</v>
      </c>
      <c r="D184" s="15"/>
      <c r="E184" s="15"/>
      <c r="F184" s="15"/>
      <c r="G184" s="14">
        <f t="shared" si="59"/>
        <v>11700</v>
      </c>
    </row>
    <row r="185" spans="1:7" x14ac:dyDescent="0.25">
      <c r="A185" s="64"/>
      <c r="B185" s="62" t="s">
        <v>159</v>
      </c>
      <c r="C185" s="15">
        <v>0</v>
      </c>
      <c r="D185" s="148"/>
      <c r="E185" s="148"/>
      <c r="F185" s="148"/>
      <c r="G185" s="14">
        <f t="shared" si="59"/>
        <v>0</v>
      </c>
    </row>
    <row r="186" spans="1:7" x14ac:dyDescent="0.25">
      <c r="A186" s="64"/>
      <c r="B186" s="62" t="s">
        <v>160</v>
      </c>
      <c r="C186" s="15">
        <v>0</v>
      </c>
      <c r="D186" s="15"/>
      <c r="E186" s="15"/>
      <c r="F186" s="15"/>
      <c r="G186" s="14">
        <f t="shared" si="59"/>
        <v>0</v>
      </c>
    </row>
    <row r="187" spans="1:7" x14ac:dyDescent="0.25">
      <c r="A187" s="64"/>
      <c r="B187" s="62" t="s">
        <v>161</v>
      </c>
      <c r="C187" s="15">
        <v>11000</v>
      </c>
      <c r="D187" s="15"/>
      <c r="E187" s="15"/>
      <c r="F187" s="15"/>
      <c r="G187" s="14">
        <f t="shared" si="59"/>
        <v>11000</v>
      </c>
    </row>
    <row r="188" spans="1:7" ht="15.75" thickBot="1" x14ac:dyDescent="0.3">
      <c r="A188" s="59">
        <v>900</v>
      </c>
      <c r="B188" s="62" t="s">
        <v>162</v>
      </c>
      <c r="C188" s="7">
        <v>2000</v>
      </c>
      <c r="D188" s="7"/>
      <c r="E188" s="7"/>
      <c r="F188" s="7"/>
      <c r="G188" s="14">
        <f t="shared" si="59"/>
        <v>2000</v>
      </c>
    </row>
    <row r="189" spans="1:7" ht="15.75" thickBot="1" x14ac:dyDescent="0.3">
      <c r="A189" s="88"/>
      <c r="B189" s="95" t="s">
        <v>163</v>
      </c>
      <c r="C189" s="92">
        <f>SUM(C180:C188)</f>
        <v>32020</v>
      </c>
      <c r="D189" s="92">
        <f>SUM(D180:D188)</f>
        <v>0</v>
      </c>
      <c r="E189" s="92">
        <f t="shared" ref="E189:G189" si="60">SUM(E180:E188)</f>
        <v>0</v>
      </c>
      <c r="F189" s="92">
        <f t="shared" si="60"/>
        <v>333770.03649999993</v>
      </c>
      <c r="G189" s="92">
        <f t="shared" si="60"/>
        <v>365790.03649999993</v>
      </c>
    </row>
    <row r="190" spans="1:7" x14ac:dyDescent="0.25">
      <c r="A190" s="75"/>
      <c r="B190" s="101" t="s">
        <v>164</v>
      </c>
      <c r="C190" s="77" t="str">
        <f>C179</f>
        <v>Operating</v>
      </c>
      <c r="D190" s="77" t="str">
        <f>D179</f>
        <v>Weights</v>
      </c>
      <c r="E190" s="77" t="str">
        <f>E179</f>
        <v>SPED</v>
      </c>
      <c r="F190" s="77" t="str">
        <f t="shared" ref="F190:G190" si="61">F179</f>
        <v>NSLP</v>
      </c>
      <c r="G190" s="77" t="str">
        <f t="shared" si="61"/>
        <v>Cadence</v>
      </c>
    </row>
    <row r="191" spans="1:7" x14ac:dyDescent="0.25">
      <c r="A191" s="93">
        <v>622</v>
      </c>
      <c r="B191" s="62" t="s">
        <v>165</v>
      </c>
      <c r="C191" s="61">
        <v>172500</v>
      </c>
      <c r="D191" s="61"/>
      <c r="E191" s="61"/>
      <c r="F191" s="61"/>
      <c r="G191" s="61">
        <f t="shared" ref="G191:G201" si="62">SUM(C191:F191)</f>
        <v>172500</v>
      </c>
    </row>
    <row r="192" spans="1:7" x14ac:dyDescent="0.25">
      <c r="A192" s="59">
        <v>621</v>
      </c>
      <c r="B192" s="62" t="s">
        <v>166</v>
      </c>
      <c r="C192" s="7">
        <v>0</v>
      </c>
      <c r="D192" s="15"/>
      <c r="E192" s="15"/>
      <c r="F192" s="15"/>
      <c r="G192" s="61">
        <f t="shared" si="62"/>
        <v>0</v>
      </c>
    </row>
    <row r="193" spans="1:7" x14ac:dyDescent="0.25">
      <c r="A193" s="59">
        <v>411</v>
      </c>
      <c r="B193" s="62" t="s">
        <v>167</v>
      </c>
      <c r="C193" s="7">
        <f>14000+14500</f>
        <v>28500</v>
      </c>
      <c r="D193" s="7"/>
      <c r="E193" s="7"/>
      <c r="F193" s="7"/>
      <c r="G193" s="61">
        <f t="shared" si="62"/>
        <v>28500</v>
      </c>
    </row>
    <row r="194" spans="1:7" x14ac:dyDescent="0.25">
      <c r="A194" s="59">
        <v>422</v>
      </c>
      <c r="B194" s="62" t="s">
        <v>168</v>
      </c>
      <c r="C194" s="7">
        <f>3300*12+400</f>
        <v>40000</v>
      </c>
      <c r="D194" s="7"/>
      <c r="E194" s="7"/>
      <c r="F194" s="7"/>
      <c r="G194" s="61">
        <f t="shared" si="62"/>
        <v>40000</v>
      </c>
    </row>
    <row r="195" spans="1:7" x14ac:dyDescent="0.25">
      <c r="A195" s="59">
        <v>490</v>
      </c>
      <c r="B195" s="62" t="s">
        <v>169</v>
      </c>
      <c r="C195" s="7">
        <v>15500</v>
      </c>
      <c r="D195" s="7"/>
      <c r="E195" s="7"/>
      <c r="F195" s="7"/>
      <c r="G195" s="61">
        <f t="shared" si="62"/>
        <v>15500</v>
      </c>
    </row>
    <row r="196" spans="1:7" x14ac:dyDescent="0.25">
      <c r="A196" s="59">
        <v>422</v>
      </c>
      <c r="B196" s="62" t="s">
        <v>170</v>
      </c>
      <c r="C196" s="11">
        <f>16560*13</f>
        <v>215280</v>
      </c>
      <c r="D196" s="11"/>
      <c r="E196" s="11"/>
      <c r="F196" s="11"/>
      <c r="G196" s="61">
        <f t="shared" si="62"/>
        <v>215280</v>
      </c>
    </row>
    <row r="197" spans="1:7" x14ac:dyDescent="0.25">
      <c r="A197" s="59">
        <v>610</v>
      </c>
      <c r="B197" s="62" t="s">
        <v>171</v>
      </c>
      <c r="C197" s="15">
        <f>30*C19</f>
        <v>63030</v>
      </c>
      <c r="D197" s="7"/>
      <c r="E197" s="7"/>
      <c r="F197" s="7"/>
      <c r="G197" s="61">
        <f t="shared" si="62"/>
        <v>63030</v>
      </c>
    </row>
    <row r="198" spans="1:7" x14ac:dyDescent="0.25">
      <c r="A198" s="59" t="s">
        <v>172</v>
      </c>
      <c r="B198" s="62" t="s">
        <v>173</v>
      </c>
      <c r="C198" s="7">
        <v>100000</v>
      </c>
      <c r="D198" s="7"/>
      <c r="E198" s="7"/>
      <c r="F198" s="7">
        <v>0</v>
      </c>
      <c r="G198" s="61">
        <f t="shared" si="62"/>
        <v>100000</v>
      </c>
    </row>
    <row r="199" spans="1:7" x14ac:dyDescent="0.25">
      <c r="A199" s="59">
        <v>420</v>
      </c>
      <c r="B199" s="62" t="s">
        <v>174</v>
      </c>
      <c r="C199" s="7">
        <f>(1200*12)+12000</f>
        <v>26400</v>
      </c>
      <c r="D199" s="11"/>
      <c r="E199" s="11"/>
      <c r="F199" s="11"/>
      <c r="G199" s="61">
        <f t="shared" si="62"/>
        <v>26400</v>
      </c>
    </row>
    <row r="200" spans="1:7" x14ac:dyDescent="0.25">
      <c r="A200" s="59">
        <v>420</v>
      </c>
      <c r="B200" s="62" t="s">
        <v>175</v>
      </c>
      <c r="C200" s="7"/>
      <c r="D200" s="7"/>
      <c r="E200" s="7"/>
      <c r="F200" s="7"/>
      <c r="G200" s="61">
        <f t="shared" si="62"/>
        <v>0</v>
      </c>
    </row>
    <row r="201" spans="1:7" ht="15.75" thickBot="1" x14ac:dyDescent="0.3">
      <c r="A201" s="63">
        <v>431</v>
      </c>
      <c r="B201" s="62" t="s">
        <v>176</v>
      </c>
      <c r="C201" s="37">
        <f>(2750*12)+4500</f>
        <v>37500</v>
      </c>
      <c r="D201" s="86"/>
      <c r="E201" s="86"/>
      <c r="F201" s="86"/>
      <c r="G201" s="61">
        <f t="shared" si="62"/>
        <v>37500</v>
      </c>
    </row>
    <row r="202" spans="1:7" ht="15.75" thickBot="1" x14ac:dyDescent="0.3">
      <c r="A202" s="88"/>
      <c r="B202" s="95" t="s">
        <v>177</v>
      </c>
      <c r="C202" s="90">
        <f>SUM(C191:C201)</f>
        <v>698710</v>
      </c>
      <c r="D202" s="90">
        <f>SUM(D191:D201)</f>
        <v>0</v>
      </c>
      <c r="E202" s="90">
        <f>SUM(E191:E201)</f>
        <v>0</v>
      </c>
      <c r="F202" s="90">
        <f t="shared" ref="F202:G202" si="63">SUM(F191:F201)</f>
        <v>0</v>
      </c>
      <c r="G202" s="90">
        <f t="shared" si="63"/>
        <v>698710</v>
      </c>
    </row>
    <row r="203" spans="1:7" ht="15.75" thickBot="1" x14ac:dyDescent="0.3">
      <c r="A203" s="69"/>
      <c r="B203" s="102"/>
      <c r="C203" s="103"/>
      <c r="D203" s="103"/>
      <c r="E203" s="103"/>
      <c r="F203" s="103"/>
      <c r="G203" s="103"/>
    </row>
    <row r="204" spans="1:7" ht="15.75" thickBot="1" x14ac:dyDescent="0.3">
      <c r="A204" s="69"/>
      <c r="B204" s="95" t="s">
        <v>178</v>
      </c>
      <c r="C204" s="104">
        <f>C137+C149+C164+C173+C178+C189+C202</f>
        <v>11574375.329779709</v>
      </c>
      <c r="D204" s="104">
        <f>D137+D149+D164+D173+D178+D189+D202</f>
        <v>180075.91275000002</v>
      </c>
      <c r="E204" s="104">
        <f>E137+E149+E164+E173+E178+E189+E202</f>
        <v>1831167.1512499999</v>
      </c>
      <c r="F204" s="104">
        <f t="shared" ref="F204" si="64">F137+F149+F164+F173+F178+F189+F202</f>
        <v>421152.53649999993</v>
      </c>
      <c r="G204" s="104">
        <f>G137+G149+G164+G173+G178+G189+G202</f>
        <v>14006770.930279708</v>
      </c>
    </row>
    <row r="205" spans="1:7" x14ac:dyDescent="0.25">
      <c r="A205" s="69"/>
      <c r="B205" s="105"/>
      <c r="C205" s="61"/>
      <c r="D205" s="61"/>
      <c r="E205" s="61"/>
      <c r="F205" s="61"/>
      <c r="G205" s="61"/>
    </row>
    <row r="206" spans="1:7" x14ac:dyDescent="0.25">
      <c r="A206" s="69"/>
      <c r="B206" s="106" t="s">
        <v>179</v>
      </c>
      <c r="C206" s="7">
        <v>0</v>
      </c>
      <c r="D206" s="7"/>
      <c r="E206" s="7"/>
      <c r="F206" s="7"/>
      <c r="G206" s="7">
        <f t="shared" ref="G206:G215" si="65">SUM(C206:F206)</f>
        <v>0</v>
      </c>
    </row>
    <row r="207" spans="1:7" x14ac:dyDescent="0.25">
      <c r="A207" s="69"/>
      <c r="B207" s="106" t="s">
        <v>180</v>
      </c>
      <c r="C207" s="7">
        <v>2405500</v>
      </c>
      <c r="D207" s="7">
        <v>0</v>
      </c>
      <c r="E207" s="7"/>
      <c r="F207" s="7"/>
      <c r="G207" s="7">
        <f t="shared" si="65"/>
        <v>2405500</v>
      </c>
    </row>
    <row r="208" spans="1:7" hidden="1" x14ac:dyDescent="0.25">
      <c r="A208" s="69"/>
      <c r="B208" s="106"/>
      <c r="C208" s="7"/>
      <c r="D208" s="7"/>
      <c r="E208" s="7"/>
      <c r="F208" s="7"/>
      <c r="G208" s="7">
        <f t="shared" si="65"/>
        <v>0</v>
      </c>
    </row>
    <row r="209" spans="1:7" hidden="1" x14ac:dyDescent="0.25">
      <c r="A209" s="69"/>
      <c r="B209" s="106"/>
      <c r="C209" s="7"/>
      <c r="D209" s="7"/>
      <c r="E209" s="7"/>
      <c r="F209" s="7"/>
      <c r="G209" s="7">
        <f t="shared" si="65"/>
        <v>0</v>
      </c>
    </row>
    <row r="210" spans="1:7" hidden="1" x14ac:dyDescent="0.25">
      <c r="A210" s="69"/>
      <c r="B210" s="106"/>
      <c r="C210" s="7"/>
      <c r="D210" s="7"/>
      <c r="E210" s="7"/>
      <c r="F210" s="7"/>
      <c r="G210" s="7">
        <f t="shared" si="65"/>
        <v>0</v>
      </c>
    </row>
    <row r="211" spans="1:7" hidden="1" x14ac:dyDescent="0.25">
      <c r="A211" s="69"/>
      <c r="B211" s="106"/>
      <c r="C211" s="7"/>
      <c r="D211" s="7"/>
      <c r="E211" s="7"/>
      <c r="F211" s="7"/>
      <c r="G211" s="7">
        <f t="shared" si="65"/>
        <v>0</v>
      </c>
    </row>
    <row r="212" spans="1:7" hidden="1" x14ac:dyDescent="0.25">
      <c r="A212" s="69"/>
      <c r="B212" s="106"/>
      <c r="C212" s="7"/>
      <c r="D212" s="7"/>
      <c r="E212" s="7"/>
      <c r="F212" s="7"/>
      <c r="G212" s="7">
        <f t="shared" si="65"/>
        <v>0</v>
      </c>
    </row>
    <row r="213" spans="1:7" hidden="1" x14ac:dyDescent="0.25">
      <c r="A213" s="69"/>
      <c r="B213" s="106" t="s">
        <v>180</v>
      </c>
      <c r="C213" s="7"/>
      <c r="D213" s="7"/>
      <c r="E213" s="7"/>
      <c r="F213" s="7"/>
      <c r="G213" s="7">
        <f t="shared" si="65"/>
        <v>0</v>
      </c>
    </row>
    <row r="214" spans="1:7" hidden="1" x14ac:dyDescent="0.25">
      <c r="A214" s="69"/>
      <c r="B214" s="107" t="s">
        <v>181</v>
      </c>
      <c r="C214" s="7">
        <v>0</v>
      </c>
      <c r="D214" s="7">
        <v>0</v>
      </c>
      <c r="E214" s="7"/>
      <c r="F214" s="7"/>
      <c r="G214" s="7">
        <f t="shared" si="65"/>
        <v>0</v>
      </c>
    </row>
    <row r="215" spans="1:7" x14ac:dyDescent="0.25">
      <c r="A215" s="69"/>
      <c r="B215" s="146"/>
      <c r="C215" s="7"/>
      <c r="D215" s="7"/>
      <c r="E215" s="7"/>
      <c r="F215" s="7"/>
      <c r="G215" s="7">
        <f t="shared" si="65"/>
        <v>0</v>
      </c>
    </row>
    <row r="216" spans="1:7" x14ac:dyDescent="0.25">
      <c r="A216" s="69"/>
      <c r="B216" s="147"/>
      <c r="C216" s="7"/>
      <c r="D216" s="7"/>
      <c r="E216" s="7"/>
      <c r="F216" s="7"/>
      <c r="G216" s="7"/>
    </row>
    <row r="217" spans="1:7" ht="15.75" thickBot="1" x14ac:dyDescent="0.3">
      <c r="A217" s="69"/>
      <c r="B217" s="144" t="s">
        <v>183</v>
      </c>
      <c r="C217" s="145">
        <f>C86-C204-C206-C207-C213-C214</f>
        <v>715366.78652028926</v>
      </c>
      <c r="D217" s="145">
        <f>D86-D204-D206-D207-D213-D214</f>
        <v>29053.457249999978</v>
      </c>
      <c r="E217" s="145">
        <f>E86-E204-E206-E207-E213-E214</f>
        <v>-954012.15124999988</v>
      </c>
      <c r="F217" s="145">
        <f t="shared" ref="F217:G217" si="66">F86-F204-F206-F207-F213-F214</f>
        <v>15987.183499999985</v>
      </c>
      <c r="G217" s="145">
        <f t="shared" si="66"/>
        <v>-193604.72397970967</v>
      </c>
    </row>
    <row r="218" spans="1:7" ht="15.75" thickBot="1" x14ac:dyDescent="0.3">
      <c r="A218" s="69"/>
      <c r="B218" s="108"/>
      <c r="C218" s="110">
        <f>C217/(C86-C76)</f>
        <v>4.8680163338500067E-2</v>
      </c>
      <c r="D218" s="110">
        <f t="shared" ref="D218" si="67">D217/(D86-D76)</f>
        <v>0.1389257627945801</v>
      </c>
      <c r="E218" s="110">
        <f>E217/(E86-E76)</f>
        <v>-1.0876209464119795</v>
      </c>
      <c r="F218" s="110">
        <f>F217/(F86)</f>
        <v>3.6572250858375413E-2</v>
      </c>
      <c r="G218" s="110">
        <f>G217/(G86-G76)</f>
        <v>-1.2267247514336504E-2</v>
      </c>
    </row>
    <row r="219" spans="1:7" x14ac:dyDescent="0.25">
      <c r="A219" s="5"/>
      <c r="C219" s="111"/>
      <c r="D219" s="111"/>
      <c r="E219" s="111"/>
      <c r="F219" s="111"/>
      <c r="G219" s="111"/>
    </row>
    <row r="220" spans="1:7" x14ac:dyDescent="0.25">
      <c r="A220" s="5"/>
      <c r="B220" s="112" t="str">
        <f>B1</f>
        <v xml:space="preserve">Cadence FY 22 </v>
      </c>
      <c r="C220" s="112" t="str">
        <f>C1</f>
        <v>Operating</v>
      </c>
      <c r="D220" s="112" t="str">
        <f>D1</f>
        <v>Weights</v>
      </c>
      <c r="E220" s="112" t="str">
        <f>E1</f>
        <v>SPED</v>
      </c>
      <c r="F220" s="112" t="str">
        <f t="shared" ref="F220:G220" si="68">F1</f>
        <v>NSLP</v>
      </c>
      <c r="G220" s="112" t="str">
        <f t="shared" si="68"/>
        <v>Cadence</v>
      </c>
    </row>
    <row r="221" spans="1:7" x14ac:dyDescent="0.25">
      <c r="A221" s="5"/>
      <c r="C221" s="109"/>
      <c r="D221" s="109"/>
      <c r="E221" s="109"/>
      <c r="F221" s="109"/>
      <c r="G221" s="109"/>
    </row>
    <row r="222" spans="1:7" x14ac:dyDescent="0.25">
      <c r="A222" s="5"/>
      <c r="B222" s="112"/>
      <c r="C222" s="71"/>
      <c r="D222" s="71"/>
      <c r="E222" s="71"/>
      <c r="F222" s="71"/>
      <c r="G222" s="71"/>
    </row>
    <row r="223" spans="1:7" x14ac:dyDescent="0.25">
      <c r="A223" s="4"/>
      <c r="C223" s="109"/>
      <c r="D223" s="109"/>
      <c r="E223" s="109"/>
      <c r="F223" s="109"/>
      <c r="G223" s="109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U138"/>
  <sheetViews>
    <sheetView showGridLines="0" zoomScale="75" zoomScaleNormal="75" zoomScaleSheetLayoutView="100" workbookViewId="0">
      <selection activeCell="H43" sqref="H43"/>
    </sheetView>
  </sheetViews>
  <sheetFormatPr defaultColWidth="8.85546875" defaultRowHeight="12.75" x14ac:dyDescent="0.2"/>
  <cols>
    <col min="1" max="1" width="2.5703125" style="227" customWidth="1"/>
    <col min="2" max="2" width="43.140625" style="227" customWidth="1"/>
    <col min="3" max="8" width="8.85546875" style="227"/>
    <col min="9" max="9" width="2.85546875" style="227" customWidth="1"/>
    <col min="10" max="16384" width="8.85546875" style="227"/>
  </cols>
  <sheetData>
    <row r="1" spans="1:16" ht="15.75" x14ac:dyDescent="0.25">
      <c r="A1" s="259" t="s">
        <v>409</v>
      </c>
      <c r="B1" s="259"/>
      <c r="C1" s="259"/>
    </row>
    <row r="2" spans="1:16" ht="15.75" x14ac:dyDescent="0.25">
      <c r="A2" s="258" t="s">
        <v>277</v>
      </c>
      <c r="B2" s="257"/>
      <c r="C2" s="257"/>
    </row>
    <row r="3" spans="1:16" x14ac:dyDescent="0.2">
      <c r="A3" s="256" t="s">
        <v>394</v>
      </c>
    </row>
    <row r="4" spans="1:16" x14ac:dyDescent="0.2">
      <c r="A4" s="255" t="s">
        <v>395</v>
      </c>
    </row>
    <row r="5" spans="1:16" x14ac:dyDescent="0.2">
      <c r="A5" s="326" t="e">
        <f ca="1">CELL("filename")</f>
        <v>#N/A</v>
      </c>
    </row>
    <row r="6" spans="1:16" x14ac:dyDescent="0.2">
      <c r="A6" s="326"/>
    </row>
    <row r="7" spans="1:16" ht="14.25" x14ac:dyDescent="0.2">
      <c r="A7" s="326"/>
      <c r="B7" s="253" t="s">
        <v>396</v>
      </c>
    </row>
    <row r="8" spans="1:16" x14ac:dyDescent="0.2">
      <c r="A8" s="326"/>
    </row>
    <row r="9" spans="1:16" x14ac:dyDescent="0.2">
      <c r="A9" s="326"/>
    </row>
    <row r="10" spans="1:16" x14ac:dyDescent="0.2">
      <c r="A10" s="326"/>
    </row>
    <row r="11" spans="1:16" x14ac:dyDescent="0.2">
      <c r="A11" s="236"/>
      <c r="B11" s="236"/>
      <c r="C11" s="325" t="s">
        <v>410</v>
      </c>
      <c r="D11" s="324"/>
      <c r="E11" s="324"/>
      <c r="F11" s="324"/>
      <c r="G11" s="324"/>
      <c r="H11" s="323"/>
      <c r="I11" s="236"/>
      <c r="J11" s="236"/>
      <c r="K11" s="236"/>
      <c r="L11" s="236"/>
      <c r="M11" s="236"/>
      <c r="N11" s="236"/>
      <c r="O11" s="236"/>
      <c r="P11" s="236"/>
    </row>
    <row r="12" spans="1:16" x14ac:dyDescent="0.2">
      <c r="A12" s="236"/>
      <c r="B12" s="322" t="s">
        <v>411</v>
      </c>
      <c r="C12" s="321">
        <v>2022</v>
      </c>
      <c r="D12" s="320">
        <f>+C13</f>
        <v>2023</v>
      </c>
      <c r="E12" s="320">
        <f>+D13</f>
        <v>2024</v>
      </c>
      <c r="F12" s="320">
        <f>+E13</f>
        <v>2025</v>
      </c>
      <c r="G12" s="320">
        <f>+F13</f>
        <v>2026</v>
      </c>
      <c r="H12" s="319">
        <f>+G13</f>
        <v>2027</v>
      </c>
      <c r="I12" s="236"/>
      <c r="J12" s="236"/>
      <c r="K12" s="236"/>
      <c r="L12" s="236"/>
      <c r="M12" s="236"/>
      <c r="N12" s="236"/>
      <c r="O12" s="236"/>
      <c r="P12" s="236"/>
    </row>
    <row r="13" spans="1:16" x14ac:dyDescent="0.2">
      <c r="A13" s="236"/>
      <c r="B13" s="236"/>
      <c r="C13" s="318">
        <f t="shared" ref="C13:H13" si="0">+C12+1</f>
        <v>2023</v>
      </c>
      <c r="D13" s="317">
        <f t="shared" si="0"/>
        <v>2024</v>
      </c>
      <c r="E13" s="317">
        <f t="shared" si="0"/>
        <v>2025</v>
      </c>
      <c r="F13" s="317">
        <f t="shared" si="0"/>
        <v>2026</v>
      </c>
      <c r="G13" s="317">
        <f t="shared" si="0"/>
        <v>2027</v>
      </c>
      <c r="H13" s="316">
        <f t="shared" si="0"/>
        <v>2028</v>
      </c>
      <c r="I13" s="236"/>
      <c r="J13" s="236"/>
      <c r="K13" s="236"/>
      <c r="L13" s="236"/>
      <c r="M13" s="236"/>
      <c r="N13" s="236"/>
      <c r="O13" s="236"/>
      <c r="P13" s="236"/>
    </row>
    <row r="14" spans="1:16" ht="15" x14ac:dyDescent="0.25">
      <c r="A14" s="236"/>
      <c r="B14" s="312" t="s">
        <v>412</v>
      </c>
      <c r="K14" s="236"/>
      <c r="L14" s="236"/>
      <c r="M14" s="236"/>
      <c r="N14" s="236"/>
      <c r="O14" s="236"/>
      <c r="P14" s="236"/>
    </row>
    <row r="15" spans="1:16" ht="14.25" x14ac:dyDescent="0.2">
      <c r="A15" s="236"/>
      <c r="B15" s="404" t="s">
        <v>413</v>
      </c>
      <c r="C15" s="405"/>
      <c r="D15" s="405"/>
      <c r="E15" s="405"/>
      <c r="F15" s="405"/>
      <c r="G15" s="405"/>
      <c r="H15" s="406"/>
      <c r="K15" s="236"/>
      <c r="L15" s="236"/>
      <c r="M15" s="236"/>
      <c r="N15" s="236"/>
      <c r="O15" s="236"/>
      <c r="P15" s="236"/>
    </row>
    <row r="16" spans="1:16" ht="15" x14ac:dyDescent="0.2">
      <c r="A16" s="236"/>
      <c r="B16" s="303" t="s">
        <v>414</v>
      </c>
      <c r="C16" s="302">
        <v>1</v>
      </c>
      <c r="D16" s="302">
        <v>1</v>
      </c>
      <c r="E16" s="302">
        <v>1</v>
      </c>
      <c r="F16" s="302">
        <v>1</v>
      </c>
      <c r="G16" s="302">
        <v>1</v>
      </c>
      <c r="H16" s="302">
        <v>1</v>
      </c>
      <c r="K16" s="236"/>
      <c r="L16" s="236"/>
      <c r="M16" s="236"/>
      <c r="N16" s="236"/>
      <c r="O16" s="236"/>
      <c r="P16" s="236"/>
    </row>
    <row r="17" spans="1:16" ht="15" x14ac:dyDescent="0.2">
      <c r="A17" s="236"/>
      <c r="B17" s="234" t="s">
        <v>415</v>
      </c>
      <c r="C17" s="302">
        <v>1</v>
      </c>
      <c r="D17" s="302">
        <v>1</v>
      </c>
      <c r="E17" s="302">
        <v>1</v>
      </c>
      <c r="F17" s="302">
        <v>1</v>
      </c>
      <c r="G17" s="302">
        <v>1</v>
      </c>
      <c r="H17" s="302">
        <v>1</v>
      </c>
      <c r="K17" s="236"/>
      <c r="L17" s="236"/>
      <c r="M17" s="236"/>
      <c r="N17" s="236"/>
      <c r="O17" s="236"/>
      <c r="P17" s="236"/>
    </row>
    <row r="18" spans="1:16" ht="15" x14ac:dyDescent="0.2">
      <c r="A18" s="236"/>
      <c r="B18" s="234" t="s">
        <v>416</v>
      </c>
      <c r="C18" s="302">
        <v>1</v>
      </c>
      <c r="D18" s="302">
        <v>1</v>
      </c>
      <c r="E18" s="302">
        <v>1</v>
      </c>
      <c r="F18" s="302">
        <v>1</v>
      </c>
      <c r="G18" s="302">
        <v>1</v>
      </c>
      <c r="H18" s="302">
        <v>1</v>
      </c>
      <c r="K18" s="236"/>
      <c r="L18" s="236"/>
      <c r="M18" s="236"/>
      <c r="N18" s="236"/>
      <c r="O18" s="236"/>
      <c r="P18" s="236"/>
    </row>
    <row r="19" spans="1:16" ht="15" x14ac:dyDescent="0.2">
      <c r="A19" s="236"/>
      <c r="B19" s="234" t="s">
        <v>417</v>
      </c>
      <c r="C19" s="302">
        <v>1</v>
      </c>
      <c r="D19" s="302">
        <v>1</v>
      </c>
      <c r="E19" s="302">
        <v>1</v>
      </c>
      <c r="F19" s="302">
        <v>1</v>
      </c>
      <c r="G19" s="302">
        <v>1</v>
      </c>
      <c r="H19" s="302">
        <v>1</v>
      </c>
      <c r="K19" s="236"/>
      <c r="L19" s="236"/>
      <c r="M19" s="236"/>
      <c r="N19" s="236"/>
      <c r="O19" s="236"/>
      <c r="P19" s="236"/>
    </row>
    <row r="20" spans="1:16" ht="15" x14ac:dyDescent="0.2">
      <c r="A20" s="236"/>
      <c r="B20" s="234" t="s">
        <v>418</v>
      </c>
      <c r="C20" s="302">
        <v>1</v>
      </c>
      <c r="D20" s="302">
        <v>1</v>
      </c>
      <c r="E20" s="302">
        <v>1</v>
      </c>
      <c r="F20" s="302">
        <v>1</v>
      </c>
      <c r="G20" s="302">
        <v>1</v>
      </c>
      <c r="H20" s="302">
        <v>1</v>
      </c>
      <c r="K20" s="236"/>
      <c r="L20" s="236"/>
      <c r="M20" s="236"/>
      <c r="N20" s="236"/>
      <c r="O20" s="236"/>
      <c r="P20" s="236"/>
    </row>
    <row r="21" spans="1:16" ht="15" x14ac:dyDescent="0.2">
      <c r="A21" s="236"/>
      <c r="B21" s="234" t="s">
        <v>419</v>
      </c>
      <c r="C21" s="302">
        <v>1</v>
      </c>
      <c r="D21" s="302">
        <v>1</v>
      </c>
      <c r="E21" s="302">
        <v>1</v>
      </c>
      <c r="F21" s="302">
        <v>1</v>
      </c>
      <c r="G21" s="302">
        <v>1</v>
      </c>
      <c r="H21" s="302">
        <v>1</v>
      </c>
      <c r="K21" s="236"/>
      <c r="L21" s="236"/>
      <c r="M21" s="236"/>
      <c r="N21" s="236"/>
      <c r="O21" s="236"/>
      <c r="P21" s="236"/>
    </row>
    <row r="22" spans="1:16" ht="30" x14ac:dyDescent="0.2">
      <c r="A22" s="236"/>
      <c r="B22" s="234" t="s">
        <v>420</v>
      </c>
      <c r="C22" s="389">
        <v>2</v>
      </c>
      <c r="D22" s="389">
        <v>2</v>
      </c>
      <c r="E22" s="389">
        <v>2</v>
      </c>
      <c r="F22" s="389">
        <v>2</v>
      </c>
      <c r="G22" s="389">
        <v>2</v>
      </c>
      <c r="H22" s="389">
        <v>2</v>
      </c>
      <c r="K22" s="236"/>
      <c r="L22" s="236"/>
      <c r="M22" s="236"/>
      <c r="N22" s="236"/>
      <c r="O22" s="236"/>
      <c r="P22" s="236"/>
    </row>
    <row r="23" spans="1:16" ht="30" x14ac:dyDescent="0.2">
      <c r="A23" s="236"/>
      <c r="B23" s="233" t="s">
        <v>421</v>
      </c>
      <c r="C23" s="302">
        <v>1</v>
      </c>
      <c r="D23" s="302">
        <v>1</v>
      </c>
      <c r="E23" s="302">
        <v>1</v>
      </c>
      <c r="F23" s="302">
        <v>1</v>
      </c>
      <c r="G23" s="302">
        <v>1</v>
      </c>
      <c r="H23" s="302">
        <v>1</v>
      </c>
      <c r="K23" s="236"/>
      <c r="L23" s="236"/>
      <c r="M23" s="236"/>
      <c r="N23" s="236"/>
      <c r="O23" s="236"/>
      <c r="P23" s="236"/>
    </row>
    <row r="24" spans="1:16" ht="14.25" x14ac:dyDescent="0.2">
      <c r="A24" s="236"/>
      <c r="B24" s="307" t="s">
        <v>422</v>
      </c>
      <c r="C24" s="315">
        <f t="shared" ref="C24:H24" si="1">SUM(C16:C23)</f>
        <v>9</v>
      </c>
      <c r="D24" s="315">
        <f t="shared" si="1"/>
        <v>9</v>
      </c>
      <c r="E24" s="315">
        <f t="shared" si="1"/>
        <v>9</v>
      </c>
      <c r="F24" s="315">
        <f t="shared" si="1"/>
        <v>9</v>
      </c>
      <c r="G24" s="315">
        <f t="shared" si="1"/>
        <v>9</v>
      </c>
      <c r="H24" s="315">
        <f t="shared" si="1"/>
        <v>9</v>
      </c>
      <c r="K24" s="236"/>
      <c r="L24" s="236"/>
      <c r="M24" s="236"/>
      <c r="N24" s="236"/>
      <c r="O24" s="236"/>
      <c r="P24" s="236"/>
    </row>
    <row r="25" spans="1:16" ht="14.25" x14ac:dyDescent="0.2">
      <c r="A25" s="236"/>
      <c r="B25" s="294"/>
      <c r="C25" s="314"/>
      <c r="D25" s="314"/>
      <c r="E25" s="314"/>
      <c r="F25" s="314"/>
      <c r="G25" s="314"/>
      <c r="H25" s="314"/>
      <c r="K25" s="236"/>
      <c r="L25" s="236"/>
      <c r="M25" s="236"/>
      <c r="N25" s="236"/>
      <c r="O25" s="236"/>
      <c r="P25" s="236"/>
    </row>
    <row r="26" spans="1:16" ht="14.25" x14ac:dyDescent="0.2">
      <c r="A26" s="236"/>
      <c r="B26" s="404" t="s">
        <v>423</v>
      </c>
      <c r="C26" s="405"/>
      <c r="D26" s="405"/>
      <c r="E26" s="405"/>
      <c r="F26" s="405"/>
      <c r="G26" s="405"/>
      <c r="H26" s="406"/>
      <c r="K26" s="236"/>
      <c r="L26" s="236"/>
      <c r="M26" s="236"/>
      <c r="N26" s="236"/>
      <c r="O26" s="236"/>
      <c r="P26" s="236"/>
    </row>
    <row r="27" spans="1:16" ht="15" x14ac:dyDescent="0.2">
      <c r="A27" s="236"/>
      <c r="B27" s="234" t="s">
        <v>424</v>
      </c>
      <c r="C27" s="389">
        <f>'6-Year - Springs (new campus)'!B42</f>
        <v>0</v>
      </c>
      <c r="D27" s="389">
        <f>'6-Year - Springs (new campus)'!C42</f>
        <v>1</v>
      </c>
      <c r="E27" s="389">
        <f>'6-Year - Springs (new campus)'!D42</f>
        <v>1</v>
      </c>
      <c r="F27" s="389">
        <f>'6-Year - Springs (new campus)'!E42</f>
        <v>1</v>
      </c>
      <c r="G27" s="389">
        <f>'6-Year - Springs (new campus)'!F42</f>
        <v>1</v>
      </c>
      <c r="H27" s="389">
        <f>'6-Year - Springs (new campus)'!G42</f>
        <v>1</v>
      </c>
      <c r="K27" s="236"/>
      <c r="L27" s="236"/>
      <c r="M27" s="236"/>
      <c r="N27" s="236"/>
      <c r="O27" s="236"/>
      <c r="P27" s="236"/>
    </row>
    <row r="28" spans="1:16" ht="15" x14ac:dyDescent="0.2">
      <c r="A28" s="236"/>
      <c r="B28" s="234" t="s">
        <v>425</v>
      </c>
      <c r="C28" s="389">
        <f>'6-Year - Springs (new campus)'!B43</f>
        <v>0</v>
      </c>
      <c r="D28" s="389">
        <f>'6-Year - Springs (new campus)'!C43</f>
        <v>1</v>
      </c>
      <c r="E28" s="389">
        <f>'6-Year - Springs (new campus)'!D43</f>
        <v>2</v>
      </c>
      <c r="F28" s="389">
        <f>'6-Year - Springs (new campus)'!E43</f>
        <v>2</v>
      </c>
      <c r="G28" s="389">
        <f>'6-Year - Springs (new campus)'!F43</f>
        <v>3</v>
      </c>
      <c r="H28" s="389">
        <f>'6-Year - Springs (new campus)'!G43</f>
        <v>3</v>
      </c>
      <c r="K28" s="236"/>
      <c r="L28" s="236"/>
      <c r="M28" s="236"/>
      <c r="N28" s="236"/>
      <c r="O28" s="236"/>
      <c r="P28" s="236"/>
    </row>
    <row r="29" spans="1:16" ht="13.35" customHeight="1" x14ac:dyDescent="0.2">
      <c r="A29" s="236"/>
      <c r="B29" s="401" t="s">
        <v>426</v>
      </c>
      <c r="C29" s="403">
        <f>'6-Year - Springs (new campus)'!B45</f>
        <v>0</v>
      </c>
      <c r="D29" s="403">
        <f>'6-Year - Springs (new campus)'!C45</f>
        <v>0</v>
      </c>
      <c r="E29" s="403">
        <f>'6-Year - Springs (new campus)'!D45</f>
        <v>0</v>
      </c>
      <c r="F29" s="403">
        <f>'6-Year - Springs (new campus)'!E45</f>
        <v>1</v>
      </c>
      <c r="G29" s="403">
        <f>'6-Year - Springs (new campus)'!F45</f>
        <v>1</v>
      </c>
      <c r="H29" s="403">
        <f>'6-Year - Springs (new campus)'!G45</f>
        <v>1</v>
      </c>
      <c r="K29" s="236"/>
      <c r="L29" s="236"/>
      <c r="M29" s="236"/>
      <c r="N29" s="236"/>
      <c r="O29" s="236"/>
      <c r="P29" s="236"/>
    </row>
    <row r="30" spans="1:16" ht="13.35" customHeight="1" x14ac:dyDescent="0.2">
      <c r="A30" s="236"/>
      <c r="B30" s="402"/>
      <c r="C30" s="403"/>
      <c r="D30" s="403"/>
      <c r="E30" s="403"/>
      <c r="F30" s="403"/>
      <c r="G30" s="403"/>
      <c r="H30" s="403"/>
      <c r="K30" s="236"/>
      <c r="L30" s="236"/>
      <c r="M30" s="236"/>
      <c r="N30" s="236"/>
      <c r="O30" s="236"/>
      <c r="P30" s="236"/>
    </row>
    <row r="31" spans="1:16" ht="13.35" customHeight="1" x14ac:dyDescent="0.2">
      <c r="A31" s="236"/>
      <c r="B31" s="401" t="s">
        <v>427</v>
      </c>
      <c r="C31" s="403">
        <f>'6-Year - Springs (new campus)'!B44+'6-Year - Springs (new campus)'!B46</f>
        <v>0</v>
      </c>
      <c r="D31" s="403">
        <f>'6-Year - Springs (new campus)'!C44+'6-Year - Springs (new campus)'!C46</f>
        <v>1</v>
      </c>
      <c r="E31" s="403">
        <f>'6-Year - Springs (new campus)'!D44+'6-Year - Springs (new campus)'!D46</f>
        <v>1</v>
      </c>
      <c r="F31" s="403">
        <f>'6-Year - Springs (new campus)'!E44+'6-Year - Springs (new campus)'!E46</f>
        <v>1.5</v>
      </c>
      <c r="G31" s="403">
        <f>'6-Year - Springs (new campus)'!F44+'6-Year - Springs (new campus)'!F46</f>
        <v>2.5</v>
      </c>
      <c r="H31" s="403">
        <f>'6-Year - Springs (new campus)'!G44+'6-Year - Springs (new campus)'!G46</f>
        <v>3</v>
      </c>
      <c r="K31" s="236"/>
      <c r="L31" s="236"/>
      <c r="M31" s="236"/>
      <c r="N31" s="236"/>
      <c r="O31" s="236"/>
      <c r="P31" s="236"/>
    </row>
    <row r="32" spans="1:16" ht="13.35" customHeight="1" x14ac:dyDescent="0.2">
      <c r="A32" s="236"/>
      <c r="B32" s="402"/>
      <c r="C32" s="403"/>
      <c r="D32" s="403"/>
      <c r="E32" s="403"/>
      <c r="F32" s="403"/>
      <c r="G32" s="403"/>
      <c r="H32" s="403"/>
      <c r="K32" s="236"/>
      <c r="L32" s="236"/>
      <c r="M32" s="236"/>
      <c r="N32" s="236"/>
      <c r="O32" s="236"/>
      <c r="P32" s="236"/>
    </row>
    <row r="33" spans="1:16" ht="13.35" customHeight="1" x14ac:dyDescent="0.2">
      <c r="A33" s="236"/>
      <c r="B33" s="401" t="s">
        <v>428</v>
      </c>
      <c r="C33" s="403">
        <f>'6-Year - Springs (new campus)'!B55</f>
        <v>0</v>
      </c>
      <c r="D33" s="403">
        <f>'6-Year - Springs (new campus)'!C55</f>
        <v>0</v>
      </c>
      <c r="E33" s="403">
        <f>'6-Year - Springs (new campus)'!D55</f>
        <v>0</v>
      </c>
      <c r="F33" s="403">
        <f>'6-Year - Springs (new campus)'!E55</f>
        <v>0</v>
      </c>
      <c r="G33" s="403">
        <f>'6-Year - Springs (new campus)'!F55</f>
        <v>0</v>
      </c>
      <c r="H33" s="403">
        <f>'6-Year - Springs (new campus)'!G55</f>
        <v>0</v>
      </c>
      <c r="K33" s="236"/>
      <c r="L33" s="236"/>
      <c r="M33" s="236"/>
      <c r="N33" s="236"/>
      <c r="O33" s="236"/>
      <c r="P33" s="236"/>
    </row>
    <row r="34" spans="1:16" ht="13.35" customHeight="1" x14ac:dyDescent="0.2">
      <c r="A34" s="236"/>
      <c r="B34" s="402"/>
      <c r="C34" s="403"/>
      <c r="D34" s="403"/>
      <c r="E34" s="403"/>
      <c r="F34" s="403"/>
      <c r="G34" s="403"/>
      <c r="H34" s="403"/>
      <c r="K34" s="236"/>
      <c r="L34" s="236"/>
      <c r="M34" s="236"/>
      <c r="N34" s="236"/>
      <c r="O34" s="236"/>
      <c r="P34" s="236"/>
    </row>
    <row r="35" spans="1:16" ht="15" x14ac:dyDescent="0.2">
      <c r="A35" s="236"/>
      <c r="B35" s="234" t="s">
        <v>429</v>
      </c>
      <c r="C35" s="389">
        <f>'6-Year - Springs (new campus)'!B29</f>
        <v>0</v>
      </c>
      <c r="D35" s="389">
        <f>'6-Year - Springs (new campus)'!C29</f>
        <v>25</v>
      </c>
      <c r="E35" s="389">
        <f>'6-Year - Springs (new campus)'!D29</f>
        <v>31</v>
      </c>
      <c r="F35" s="389">
        <f>'6-Year - Springs (new campus)'!E29</f>
        <v>36</v>
      </c>
      <c r="G35" s="389">
        <f>'6-Year - Springs (new campus)'!F29</f>
        <v>40</v>
      </c>
      <c r="H35" s="389">
        <f>'6-Year - Springs (new campus)'!G29</f>
        <v>44</v>
      </c>
      <c r="K35" s="236"/>
      <c r="L35" s="236"/>
      <c r="M35" s="236"/>
      <c r="N35" s="236"/>
      <c r="O35" s="236"/>
      <c r="P35" s="236"/>
    </row>
    <row r="36" spans="1:16" ht="15" x14ac:dyDescent="0.2">
      <c r="A36" s="236"/>
      <c r="B36" s="234" t="s">
        <v>383</v>
      </c>
      <c r="C36" s="389">
        <f>SUM('6-Year - Springs (new campus)'!B31:B38)</f>
        <v>0</v>
      </c>
      <c r="D36" s="389">
        <f>SUM('6-Year - Springs (new campus)'!C31:C38)</f>
        <v>3</v>
      </c>
      <c r="E36" s="389">
        <f>SUM('6-Year - Springs (new campus)'!D31:D38)+'6-Year - Springs (new campus)'!D60</f>
        <v>3.5</v>
      </c>
      <c r="F36" s="389">
        <f>SUM('6-Year - Springs (new campus)'!E31:E38)+'6-Year - Springs (new campus)'!E60</f>
        <v>5.5</v>
      </c>
      <c r="G36" s="389">
        <f>SUM('6-Year - Springs (new campus)'!F31:F38)+'6-Year - Springs (new campus)'!F60</f>
        <v>6</v>
      </c>
      <c r="H36" s="389">
        <f>SUM('6-Year - Springs (new campus)'!G31:G38)+'6-Year - Springs (new campus)'!G60</f>
        <v>7</v>
      </c>
      <c r="K36" s="236"/>
      <c r="L36" s="236"/>
      <c r="M36" s="236"/>
      <c r="N36" s="236"/>
      <c r="O36" s="236"/>
      <c r="P36" s="236"/>
    </row>
    <row r="37" spans="1:16" ht="15" x14ac:dyDescent="0.2">
      <c r="A37" s="236"/>
      <c r="B37" s="234" t="s">
        <v>384</v>
      </c>
      <c r="C37" s="389">
        <f>'6-Year - Springs (new campus)'!B30</f>
        <v>0</v>
      </c>
      <c r="D37" s="389">
        <f>'6-Year - Springs (new campus)'!C30</f>
        <v>3</v>
      </c>
      <c r="E37" s="389">
        <f>'6-Year - Springs (new campus)'!D30</f>
        <v>3.5</v>
      </c>
      <c r="F37" s="389">
        <f>'6-Year - Springs (new campus)'!E30</f>
        <v>4</v>
      </c>
      <c r="G37" s="389">
        <f>'6-Year - Springs (new campus)'!F30</f>
        <v>5</v>
      </c>
      <c r="H37" s="389">
        <f>'6-Year - Springs (new campus)'!G30</f>
        <v>5.5</v>
      </c>
      <c r="K37" s="236"/>
      <c r="L37" s="236"/>
      <c r="M37" s="236"/>
      <c r="N37" s="236"/>
      <c r="O37" s="236"/>
      <c r="P37" s="236"/>
    </row>
    <row r="38" spans="1:16" ht="15" x14ac:dyDescent="0.2">
      <c r="A38" s="236"/>
      <c r="B38" s="234" t="s">
        <v>245</v>
      </c>
      <c r="C38" s="389">
        <f>0</f>
        <v>0</v>
      </c>
      <c r="D38" s="389">
        <v>0</v>
      </c>
      <c r="E38" s="389">
        <v>0</v>
      </c>
      <c r="F38" s="389">
        <v>0</v>
      </c>
      <c r="G38" s="389">
        <v>0</v>
      </c>
      <c r="H38" s="389">
        <v>0</v>
      </c>
      <c r="K38" s="236"/>
      <c r="L38" s="236"/>
      <c r="M38" s="236"/>
      <c r="N38" s="236"/>
      <c r="O38" s="236"/>
      <c r="P38" s="236"/>
    </row>
    <row r="39" spans="1:16" ht="15" x14ac:dyDescent="0.2">
      <c r="A39" s="236"/>
      <c r="B39" s="234" t="s">
        <v>58</v>
      </c>
      <c r="C39" s="389">
        <v>0</v>
      </c>
      <c r="D39" s="389">
        <v>0</v>
      </c>
      <c r="E39" s="389">
        <v>0</v>
      </c>
      <c r="F39" s="389">
        <v>0</v>
      </c>
      <c r="G39" s="389">
        <v>0</v>
      </c>
      <c r="H39" s="389">
        <v>0</v>
      </c>
      <c r="K39" s="236"/>
      <c r="L39" s="236"/>
      <c r="M39" s="236"/>
      <c r="N39" s="236"/>
      <c r="O39" s="236"/>
      <c r="P39" s="236"/>
    </row>
    <row r="40" spans="1:16" ht="15" x14ac:dyDescent="0.2">
      <c r="A40" s="236"/>
      <c r="B40" s="234" t="s">
        <v>46</v>
      </c>
      <c r="C40" s="389">
        <f>'6-Year - Springs (new campus)'!B47</f>
        <v>0</v>
      </c>
      <c r="D40" s="389">
        <f>'6-Year - Springs (new campus)'!C47</f>
        <v>1</v>
      </c>
      <c r="E40" s="389">
        <f>'6-Year - Springs (new campus)'!D47</f>
        <v>1</v>
      </c>
      <c r="F40" s="389">
        <f>'6-Year - Springs (new campus)'!E47</f>
        <v>1</v>
      </c>
      <c r="G40" s="389">
        <f>'6-Year - Springs (new campus)'!F47</f>
        <v>1</v>
      </c>
      <c r="H40" s="389">
        <f>'6-Year - Springs (new campus)'!G47</f>
        <v>1</v>
      </c>
      <c r="K40" s="236"/>
      <c r="L40" s="236"/>
      <c r="M40" s="236"/>
      <c r="N40" s="236"/>
      <c r="O40" s="236"/>
      <c r="P40" s="236"/>
    </row>
    <row r="41" spans="1:16" ht="15" x14ac:dyDescent="0.2">
      <c r="A41" s="236"/>
      <c r="B41" s="234" t="s">
        <v>47</v>
      </c>
      <c r="C41" s="389">
        <f>'6-Year - Springs (new campus)'!B48</f>
        <v>0</v>
      </c>
      <c r="D41" s="389">
        <f>'6-Year - Springs (new campus)'!C48</f>
        <v>0</v>
      </c>
      <c r="E41" s="389">
        <f>'6-Year - Springs (new campus)'!D48</f>
        <v>1</v>
      </c>
      <c r="F41" s="389">
        <f>'6-Year - Springs (new campus)'!E48</f>
        <v>1</v>
      </c>
      <c r="G41" s="389">
        <f>'6-Year - Springs (new campus)'!F48</f>
        <v>1</v>
      </c>
      <c r="H41" s="389">
        <f>'6-Year - Springs (new campus)'!G48</f>
        <v>1</v>
      </c>
      <c r="K41" s="236"/>
      <c r="L41" s="236"/>
      <c r="M41" s="236"/>
      <c r="N41" s="236"/>
      <c r="O41" s="236"/>
      <c r="P41" s="236"/>
    </row>
    <row r="42" spans="1:16" ht="15" x14ac:dyDescent="0.2">
      <c r="A42" s="236"/>
      <c r="B42" s="234" t="s">
        <v>430</v>
      </c>
      <c r="C42" s="389">
        <f>'6-Year - Springs (new campus)'!B49+'6-Year - Springs (new campus)'!B50</f>
        <v>0</v>
      </c>
      <c r="D42" s="389">
        <f>'6-Year - Springs (new campus)'!C49+'6-Year - Springs (new campus)'!C50</f>
        <v>1</v>
      </c>
      <c r="E42" s="389">
        <f>'6-Year - Springs (new campus)'!D49+'6-Year - Springs (new campus)'!D50</f>
        <v>2</v>
      </c>
      <c r="F42" s="389">
        <f>'6-Year - Springs (new campus)'!E49+'6-Year - Springs (new campus)'!E50</f>
        <v>2</v>
      </c>
      <c r="G42" s="389">
        <f>'6-Year - Springs (new campus)'!F49+'6-Year - Springs (new campus)'!F50</f>
        <v>2</v>
      </c>
      <c r="H42" s="389">
        <f>'6-Year - Springs (new campus)'!G49+'6-Year - Springs (new campus)'!G50</f>
        <v>2</v>
      </c>
      <c r="K42" s="236"/>
      <c r="L42" s="236"/>
      <c r="M42" s="236"/>
      <c r="N42" s="236"/>
      <c r="O42" s="236"/>
      <c r="P42" s="236"/>
    </row>
    <row r="43" spans="1:16" ht="15" x14ac:dyDescent="0.2">
      <c r="A43" s="236"/>
      <c r="B43" s="234" t="s">
        <v>431</v>
      </c>
      <c r="C43" s="389">
        <f>'6-Year - Springs (new campus)'!B51</f>
        <v>0</v>
      </c>
      <c r="D43" s="389">
        <f>'6-Year - Springs (new campus)'!C51</f>
        <v>1</v>
      </c>
      <c r="E43" s="389">
        <f>'6-Year - Springs (new campus)'!D51</f>
        <v>5</v>
      </c>
      <c r="F43" s="389">
        <f>'6-Year - Springs (new campus)'!E51</f>
        <v>5</v>
      </c>
      <c r="G43" s="389">
        <f>'6-Year - Springs (new campus)'!F51</f>
        <v>5</v>
      </c>
      <c r="H43" s="389">
        <f>'6-Year - Springs (new campus)'!G51</f>
        <v>5</v>
      </c>
      <c r="K43" s="236"/>
      <c r="L43" s="236"/>
      <c r="M43" s="236"/>
      <c r="N43" s="236"/>
      <c r="O43" s="236"/>
      <c r="P43" s="236"/>
    </row>
    <row r="44" spans="1:16" ht="15" x14ac:dyDescent="0.2">
      <c r="A44" s="236"/>
      <c r="B44" s="233" t="s">
        <v>432</v>
      </c>
      <c r="C44" s="389">
        <f>SUM('6-Year - Springs (new campus)'!B52:B53)</f>
        <v>0</v>
      </c>
      <c r="D44" s="389">
        <f>SUM('6-Year - Springs (new campus)'!C52:C53)</f>
        <v>2</v>
      </c>
      <c r="E44" s="389">
        <f>SUM('6-Year - Springs (new campus)'!D52:D53)</f>
        <v>2</v>
      </c>
      <c r="F44" s="389">
        <f>SUM('6-Year - Springs (new campus)'!E52:E53)</f>
        <v>3</v>
      </c>
      <c r="G44" s="389">
        <f>SUM('6-Year - Springs (new campus)'!F52:F53)</f>
        <v>3</v>
      </c>
      <c r="H44" s="389">
        <f>SUM('6-Year - Springs (new campus)'!G52:G53)</f>
        <v>3</v>
      </c>
      <c r="K44" s="236"/>
      <c r="L44" s="236"/>
      <c r="M44" s="236"/>
      <c r="N44" s="236"/>
      <c r="O44" s="236"/>
      <c r="P44" s="236"/>
    </row>
    <row r="45" spans="1:16" ht="15" x14ac:dyDescent="0.2">
      <c r="A45" s="236"/>
      <c r="B45" s="285" t="s">
        <v>433</v>
      </c>
      <c r="C45" s="284">
        <f t="shared" ref="C45:H45" si="2">SUM(C27:C44)</f>
        <v>0</v>
      </c>
      <c r="D45" s="284">
        <f t="shared" si="2"/>
        <v>39</v>
      </c>
      <c r="E45" s="284">
        <f t="shared" si="2"/>
        <v>53</v>
      </c>
      <c r="F45" s="284">
        <f t="shared" si="2"/>
        <v>63</v>
      </c>
      <c r="G45" s="284">
        <f t="shared" si="2"/>
        <v>70.5</v>
      </c>
      <c r="H45" s="284">
        <f t="shared" si="2"/>
        <v>76.5</v>
      </c>
      <c r="K45" s="236" t="b">
        <f>C45='6-Year - Springs (new campus)'!B66</f>
        <v>1</v>
      </c>
      <c r="L45" s="236" t="b">
        <f>D45='6-Year - Springs (new campus)'!C66</f>
        <v>1</v>
      </c>
      <c r="M45" s="236" t="b">
        <f>E45='6-Year - Springs (new campus)'!D66</f>
        <v>1</v>
      </c>
      <c r="N45" s="236" t="b">
        <f>F45='6-Year - Springs (new campus)'!E66</f>
        <v>1</v>
      </c>
      <c r="O45" s="236" t="b">
        <f>G45='6-Year - Springs (new campus)'!F66</f>
        <v>1</v>
      </c>
      <c r="P45" s="236" t="b">
        <f>H45='6-Year - Springs (new campus)'!G66</f>
        <v>1</v>
      </c>
    </row>
    <row r="46" spans="1:16" ht="15" x14ac:dyDescent="0.2">
      <c r="A46" s="236"/>
      <c r="B46" s="313"/>
      <c r="K46" s="236"/>
      <c r="L46" s="236"/>
      <c r="M46" s="236"/>
      <c r="N46" s="236"/>
      <c r="O46" s="236"/>
      <c r="P46" s="236"/>
    </row>
    <row r="47" spans="1:16" ht="15.75" thickBot="1" x14ac:dyDescent="0.3">
      <c r="A47" s="236"/>
      <c r="B47" s="312" t="s">
        <v>434</v>
      </c>
      <c r="K47" s="236"/>
      <c r="L47" s="236"/>
      <c r="M47" s="236"/>
      <c r="N47" s="236"/>
      <c r="O47" s="236"/>
      <c r="P47" s="236"/>
    </row>
    <row r="48" spans="1:16" ht="16.5" customHeight="1" thickTop="1" thickBot="1" x14ac:dyDescent="0.25">
      <c r="A48" s="236"/>
      <c r="B48" s="311" t="s">
        <v>435</v>
      </c>
      <c r="C48" s="310" t="s">
        <v>436</v>
      </c>
      <c r="D48" s="310" t="s">
        <v>437</v>
      </c>
      <c r="E48" s="310" t="s">
        <v>438</v>
      </c>
      <c r="F48" s="310" t="s">
        <v>439</v>
      </c>
      <c r="G48" s="309" t="s">
        <v>440</v>
      </c>
      <c r="H48" s="309" t="s">
        <v>441</v>
      </c>
      <c r="K48" s="236"/>
      <c r="L48" s="236"/>
      <c r="M48" s="236"/>
      <c r="N48" s="236"/>
      <c r="O48" s="236"/>
      <c r="P48" s="236"/>
    </row>
    <row r="49" spans="1:16" ht="15.75" thickTop="1" x14ac:dyDescent="0.2">
      <c r="A49" s="236"/>
      <c r="B49" s="234" t="s">
        <v>442</v>
      </c>
      <c r="C49" s="389">
        <v>5</v>
      </c>
      <c r="D49" s="389">
        <v>6</v>
      </c>
      <c r="E49" s="389">
        <v>6</v>
      </c>
      <c r="F49" s="389">
        <v>6</v>
      </c>
      <c r="G49" s="389">
        <v>6</v>
      </c>
      <c r="H49" s="389">
        <v>6</v>
      </c>
      <c r="M49" s="236"/>
      <c r="N49" s="236"/>
      <c r="O49" s="236"/>
      <c r="P49" s="236"/>
    </row>
    <row r="50" spans="1:16" ht="15" x14ac:dyDescent="0.2">
      <c r="A50" s="236"/>
      <c r="B50" s="234" t="s">
        <v>443</v>
      </c>
      <c r="C50" s="389">
        <v>6</v>
      </c>
      <c r="D50" s="389">
        <v>7</v>
      </c>
      <c r="E50" s="389">
        <v>7</v>
      </c>
      <c r="F50" s="389">
        <v>7</v>
      </c>
      <c r="G50" s="389">
        <v>7</v>
      </c>
      <c r="H50" s="389">
        <v>7</v>
      </c>
      <c r="M50" s="236"/>
      <c r="N50" s="236"/>
      <c r="O50" s="236"/>
      <c r="P50" s="236"/>
    </row>
    <row r="51" spans="1:16" ht="15" x14ac:dyDescent="0.2">
      <c r="A51" s="236"/>
      <c r="B51" s="233" t="s">
        <v>444</v>
      </c>
      <c r="C51" s="308">
        <v>3</v>
      </c>
      <c r="D51" s="308">
        <v>3</v>
      </c>
      <c r="E51" s="308">
        <v>3</v>
      </c>
      <c r="F51" s="308">
        <v>3</v>
      </c>
      <c r="G51" s="308">
        <v>4</v>
      </c>
      <c r="H51" s="308">
        <v>4</v>
      </c>
      <c r="M51" s="236"/>
      <c r="N51" s="236"/>
      <c r="O51" s="236"/>
      <c r="P51" s="236"/>
    </row>
    <row r="52" spans="1:16" ht="15" x14ac:dyDescent="0.2">
      <c r="A52" s="236"/>
      <c r="B52" s="287" t="s">
        <v>445</v>
      </c>
      <c r="C52" s="286">
        <f t="shared" ref="C52:H52" si="3">SUM(C49:C51)</f>
        <v>14</v>
      </c>
      <c r="D52" s="286">
        <f t="shared" si="3"/>
        <v>16</v>
      </c>
      <c r="E52" s="286">
        <f t="shared" si="3"/>
        <v>16</v>
      </c>
      <c r="F52" s="286">
        <f t="shared" si="3"/>
        <v>16</v>
      </c>
      <c r="G52" s="286">
        <f t="shared" si="3"/>
        <v>17</v>
      </c>
      <c r="H52" s="286">
        <f t="shared" si="3"/>
        <v>17</v>
      </c>
      <c r="M52" s="236"/>
      <c r="N52" s="236"/>
      <c r="O52" s="236"/>
      <c r="P52" s="236"/>
    </row>
    <row r="53" spans="1:16" ht="15" x14ac:dyDescent="0.2">
      <c r="A53" s="236"/>
      <c r="B53" s="307" t="s">
        <v>446</v>
      </c>
      <c r="C53" s="284">
        <f>'6-Year - System'!B19</f>
        <v>7536</v>
      </c>
      <c r="D53" s="284">
        <f>'6-Year - System'!C19</f>
        <v>8615</v>
      </c>
      <c r="E53" s="284">
        <f>'6-Year - System'!D19</f>
        <v>9026</v>
      </c>
      <c r="F53" s="284">
        <f>'6-Year - System'!E19</f>
        <v>9326</v>
      </c>
      <c r="G53" s="284">
        <f>'6-Year - System'!F19</f>
        <v>9520</v>
      </c>
      <c r="H53" s="284">
        <f>'6-Year - System'!G19</f>
        <v>9659</v>
      </c>
      <c r="M53" s="236"/>
      <c r="N53" s="236"/>
      <c r="O53" s="236"/>
      <c r="P53" s="236"/>
    </row>
    <row r="54" spans="1:16" ht="15" x14ac:dyDescent="0.2">
      <c r="A54" s="236"/>
      <c r="B54" s="306"/>
      <c r="C54" s="306"/>
      <c r="D54" s="306"/>
      <c r="E54" s="306"/>
      <c r="F54" s="306"/>
      <c r="G54" s="306"/>
      <c r="H54" s="306"/>
      <c r="M54" s="236"/>
      <c r="N54" s="236"/>
      <c r="O54" s="236"/>
      <c r="P54" s="236"/>
    </row>
    <row r="55" spans="1:16" ht="14.25" x14ac:dyDescent="0.2">
      <c r="A55" s="236"/>
      <c r="B55" s="305" t="s">
        <v>413</v>
      </c>
      <c r="C55" s="301"/>
      <c r="D55" s="301"/>
      <c r="E55" s="301"/>
      <c r="F55" s="301"/>
      <c r="G55" s="301"/>
      <c r="H55" s="304"/>
      <c r="K55" s="236"/>
      <c r="L55" s="236"/>
      <c r="M55" s="236"/>
      <c r="N55" s="236"/>
      <c r="O55" s="236"/>
      <c r="P55" s="236"/>
    </row>
    <row r="56" spans="1:16" ht="15" x14ac:dyDescent="0.2">
      <c r="A56" s="236"/>
      <c r="B56" s="303" t="s">
        <v>414</v>
      </c>
      <c r="C56" s="302">
        <v>1</v>
      </c>
      <c r="D56" s="302">
        <v>1</v>
      </c>
      <c r="E56" s="302">
        <v>1</v>
      </c>
      <c r="F56" s="302">
        <v>1</v>
      </c>
      <c r="G56" s="302">
        <v>1</v>
      </c>
      <c r="H56" s="302">
        <v>1</v>
      </c>
      <c r="K56" s="236"/>
      <c r="L56" s="236"/>
      <c r="M56" s="236"/>
      <c r="N56" s="236"/>
      <c r="O56" s="236"/>
      <c r="P56" s="236"/>
    </row>
    <row r="57" spans="1:16" ht="15" x14ac:dyDescent="0.2">
      <c r="A57" s="236"/>
      <c r="B57" s="234" t="s">
        <v>415</v>
      </c>
      <c r="C57" s="302">
        <v>1</v>
      </c>
      <c r="D57" s="302">
        <v>1</v>
      </c>
      <c r="E57" s="302">
        <v>1</v>
      </c>
      <c r="F57" s="302">
        <v>1</v>
      </c>
      <c r="G57" s="302">
        <v>1</v>
      </c>
      <c r="H57" s="302">
        <v>1</v>
      </c>
      <c r="K57" s="236"/>
      <c r="L57" s="236"/>
      <c r="M57" s="236"/>
      <c r="N57" s="236"/>
      <c r="O57" s="236"/>
      <c r="P57" s="236"/>
    </row>
    <row r="58" spans="1:16" ht="15" x14ac:dyDescent="0.2">
      <c r="A58" s="236"/>
      <c r="B58" s="234" t="s">
        <v>416</v>
      </c>
      <c r="C58" s="302">
        <v>1</v>
      </c>
      <c r="D58" s="302">
        <v>1</v>
      </c>
      <c r="E58" s="302">
        <v>1</v>
      </c>
      <c r="F58" s="302">
        <v>1</v>
      </c>
      <c r="G58" s="302">
        <v>1</v>
      </c>
      <c r="H58" s="302">
        <v>1</v>
      </c>
      <c r="K58" s="236"/>
      <c r="L58" s="236"/>
      <c r="M58" s="236"/>
      <c r="N58" s="236"/>
      <c r="O58" s="236"/>
      <c r="P58" s="236"/>
    </row>
    <row r="59" spans="1:16" ht="15" x14ac:dyDescent="0.2">
      <c r="A59" s="236"/>
      <c r="B59" s="234" t="s">
        <v>417</v>
      </c>
      <c r="C59" s="302">
        <v>1</v>
      </c>
      <c r="D59" s="302">
        <v>1</v>
      </c>
      <c r="E59" s="302">
        <v>1</v>
      </c>
      <c r="F59" s="302">
        <v>1</v>
      </c>
      <c r="G59" s="302">
        <v>1</v>
      </c>
      <c r="H59" s="302">
        <v>1</v>
      </c>
      <c r="K59" s="236"/>
      <c r="L59" s="236"/>
      <c r="M59" s="236"/>
      <c r="N59" s="236"/>
      <c r="O59" s="236"/>
      <c r="P59" s="236"/>
    </row>
    <row r="60" spans="1:16" ht="15" x14ac:dyDescent="0.2">
      <c r="A60" s="236"/>
      <c r="B60" s="234" t="s">
        <v>418</v>
      </c>
      <c r="C60" s="302">
        <v>1</v>
      </c>
      <c r="D60" s="302">
        <v>1</v>
      </c>
      <c r="E60" s="302">
        <v>1</v>
      </c>
      <c r="F60" s="302">
        <v>1</v>
      </c>
      <c r="G60" s="302">
        <v>1</v>
      </c>
      <c r="H60" s="302">
        <v>1</v>
      </c>
      <c r="K60" s="236"/>
      <c r="L60" s="236"/>
      <c r="M60" s="236"/>
      <c r="N60" s="236"/>
      <c r="O60" s="236"/>
      <c r="P60" s="236"/>
    </row>
    <row r="61" spans="1:16" ht="15" x14ac:dyDescent="0.2">
      <c r="A61" s="236"/>
      <c r="B61" s="234" t="s">
        <v>419</v>
      </c>
      <c r="C61" s="302">
        <v>1</v>
      </c>
      <c r="D61" s="302">
        <v>1</v>
      </c>
      <c r="E61" s="302">
        <v>1</v>
      </c>
      <c r="F61" s="302">
        <v>1</v>
      </c>
      <c r="G61" s="302">
        <v>1</v>
      </c>
      <c r="H61" s="302">
        <v>1</v>
      </c>
      <c r="K61" s="236"/>
      <c r="L61" s="236"/>
      <c r="M61" s="236"/>
      <c r="N61" s="236"/>
      <c r="O61" s="236"/>
      <c r="P61" s="236"/>
    </row>
    <row r="62" spans="1:16" ht="30" x14ac:dyDescent="0.2">
      <c r="A62" s="236"/>
      <c r="B62" s="234" t="s">
        <v>420</v>
      </c>
      <c r="C62" s="389">
        <v>2</v>
      </c>
      <c r="D62" s="389">
        <v>2</v>
      </c>
      <c r="E62" s="389">
        <v>2</v>
      </c>
      <c r="F62" s="389">
        <v>2</v>
      </c>
      <c r="G62" s="389">
        <v>2</v>
      </c>
      <c r="H62" s="389">
        <v>2</v>
      </c>
      <c r="K62" s="236"/>
      <c r="L62" s="236"/>
      <c r="M62" s="236"/>
      <c r="N62" s="236"/>
      <c r="O62" s="236"/>
      <c r="P62" s="236"/>
    </row>
    <row r="63" spans="1:16" ht="30" x14ac:dyDescent="0.2">
      <c r="A63" s="236"/>
      <c r="B63" s="233" t="s">
        <v>421</v>
      </c>
      <c r="C63" s="302">
        <v>1</v>
      </c>
      <c r="D63" s="302">
        <v>1</v>
      </c>
      <c r="E63" s="302">
        <v>1</v>
      </c>
      <c r="F63" s="302">
        <v>1</v>
      </c>
      <c r="G63" s="302">
        <v>1</v>
      </c>
      <c r="H63" s="302">
        <v>1</v>
      </c>
      <c r="K63" s="236"/>
      <c r="L63" s="236"/>
      <c r="M63" s="236"/>
      <c r="N63" s="236"/>
      <c r="O63" s="236"/>
      <c r="P63" s="236"/>
    </row>
    <row r="64" spans="1:16" ht="15" x14ac:dyDescent="0.2">
      <c r="A64" s="236"/>
      <c r="B64" s="285" t="s">
        <v>422</v>
      </c>
      <c r="C64" s="284">
        <f t="shared" ref="C64:H64" si="4">SUM(C56:C63)</f>
        <v>9</v>
      </c>
      <c r="D64" s="284">
        <f t="shared" si="4"/>
        <v>9</v>
      </c>
      <c r="E64" s="284">
        <f t="shared" si="4"/>
        <v>9</v>
      </c>
      <c r="F64" s="284">
        <f t="shared" si="4"/>
        <v>9</v>
      </c>
      <c r="G64" s="284">
        <f t="shared" si="4"/>
        <v>9</v>
      </c>
      <c r="H64" s="284">
        <f t="shared" si="4"/>
        <v>9</v>
      </c>
      <c r="K64" s="236"/>
      <c r="L64" s="236"/>
      <c r="M64" s="236"/>
      <c r="N64" s="236"/>
      <c r="O64" s="236"/>
      <c r="P64" s="236"/>
    </row>
    <row r="65" spans="1:21" ht="14.25" x14ac:dyDescent="0.2">
      <c r="A65" s="236"/>
      <c r="B65" s="294"/>
      <c r="C65" s="294"/>
      <c r="D65" s="294"/>
      <c r="E65" s="294"/>
      <c r="F65" s="294"/>
      <c r="G65" s="294"/>
      <c r="H65" s="294"/>
      <c r="K65" s="236"/>
      <c r="L65" s="236"/>
      <c r="M65" s="236"/>
      <c r="N65" s="236"/>
      <c r="O65" s="236"/>
      <c r="P65" s="236"/>
    </row>
    <row r="66" spans="1:21" ht="14.25" x14ac:dyDescent="0.2">
      <c r="A66" s="236"/>
      <c r="B66" s="301" t="s">
        <v>447</v>
      </c>
      <c r="C66" s="301"/>
      <c r="D66" s="301"/>
      <c r="E66" s="301"/>
      <c r="F66" s="301"/>
      <c r="G66" s="301"/>
      <c r="H66" s="301"/>
      <c r="K66" s="236"/>
      <c r="L66" s="236"/>
      <c r="M66" s="236"/>
      <c r="N66" s="236"/>
      <c r="O66" s="236"/>
      <c r="P66" s="236"/>
    </row>
    <row r="67" spans="1:21" ht="15" x14ac:dyDescent="0.2">
      <c r="A67" s="236"/>
      <c r="B67" s="234" t="s">
        <v>424</v>
      </c>
      <c r="C67" s="388">
        <f>'6-Year - System'!B42/3</f>
        <v>1.6666666666666667</v>
      </c>
      <c r="D67" s="388">
        <f>'6-Year - System'!C42/3</f>
        <v>2</v>
      </c>
      <c r="E67" s="388">
        <f>'6-Year - System'!D42/3</f>
        <v>2</v>
      </c>
      <c r="F67" s="388">
        <f>'6-Year - System'!E42/3</f>
        <v>2</v>
      </c>
      <c r="G67" s="388">
        <f>'6-Year - System'!F42/3</f>
        <v>2</v>
      </c>
      <c r="H67" s="388">
        <f>'6-Year - System'!G42/3</f>
        <v>2</v>
      </c>
      <c r="J67" s="236"/>
      <c r="K67" s="236"/>
      <c r="L67" s="236"/>
      <c r="M67" s="236"/>
      <c r="N67" s="236"/>
      <c r="O67" s="236"/>
      <c r="P67" s="236"/>
    </row>
    <row r="68" spans="1:21" ht="15" x14ac:dyDescent="0.2">
      <c r="A68" s="236"/>
      <c r="B68" s="234" t="s">
        <v>425</v>
      </c>
      <c r="C68" s="388">
        <f>'6-Year - System'!B43/3</f>
        <v>5</v>
      </c>
      <c r="D68" s="388">
        <f>'6-Year - System'!C43/3</f>
        <v>5.333333333333333</v>
      </c>
      <c r="E68" s="388">
        <f>'6-Year - System'!D43/3</f>
        <v>5.666666666666667</v>
      </c>
      <c r="F68" s="388">
        <f>'6-Year - System'!E43/3</f>
        <v>5.666666666666667</v>
      </c>
      <c r="G68" s="388">
        <f>'6-Year - System'!F43/3</f>
        <v>6</v>
      </c>
      <c r="H68" s="388">
        <f>'6-Year - System'!G43/3</f>
        <v>6</v>
      </c>
      <c r="J68" s="236"/>
      <c r="K68" s="236"/>
      <c r="L68" s="236"/>
      <c r="M68" s="236"/>
      <c r="N68" s="236"/>
      <c r="O68" s="236"/>
      <c r="P68" s="236"/>
    </row>
    <row r="69" spans="1:21" ht="13.35" customHeight="1" x14ac:dyDescent="0.2">
      <c r="A69" s="236"/>
      <c r="B69" s="401" t="s">
        <v>426</v>
      </c>
      <c r="C69" s="400">
        <f>'6-Year - System'!B45/3</f>
        <v>3.3333333333333335</v>
      </c>
      <c r="D69" s="400">
        <f>'6-Year - System'!C45/3</f>
        <v>3.3333333333333335</v>
      </c>
      <c r="E69" s="400">
        <f>'6-Year - System'!D45/3</f>
        <v>3.3333333333333335</v>
      </c>
      <c r="F69" s="400">
        <f>'6-Year - System'!E45/3</f>
        <v>3.6666666666666665</v>
      </c>
      <c r="G69" s="400">
        <f>'6-Year - System'!F45/3</f>
        <v>3.6666666666666665</v>
      </c>
      <c r="H69" s="400">
        <f>'6-Year - System'!G45/3</f>
        <v>3.6666666666666665</v>
      </c>
      <c r="J69" s="236"/>
      <c r="K69" s="236"/>
      <c r="L69" s="236"/>
      <c r="M69" s="236"/>
      <c r="N69" s="236"/>
      <c r="O69" s="236"/>
      <c r="P69" s="236"/>
      <c r="U69" s="300"/>
    </row>
    <row r="70" spans="1:21" ht="13.35" customHeight="1" x14ac:dyDescent="0.2">
      <c r="A70" s="236"/>
      <c r="B70" s="402"/>
      <c r="C70" s="400"/>
      <c r="D70" s="400"/>
      <c r="E70" s="400"/>
      <c r="F70" s="400"/>
      <c r="G70" s="400"/>
      <c r="H70" s="400"/>
      <c r="J70" s="236"/>
      <c r="K70" s="236"/>
      <c r="L70" s="236"/>
      <c r="M70" s="236"/>
      <c r="N70" s="236"/>
      <c r="O70" s="236"/>
      <c r="P70" s="236"/>
    </row>
    <row r="71" spans="1:21" ht="13.35" customHeight="1" x14ac:dyDescent="0.2">
      <c r="A71" s="236"/>
      <c r="B71" s="401" t="s">
        <v>448</v>
      </c>
      <c r="C71" s="400">
        <f>'6-Year - System'!B46/3</f>
        <v>2.6666666666666665</v>
      </c>
      <c r="D71" s="400">
        <f>'6-Year - System'!C46/3</f>
        <v>2.6666666666666665</v>
      </c>
      <c r="E71" s="400">
        <f>'6-Year - System'!D46/3</f>
        <v>2.6666666666666665</v>
      </c>
      <c r="F71" s="400">
        <f>'6-Year - System'!E46/3</f>
        <v>2.6666666666666665</v>
      </c>
      <c r="G71" s="400">
        <f>'6-Year - System'!F46/3</f>
        <v>3</v>
      </c>
      <c r="H71" s="400">
        <f>'6-Year - System'!G46/3</f>
        <v>3</v>
      </c>
      <c r="J71" s="236"/>
      <c r="K71" s="236"/>
      <c r="L71" s="236"/>
      <c r="M71" s="236"/>
      <c r="N71" s="236"/>
      <c r="O71" s="236"/>
      <c r="P71" s="236"/>
    </row>
    <row r="72" spans="1:21" ht="13.35" customHeight="1" x14ac:dyDescent="0.2">
      <c r="A72" s="236"/>
      <c r="B72" s="402"/>
      <c r="C72" s="400"/>
      <c r="D72" s="400"/>
      <c r="E72" s="400"/>
      <c r="F72" s="400"/>
      <c r="G72" s="400"/>
      <c r="H72" s="400"/>
      <c r="J72" s="236"/>
      <c r="K72" s="236"/>
      <c r="L72" s="236"/>
      <c r="M72" s="236"/>
      <c r="N72" s="236"/>
      <c r="O72" s="236"/>
      <c r="P72" s="236"/>
    </row>
    <row r="73" spans="1:21" ht="13.35" customHeight="1" x14ac:dyDescent="0.2">
      <c r="A73" s="236"/>
      <c r="B73" s="401" t="s">
        <v>449</v>
      </c>
      <c r="C73" s="400">
        <f>SUM('6-Year - System'!B55:B58)/3</f>
        <v>2.5</v>
      </c>
      <c r="D73" s="400">
        <f>SUM('6-Year - System'!C55:C58)/3</f>
        <v>2.5</v>
      </c>
      <c r="E73" s="400">
        <f>SUM('6-Year - System'!D55:D58)/3</f>
        <v>2.5</v>
      </c>
      <c r="F73" s="400">
        <f>SUM('6-Year - System'!E55:E58)/3</f>
        <v>2.5</v>
      </c>
      <c r="G73" s="400">
        <f>SUM('6-Year - System'!F55:F58)/3</f>
        <v>2.5</v>
      </c>
      <c r="H73" s="400">
        <f>SUM('6-Year - System'!G55:G58)/3</f>
        <v>2.5</v>
      </c>
      <c r="J73" s="236"/>
      <c r="K73" s="236"/>
      <c r="L73" s="236"/>
      <c r="M73" s="236"/>
      <c r="N73" s="236"/>
      <c r="O73" s="236"/>
      <c r="P73" s="236"/>
    </row>
    <row r="74" spans="1:21" ht="13.35" customHeight="1" x14ac:dyDescent="0.2">
      <c r="A74" s="236"/>
      <c r="B74" s="402"/>
      <c r="C74" s="400"/>
      <c r="D74" s="400"/>
      <c r="E74" s="400"/>
      <c r="F74" s="400"/>
      <c r="G74" s="400"/>
      <c r="H74" s="400"/>
      <c r="J74" s="236"/>
      <c r="K74" s="236"/>
      <c r="L74" s="236"/>
      <c r="M74" s="236"/>
      <c r="N74" s="236"/>
      <c r="O74" s="236"/>
      <c r="P74" s="236"/>
    </row>
    <row r="75" spans="1:21" ht="15" x14ac:dyDescent="0.2">
      <c r="A75" s="236"/>
      <c r="B75" s="234" t="s">
        <v>429</v>
      </c>
      <c r="C75" s="389">
        <f>SUM('6-Year - System'!I6:I11)</f>
        <v>153</v>
      </c>
      <c r="D75" s="389">
        <f>SUM('6-Year - System'!J6:J11)</f>
        <v>174</v>
      </c>
      <c r="E75" s="389">
        <f>SUM('6-Year - System'!K6:K11)</f>
        <v>176</v>
      </c>
      <c r="F75" s="389">
        <f>SUM('6-Year - System'!L6:L11)</f>
        <v>177</v>
      </c>
      <c r="G75" s="389">
        <f>SUM('6-Year - System'!M6:M11)</f>
        <v>177</v>
      </c>
      <c r="H75" s="389">
        <f>SUM('6-Year - System'!N6:N11)</f>
        <v>177</v>
      </c>
      <c r="J75" s="236"/>
      <c r="K75" s="236"/>
      <c r="L75" s="236"/>
      <c r="M75" s="236"/>
      <c r="N75" s="236"/>
      <c r="O75" s="236"/>
      <c r="P75" s="236"/>
    </row>
    <row r="76" spans="1:21" ht="15" x14ac:dyDescent="0.2">
      <c r="A76" s="236"/>
      <c r="B76" s="234" t="s">
        <v>383</v>
      </c>
      <c r="C76" s="388">
        <f>(SUM('6-Year - System'!B31:B38)+'6-Year - System'!B60)/3</f>
        <v>17.333333333333332</v>
      </c>
      <c r="D76" s="388">
        <f>(SUM('6-Year - System'!C31:C38)+'6-Year - System'!C60)/3</f>
        <v>18.5</v>
      </c>
      <c r="E76" s="388">
        <f>(SUM('6-Year - System'!D31:D38)+'6-Year - System'!D60)/3</f>
        <v>18.666666666666668</v>
      </c>
      <c r="F76" s="388">
        <f>(SUM('6-Year - System'!E31:E38)+'6-Year - System'!E60)/3</f>
        <v>19.333333333333332</v>
      </c>
      <c r="G76" s="388">
        <f>(SUM('6-Year - System'!F31:F38)+'6-Year - System'!F60)/3</f>
        <v>19.5</v>
      </c>
      <c r="H76" s="388">
        <f>(SUM('6-Year - System'!G31:G38)+'6-Year - System'!G60)/3</f>
        <v>19.833333333333332</v>
      </c>
      <c r="J76" s="236"/>
      <c r="K76" s="236"/>
      <c r="L76" s="236"/>
      <c r="M76" s="236"/>
      <c r="N76" s="236"/>
      <c r="O76" s="236"/>
      <c r="P76" s="236"/>
    </row>
    <row r="77" spans="1:21" ht="15" x14ac:dyDescent="0.2">
      <c r="A77" s="236"/>
      <c r="B77" s="234" t="s">
        <v>384</v>
      </c>
      <c r="C77" s="291">
        <f>'6-Year - System'!B30/3</f>
        <v>12</v>
      </c>
      <c r="D77" s="291">
        <f>'6-Year - System'!C30/3</f>
        <v>13</v>
      </c>
      <c r="E77" s="291">
        <f>'6-Year - System'!D30/3</f>
        <v>13.5</v>
      </c>
      <c r="F77" s="291">
        <f>'6-Year - System'!E30/3</f>
        <v>13.666666666666666</v>
      </c>
      <c r="G77" s="291">
        <f>'6-Year - System'!F30/3</f>
        <v>14</v>
      </c>
      <c r="H77" s="291">
        <f>'6-Year - System'!G30/3</f>
        <v>14.166666666666666</v>
      </c>
      <c r="J77" s="299"/>
      <c r="K77" s="299"/>
      <c r="L77" s="299"/>
      <c r="M77" s="299"/>
      <c r="N77" s="299"/>
      <c r="O77" s="299"/>
      <c r="P77" s="236"/>
    </row>
    <row r="78" spans="1:21" ht="15" x14ac:dyDescent="0.2">
      <c r="A78" s="236"/>
      <c r="B78" s="234" t="s">
        <v>450</v>
      </c>
      <c r="C78" s="388">
        <f>('6-Year - System'!B44+'6-Year - System'!B61)/3</f>
        <v>0.33333333333333331</v>
      </c>
      <c r="D78" s="388">
        <f>('6-Year - System'!C44+'6-Year - System'!C61)/3</f>
        <v>0.66666666666666663</v>
      </c>
      <c r="E78" s="388">
        <f>('6-Year - System'!D44+'6-Year - System'!D61)/3</f>
        <v>0.66666666666666663</v>
      </c>
      <c r="F78" s="388">
        <f>('6-Year - System'!E44+'6-Year - System'!E61)/3</f>
        <v>0.83333333333333337</v>
      </c>
      <c r="G78" s="388">
        <f>('6-Year - System'!F44+'6-Year - System'!F61)/3</f>
        <v>0.83333333333333337</v>
      </c>
      <c r="H78" s="388">
        <f>('6-Year - System'!G44+'6-Year - System'!G61)/3</f>
        <v>1</v>
      </c>
      <c r="J78" s="299"/>
      <c r="K78" s="299"/>
      <c r="L78" s="299"/>
      <c r="M78" s="299"/>
      <c r="N78" s="299"/>
      <c r="O78" s="299"/>
      <c r="P78" s="236"/>
    </row>
    <row r="79" spans="1:21" ht="15" x14ac:dyDescent="0.2">
      <c r="A79" s="236"/>
      <c r="B79" s="234" t="s">
        <v>58</v>
      </c>
      <c r="C79" s="388">
        <f>'6-Year - System'!B59/3</f>
        <v>0.66666666666666663</v>
      </c>
      <c r="D79" s="388">
        <f>'6-Year - System'!C59/3</f>
        <v>0.66666666666666663</v>
      </c>
      <c r="E79" s="388">
        <f>'6-Year - System'!D59/3</f>
        <v>0.66666666666666663</v>
      </c>
      <c r="F79" s="388">
        <f>'6-Year - System'!E59/3</f>
        <v>0.66666666666666663</v>
      </c>
      <c r="G79" s="388">
        <f>'6-Year - System'!F59/3</f>
        <v>0.66666666666666663</v>
      </c>
      <c r="H79" s="388">
        <f>'6-Year - System'!G59/3</f>
        <v>0.66666666666666663</v>
      </c>
      <c r="J79" s="236"/>
      <c r="K79" s="236"/>
      <c r="L79" s="236"/>
      <c r="M79" s="236"/>
      <c r="N79" s="236"/>
      <c r="O79" s="236"/>
      <c r="P79" s="236"/>
    </row>
    <row r="80" spans="1:21" ht="15" x14ac:dyDescent="0.2">
      <c r="A80" s="236"/>
      <c r="B80" s="234" t="s">
        <v>46</v>
      </c>
      <c r="C80" s="388">
        <f>'6-Year - System'!B47/3</f>
        <v>2.6666666666666665</v>
      </c>
      <c r="D80" s="388">
        <f>'6-Year - System'!C47/3</f>
        <v>3</v>
      </c>
      <c r="E80" s="388">
        <f>'6-Year - System'!D47/3</f>
        <v>3</v>
      </c>
      <c r="F80" s="388">
        <f>'6-Year - System'!E47/3</f>
        <v>3</v>
      </c>
      <c r="G80" s="388">
        <f>'6-Year - System'!F47/3</f>
        <v>3</v>
      </c>
      <c r="H80" s="388">
        <f>'6-Year - System'!G47/3</f>
        <v>3</v>
      </c>
      <c r="J80" s="236"/>
      <c r="K80" s="236"/>
      <c r="L80" s="236"/>
      <c r="M80" s="236"/>
      <c r="N80" s="236"/>
      <c r="O80" s="236"/>
      <c r="P80" s="236"/>
    </row>
    <row r="81" spans="1:16" ht="15" x14ac:dyDescent="0.2">
      <c r="A81" s="236"/>
      <c r="B81" s="234" t="s">
        <v>47</v>
      </c>
      <c r="C81" s="388">
        <f>'6-Year - System'!B48/3</f>
        <v>2.1666666666666665</v>
      </c>
      <c r="D81" s="388">
        <f>'6-Year - System'!C48/3</f>
        <v>2.1666666666666665</v>
      </c>
      <c r="E81" s="388">
        <f>'6-Year - System'!D48/3</f>
        <v>2.5</v>
      </c>
      <c r="F81" s="388">
        <f>'6-Year - System'!E48/3</f>
        <v>2.5</v>
      </c>
      <c r="G81" s="388">
        <f>'6-Year - System'!F48/3</f>
        <v>2.5</v>
      </c>
      <c r="H81" s="388">
        <f>'6-Year - System'!G48/3</f>
        <v>2.5</v>
      </c>
      <c r="J81" s="236"/>
      <c r="K81" s="236"/>
      <c r="L81" s="236"/>
      <c r="M81" s="236"/>
      <c r="N81" s="236"/>
      <c r="O81" s="236"/>
      <c r="P81" s="236"/>
    </row>
    <row r="82" spans="1:16" ht="15" x14ac:dyDescent="0.2">
      <c r="A82" s="236"/>
      <c r="B82" s="234" t="s">
        <v>430</v>
      </c>
      <c r="C82" s="388">
        <f>SUM('6-Year - System'!B49:B50)/3</f>
        <v>4.666666666666667</v>
      </c>
      <c r="D82" s="388">
        <f>SUM('6-Year - System'!C49:C50)/3</f>
        <v>5</v>
      </c>
      <c r="E82" s="388">
        <f>SUM('6-Year - System'!D49:D50)/3</f>
        <v>5.333333333333333</v>
      </c>
      <c r="F82" s="388">
        <f>SUM('6-Year - System'!E49:E50)/3</f>
        <v>5.333333333333333</v>
      </c>
      <c r="G82" s="388">
        <f>SUM('6-Year - System'!F49:F50)/3</f>
        <v>5.333333333333333</v>
      </c>
      <c r="H82" s="388">
        <f>SUM('6-Year - System'!G49:G50)/3</f>
        <v>5.333333333333333</v>
      </c>
      <c r="J82" s="236"/>
      <c r="K82" s="236"/>
      <c r="L82" s="236"/>
      <c r="M82" s="236"/>
      <c r="N82" s="236"/>
      <c r="O82" s="236"/>
      <c r="P82" s="236"/>
    </row>
    <row r="83" spans="1:16" ht="15" x14ac:dyDescent="0.2">
      <c r="A83" s="236"/>
      <c r="B83" s="234" t="s">
        <v>451</v>
      </c>
      <c r="C83" s="388">
        <f>'6-Year - System'!B51/3</f>
        <v>17.833333333333332</v>
      </c>
      <c r="D83" s="388">
        <f>'6-Year - System'!C51/3</f>
        <v>18.833333333333332</v>
      </c>
      <c r="E83" s="388">
        <f>'6-Year - System'!D51/3</f>
        <v>20.833333333333332</v>
      </c>
      <c r="F83" s="388">
        <f>'6-Year - System'!E51/3</f>
        <v>21.5</v>
      </c>
      <c r="G83" s="388">
        <f>'6-Year - System'!F51/3</f>
        <v>22.166666666666668</v>
      </c>
      <c r="H83" s="388">
        <f>'6-Year - System'!G51/3</f>
        <v>22.166666666666668</v>
      </c>
      <c r="J83" s="236"/>
      <c r="K83" s="236"/>
      <c r="L83" s="236"/>
      <c r="M83" s="236"/>
      <c r="N83" s="236"/>
      <c r="O83" s="236"/>
      <c r="P83" s="236"/>
    </row>
    <row r="84" spans="1:16" ht="15" x14ac:dyDescent="0.2">
      <c r="A84" s="236"/>
      <c r="B84" s="233" t="s">
        <v>432</v>
      </c>
      <c r="C84" s="388">
        <f>SUM('6-Year - System'!B52:B54)/3</f>
        <v>7.333333333333333</v>
      </c>
      <c r="D84" s="388">
        <f>SUM('6-Year - System'!C52:C54)/3</f>
        <v>8</v>
      </c>
      <c r="E84" s="388">
        <f>SUM('6-Year - System'!D52:D54)/3</f>
        <v>8</v>
      </c>
      <c r="F84" s="388">
        <f>SUM('6-Year - System'!E52:E54)/3</f>
        <v>8.3333333333333339</v>
      </c>
      <c r="G84" s="388">
        <f>SUM('6-Year - System'!F52:F54)/3</f>
        <v>8.3333333333333339</v>
      </c>
      <c r="H84" s="388">
        <f>SUM('6-Year - System'!G52:G54)/3</f>
        <v>8.3333333333333339</v>
      </c>
      <c r="J84" s="236"/>
      <c r="K84" s="236"/>
      <c r="L84" s="236"/>
      <c r="M84" s="236"/>
      <c r="N84" s="236"/>
      <c r="O84" s="236"/>
      <c r="P84" s="236"/>
    </row>
    <row r="85" spans="1:16" ht="15" x14ac:dyDescent="0.2">
      <c r="A85" s="236"/>
      <c r="B85" s="285" t="s">
        <v>452</v>
      </c>
      <c r="C85" s="298">
        <f t="shared" ref="C85:H85" si="5">SUM(C67:C84)</f>
        <v>233.16666666666666</v>
      </c>
      <c r="D85" s="284">
        <f t="shared" si="5"/>
        <v>259.66666666666663</v>
      </c>
      <c r="E85" s="284">
        <f t="shared" si="5"/>
        <v>265.33333333333331</v>
      </c>
      <c r="F85" s="284">
        <f t="shared" si="5"/>
        <v>268.66666666666669</v>
      </c>
      <c r="G85" s="284">
        <f t="shared" si="5"/>
        <v>270.5</v>
      </c>
      <c r="H85" s="284">
        <f t="shared" si="5"/>
        <v>271.16666666666663</v>
      </c>
      <c r="K85" s="236"/>
      <c r="L85" s="236"/>
      <c r="M85" s="236"/>
      <c r="N85" s="236"/>
      <c r="O85" s="236"/>
      <c r="P85" s="236"/>
    </row>
    <row r="86" spans="1:16" ht="14.25" x14ac:dyDescent="0.2">
      <c r="A86" s="236"/>
      <c r="B86" s="294"/>
      <c r="C86" s="297"/>
      <c r="D86" s="297"/>
      <c r="E86" s="297"/>
      <c r="F86" s="297"/>
      <c r="G86" s="297"/>
      <c r="H86" s="297"/>
      <c r="K86" s="236"/>
      <c r="L86" s="236"/>
      <c r="M86" s="236"/>
      <c r="N86" s="236"/>
      <c r="O86" s="236"/>
      <c r="P86" s="236"/>
    </row>
    <row r="87" spans="1:16" ht="14.25" x14ac:dyDescent="0.2">
      <c r="A87" s="236"/>
      <c r="B87" s="292" t="s">
        <v>453</v>
      </c>
      <c r="C87" s="296"/>
      <c r="D87" s="296"/>
      <c r="E87" s="296"/>
      <c r="F87" s="296"/>
      <c r="G87" s="296"/>
      <c r="H87" s="296"/>
      <c r="K87" s="236"/>
      <c r="L87" s="236"/>
      <c r="M87" s="236"/>
      <c r="N87" s="236"/>
      <c r="O87" s="236"/>
      <c r="P87" s="236"/>
    </row>
    <row r="88" spans="1:16" ht="15" x14ac:dyDescent="0.2">
      <c r="A88" s="236"/>
      <c r="B88" s="234" t="s">
        <v>424</v>
      </c>
      <c r="C88" s="388">
        <f>'6-Year - System'!B42/3</f>
        <v>1.6666666666666667</v>
      </c>
      <c r="D88" s="388">
        <f>'6-Year - System'!C42/3</f>
        <v>2</v>
      </c>
      <c r="E88" s="388">
        <f>'6-Year - System'!D42/3</f>
        <v>2</v>
      </c>
      <c r="F88" s="388">
        <f>'6-Year - System'!E42/3</f>
        <v>2</v>
      </c>
      <c r="G88" s="388">
        <f>'6-Year - System'!F42/3</f>
        <v>2</v>
      </c>
      <c r="H88" s="388">
        <f>'6-Year - System'!G42/3</f>
        <v>2</v>
      </c>
      <c r="K88" s="236"/>
      <c r="L88" s="236"/>
      <c r="M88" s="236"/>
      <c r="N88" s="236"/>
      <c r="O88" s="236"/>
      <c r="P88" s="236"/>
    </row>
    <row r="89" spans="1:16" ht="15" x14ac:dyDescent="0.2">
      <c r="A89" s="236"/>
      <c r="B89" s="234" t="s">
        <v>425</v>
      </c>
      <c r="C89" s="388">
        <f>'6-Year - System'!B43/3</f>
        <v>5</v>
      </c>
      <c r="D89" s="388">
        <f>'6-Year - System'!C43/3</f>
        <v>5.333333333333333</v>
      </c>
      <c r="E89" s="388">
        <f>'6-Year - System'!D43/3</f>
        <v>5.666666666666667</v>
      </c>
      <c r="F89" s="388">
        <f>'6-Year - System'!E43/3</f>
        <v>5.666666666666667</v>
      </c>
      <c r="G89" s="388">
        <f>'6-Year - System'!F43/3</f>
        <v>6</v>
      </c>
      <c r="H89" s="388">
        <f>'6-Year - System'!G43/3</f>
        <v>6</v>
      </c>
      <c r="K89" s="236"/>
      <c r="L89" s="236"/>
      <c r="M89" s="236"/>
      <c r="N89" s="236"/>
      <c r="O89" s="236"/>
      <c r="P89" s="236"/>
    </row>
    <row r="90" spans="1:16" ht="13.35" customHeight="1" x14ac:dyDescent="0.2">
      <c r="A90" s="236"/>
      <c r="B90" s="401" t="s">
        <v>426</v>
      </c>
      <c r="C90" s="400">
        <f>'6-Year - System'!B45/3</f>
        <v>3.3333333333333335</v>
      </c>
      <c r="D90" s="400">
        <f>'6-Year - System'!C45/3</f>
        <v>3.3333333333333335</v>
      </c>
      <c r="E90" s="400">
        <f>'6-Year - System'!D45/3</f>
        <v>3.3333333333333335</v>
      </c>
      <c r="F90" s="400">
        <f>'6-Year - System'!E45/3</f>
        <v>3.6666666666666665</v>
      </c>
      <c r="G90" s="400">
        <f>'6-Year - System'!F45/3</f>
        <v>3.6666666666666665</v>
      </c>
      <c r="H90" s="400">
        <f>'6-Year - System'!G45/3</f>
        <v>3.6666666666666665</v>
      </c>
      <c r="K90" s="236"/>
      <c r="L90" s="236"/>
      <c r="M90" s="236"/>
      <c r="N90" s="236"/>
      <c r="O90" s="236"/>
      <c r="P90" s="236"/>
    </row>
    <row r="91" spans="1:16" ht="13.35" customHeight="1" x14ac:dyDescent="0.2">
      <c r="B91" s="402"/>
      <c r="C91" s="400"/>
      <c r="D91" s="400"/>
      <c r="E91" s="400"/>
      <c r="F91" s="400"/>
      <c r="G91" s="400"/>
      <c r="H91" s="400"/>
    </row>
    <row r="92" spans="1:16" ht="13.35" customHeight="1" x14ac:dyDescent="0.2">
      <c r="B92" s="401" t="s">
        <v>448</v>
      </c>
      <c r="C92" s="400">
        <f>'6-Year - System'!B46/3</f>
        <v>2.6666666666666665</v>
      </c>
      <c r="D92" s="400">
        <f>'6-Year - System'!C46/3</f>
        <v>2.6666666666666665</v>
      </c>
      <c r="E92" s="400">
        <f>'6-Year - System'!D46/3</f>
        <v>2.6666666666666665</v>
      </c>
      <c r="F92" s="400">
        <f>'6-Year - System'!E46/3</f>
        <v>2.6666666666666665</v>
      </c>
      <c r="G92" s="400">
        <f>'6-Year - System'!F46/3</f>
        <v>3</v>
      </c>
      <c r="H92" s="400">
        <f>'6-Year - System'!G46/3</f>
        <v>3</v>
      </c>
    </row>
    <row r="93" spans="1:16" ht="13.35" customHeight="1" x14ac:dyDescent="0.2">
      <c r="B93" s="402"/>
      <c r="C93" s="400"/>
      <c r="D93" s="400"/>
      <c r="E93" s="400"/>
      <c r="F93" s="400"/>
      <c r="G93" s="400"/>
      <c r="H93" s="400"/>
    </row>
    <row r="94" spans="1:16" ht="13.35" customHeight="1" x14ac:dyDescent="0.2">
      <c r="B94" s="401" t="s">
        <v>449</v>
      </c>
      <c r="C94" s="400">
        <f>SUM('6-Year - System'!B55:B58)/3</f>
        <v>2.5</v>
      </c>
      <c r="D94" s="400">
        <f>SUM('6-Year - System'!C55:C58)/3</f>
        <v>2.5</v>
      </c>
      <c r="E94" s="400">
        <f>SUM('6-Year - System'!D55:D58)/3</f>
        <v>2.5</v>
      </c>
      <c r="F94" s="400">
        <f>SUM('6-Year - System'!E55:E58)/3</f>
        <v>2.5</v>
      </c>
      <c r="G94" s="400">
        <f>SUM('6-Year - System'!F55:F58)/3</f>
        <v>2.5</v>
      </c>
      <c r="H94" s="400">
        <f>SUM('6-Year - System'!G55:G58)/3</f>
        <v>2.5</v>
      </c>
    </row>
    <row r="95" spans="1:16" ht="13.35" customHeight="1" x14ac:dyDescent="0.2">
      <c r="B95" s="402"/>
      <c r="C95" s="400"/>
      <c r="D95" s="400"/>
      <c r="E95" s="400"/>
      <c r="F95" s="400"/>
      <c r="G95" s="400"/>
      <c r="H95" s="400"/>
    </row>
    <row r="96" spans="1:16" ht="15" x14ac:dyDescent="0.2">
      <c r="B96" s="234" t="s">
        <v>429</v>
      </c>
      <c r="C96" s="388">
        <f>SUM('6-Year - System'!I12:I14)</f>
        <v>68</v>
      </c>
      <c r="D96" s="388">
        <f>SUM('6-Year - System'!J12:J14)</f>
        <v>73</v>
      </c>
      <c r="E96" s="388">
        <f>SUM('6-Year - System'!K12:K14)</f>
        <v>77</v>
      </c>
      <c r="F96" s="388">
        <f>SUM('6-Year - System'!L12:L14)</f>
        <v>81</v>
      </c>
      <c r="G96" s="388">
        <f>SUM('6-Year - System'!M12:M14)</f>
        <v>80</v>
      </c>
      <c r="H96" s="388">
        <f>SUM('6-Year - System'!N12:N14)</f>
        <v>79</v>
      </c>
    </row>
    <row r="97" spans="1:16" ht="15" x14ac:dyDescent="0.2">
      <c r="B97" s="234" t="s">
        <v>383</v>
      </c>
      <c r="C97" s="388">
        <f>(SUM('6-Year - System'!B31:B38)+'6-Year - System'!B60)/3</f>
        <v>17.333333333333332</v>
      </c>
      <c r="D97" s="388">
        <f>(SUM('6-Year - System'!C31:C38)+'6-Year - System'!C60)/3</f>
        <v>18.5</v>
      </c>
      <c r="E97" s="388">
        <f>(SUM('6-Year - System'!D31:D38)+'6-Year - System'!D60)/3</f>
        <v>18.666666666666668</v>
      </c>
      <c r="F97" s="388">
        <f>(SUM('6-Year - System'!E31:E38)+'6-Year - System'!E60)/3</f>
        <v>19.333333333333332</v>
      </c>
      <c r="G97" s="388">
        <f>(SUM('6-Year - System'!F31:F38)+'6-Year - System'!F60)/3</f>
        <v>19.5</v>
      </c>
      <c r="H97" s="388">
        <f>(SUM('6-Year - System'!G31:G38)+'6-Year - System'!G60)/3</f>
        <v>19.833333333333332</v>
      </c>
    </row>
    <row r="98" spans="1:16" ht="15" x14ac:dyDescent="0.2">
      <c r="B98" s="234" t="s">
        <v>384</v>
      </c>
      <c r="C98" s="388">
        <f>'6-Year - System'!B30/3</f>
        <v>12</v>
      </c>
      <c r="D98" s="388">
        <f>'6-Year - System'!C30/3</f>
        <v>13</v>
      </c>
      <c r="E98" s="388">
        <f>'6-Year - System'!D30/3</f>
        <v>13.5</v>
      </c>
      <c r="F98" s="388">
        <f>'6-Year - System'!E30/3</f>
        <v>13.666666666666666</v>
      </c>
      <c r="G98" s="388">
        <f>'6-Year - System'!F30/3</f>
        <v>14</v>
      </c>
      <c r="H98" s="388">
        <f>'6-Year - System'!G30/3</f>
        <v>14.166666666666666</v>
      </c>
    </row>
    <row r="99" spans="1:16" ht="15" x14ac:dyDescent="0.2">
      <c r="A99" s="236"/>
      <c r="B99" s="234" t="s">
        <v>450</v>
      </c>
      <c r="C99" s="388">
        <f>('6-Year - System'!B44+'6-Year - System'!B61)/3</f>
        <v>0.33333333333333331</v>
      </c>
      <c r="D99" s="388">
        <f>('6-Year - System'!C44+'6-Year - System'!C61)/3</f>
        <v>0.66666666666666663</v>
      </c>
      <c r="E99" s="388">
        <f>('6-Year - System'!D44+'6-Year - System'!D61)/3</f>
        <v>0.66666666666666663</v>
      </c>
      <c r="F99" s="388">
        <f>('6-Year - System'!E44+'6-Year - System'!E61)/3</f>
        <v>0.83333333333333337</v>
      </c>
      <c r="G99" s="388">
        <f>('6-Year - System'!F44+'6-Year - System'!F61)/3</f>
        <v>0.83333333333333337</v>
      </c>
      <c r="H99" s="388">
        <f>('6-Year - System'!G44+'6-Year - System'!G61)/3</f>
        <v>1</v>
      </c>
      <c r="K99" s="236"/>
      <c r="L99" s="236"/>
      <c r="M99" s="236"/>
      <c r="N99" s="236"/>
      <c r="O99" s="236"/>
      <c r="P99" s="236"/>
    </row>
    <row r="100" spans="1:16" ht="15" x14ac:dyDescent="0.2">
      <c r="B100" s="234" t="s">
        <v>58</v>
      </c>
      <c r="C100" s="388">
        <f>'6-Year - System'!B59/3</f>
        <v>0.66666666666666663</v>
      </c>
      <c r="D100" s="388">
        <f>'6-Year - System'!C59/3</f>
        <v>0.66666666666666663</v>
      </c>
      <c r="E100" s="388">
        <f>'6-Year - System'!D59/3</f>
        <v>0.66666666666666663</v>
      </c>
      <c r="F100" s="388">
        <f>'6-Year - System'!E59/3</f>
        <v>0.66666666666666663</v>
      </c>
      <c r="G100" s="388">
        <f>'6-Year - System'!F59/3</f>
        <v>0.66666666666666663</v>
      </c>
      <c r="H100" s="388">
        <f>'6-Year - System'!G59/3</f>
        <v>0.66666666666666663</v>
      </c>
    </row>
    <row r="101" spans="1:16" ht="15" x14ac:dyDescent="0.2">
      <c r="B101" s="234" t="s">
        <v>46</v>
      </c>
      <c r="C101" s="388">
        <f>'6-Year - System'!B47/3</f>
        <v>2.6666666666666665</v>
      </c>
      <c r="D101" s="388">
        <f>'6-Year - System'!C47/3</f>
        <v>3</v>
      </c>
      <c r="E101" s="388">
        <f>'6-Year - System'!D47/3</f>
        <v>3</v>
      </c>
      <c r="F101" s="388">
        <f>'6-Year - System'!E47/3</f>
        <v>3</v>
      </c>
      <c r="G101" s="388">
        <f>'6-Year - System'!F47/3</f>
        <v>3</v>
      </c>
      <c r="H101" s="388">
        <f>'6-Year - System'!G47/3</f>
        <v>3</v>
      </c>
    </row>
    <row r="102" spans="1:16" ht="15" x14ac:dyDescent="0.2">
      <c r="B102" s="234" t="s">
        <v>47</v>
      </c>
      <c r="C102" s="388">
        <f>'6-Year - System'!B48/3</f>
        <v>2.1666666666666665</v>
      </c>
      <c r="D102" s="388">
        <f>'6-Year - System'!C48/3</f>
        <v>2.1666666666666665</v>
      </c>
      <c r="E102" s="388">
        <f>'6-Year - System'!D48/3</f>
        <v>2.5</v>
      </c>
      <c r="F102" s="388">
        <f>'6-Year - System'!E48/3</f>
        <v>2.5</v>
      </c>
      <c r="G102" s="388">
        <f>'6-Year - System'!F48/3</f>
        <v>2.5</v>
      </c>
      <c r="H102" s="388">
        <f>'6-Year - System'!G48/3</f>
        <v>2.5</v>
      </c>
    </row>
    <row r="103" spans="1:16" ht="15" x14ac:dyDescent="0.2">
      <c r="B103" s="234" t="s">
        <v>430</v>
      </c>
      <c r="C103" s="388">
        <f>SUM('6-Year - System'!B49:B50)/3</f>
        <v>4.666666666666667</v>
      </c>
      <c r="D103" s="388">
        <f>SUM('6-Year - System'!C49:C50)/3</f>
        <v>5</v>
      </c>
      <c r="E103" s="388">
        <f>SUM('6-Year - System'!D49:D50)/3</f>
        <v>5.333333333333333</v>
      </c>
      <c r="F103" s="388">
        <f>SUM('6-Year - System'!E49:E50)/3</f>
        <v>5.333333333333333</v>
      </c>
      <c r="G103" s="388">
        <f>SUM('6-Year - System'!F49:F50)/3</f>
        <v>5.333333333333333</v>
      </c>
      <c r="H103" s="388">
        <f>SUM('6-Year - System'!G49:G50)/3</f>
        <v>5.333333333333333</v>
      </c>
    </row>
    <row r="104" spans="1:16" ht="15" x14ac:dyDescent="0.2">
      <c r="B104" s="234" t="s">
        <v>451</v>
      </c>
      <c r="C104" s="388">
        <f>'6-Year - System'!B51/3</f>
        <v>17.833333333333332</v>
      </c>
      <c r="D104" s="388">
        <f>'6-Year - System'!C51/3</f>
        <v>18.833333333333332</v>
      </c>
      <c r="E104" s="388">
        <f>'6-Year - System'!D51/3</f>
        <v>20.833333333333332</v>
      </c>
      <c r="F104" s="388">
        <f>'6-Year - System'!E51/3</f>
        <v>21.5</v>
      </c>
      <c r="G104" s="388">
        <f>'6-Year - System'!F51/3</f>
        <v>22.166666666666668</v>
      </c>
      <c r="H104" s="388">
        <f>'6-Year - System'!G51/3</f>
        <v>22.166666666666668</v>
      </c>
    </row>
    <row r="105" spans="1:16" ht="15" x14ac:dyDescent="0.2">
      <c r="B105" s="233" t="s">
        <v>432</v>
      </c>
      <c r="C105" s="388">
        <f>SUM('6-Year - System'!B52:B54)/3</f>
        <v>7.333333333333333</v>
      </c>
      <c r="D105" s="388">
        <f>SUM('6-Year - System'!C52:C54)/3</f>
        <v>8</v>
      </c>
      <c r="E105" s="388">
        <f>SUM('6-Year - System'!D52:D54)/3</f>
        <v>8</v>
      </c>
      <c r="F105" s="388">
        <f>SUM('6-Year - System'!E52:E54)/3</f>
        <v>8.3333333333333339</v>
      </c>
      <c r="G105" s="388">
        <f>SUM('6-Year - System'!F52:F54)/3</f>
        <v>8.3333333333333339</v>
      </c>
      <c r="H105" s="388">
        <f>SUM('6-Year - System'!G52:G54)/3</f>
        <v>8.3333333333333339</v>
      </c>
    </row>
    <row r="106" spans="1:16" ht="15" x14ac:dyDescent="0.2">
      <c r="B106" s="285" t="s">
        <v>454</v>
      </c>
      <c r="C106" s="284">
        <f t="shared" ref="C106:H106" si="6">SUM(C88:C105)</f>
        <v>148.16666666666669</v>
      </c>
      <c r="D106" s="284">
        <f t="shared" si="6"/>
        <v>158.66666666666669</v>
      </c>
      <c r="E106" s="284">
        <f t="shared" si="6"/>
        <v>166.33333333333337</v>
      </c>
      <c r="F106" s="284">
        <f t="shared" si="6"/>
        <v>172.66666666666669</v>
      </c>
      <c r="G106" s="284">
        <f t="shared" si="6"/>
        <v>173.5</v>
      </c>
      <c r="H106" s="284">
        <f t="shared" si="6"/>
        <v>173.16666666666666</v>
      </c>
      <c r="I106" s="295"/>
    </row>
    <row r="107" spans="1:16" ht="14.25" x14ac:dyDescent="0.2">
      <c r="B107" s="294"/>
      <c r="C107" s="293"/>
      <c r="D107" s="293"/>
      <c r="E107" s="293"/>
      <c r="F107" s="293"/>
      <c r="G107" s="293"/>
      <c r="H107" s="293"/>
    </row>
    <row r="108" spans="1:16" ht="14.25" x14ac:dyDescent="0.2">
      <c r="B108" s="292" t="s">
        <v>455</v>
      </c>
      <c r="C108" s="292"/>
      <c r="D108" s="292"/>
      <c r="E108" s="292"/>
      <c r="F108" s="292"/>
      <c r="G108" s="292"/>
      <c r="H108" s="292"/>
    </row>
    <row r="109" spans="1:16" ht="15" x14ac:dyDescent="0.2">
      <c r="B109" s="234" t="s">
        <v>424</v>
      </c>
      <c r="C109" s="388">
        <f>'6-Year - System'!B42/3</f>
        <v>1.6666666666666667</v>
      </c>
      <c r="D109" s="388">
        <f>'6-Year - System'!C42/3</f>
        <v>2</v>
      </c>
      <c r="E109" s="388">
        <f>'6-Year - System'!D42/3</f>
        <v>2</v>
      </c>
      <c r="F109" s="388">
        <f>'6-Year - System'!E42/3</f>
        <v>2</v>
      </c>
      <c r="G109" s="388">
        <f>'6-Year - System'!F42/3</f>
        <v>2</v>
      </c>
      <c r="H109" s="388">
        <f>'6-Year - System'!G42/3</f>
        <v>2</v>
      </c>
    </row>
    <row r="110" spans="1:16" ht="15" x14ac:dyDescent="0.2">
      <c r="B110" s="234" t="s">
        <v>425</v>
      </c>
      <c r="C110" s="388">
        <f>'6-Year - System'!B43/3</f>
        <v>5</v>
      </c>
      <c r="D110" s="388">
        <f>'6-Year - System'!C43/3</f>
        <v>5.333333333333333</v>
      </c>
      <c r="E110" s="388">
        <f>'6-Year - System'!D43/3</f>
        <v>5.666666666666667</v>
      </c>
      <c r="F110" s="388">
        <f>'6-Year - System'!E43/3</f>
        <v>5.666666666666667</v>
      </c>
      <c r="G110" s="388">
        <f>'6-Year - System'!F43/3</f>
        <v>6</v>
      </c>
      <c r="H110" s="388">
        <f>'6-Year - System'!G43/3</f>
        <v>6</v>
      </c>
    </row>
    <row r="111" spans="1:16" ht="13.35" customHeight="1" x14ac:dyDescent="0.2">
      <c r="B111" s="401" t="s">
        <v>426</v>
      </c>
      <c r="C111" s="400">
        <f>'6-Year - System'!B45/3</f>
        <v>3.3333333333333335</v>
      </c>
      <c r="D111" s="400">
        <f>'6-Year - System'!C45/3</f>
        <v>3.3333333333333335</v>
      </c>
      <c r="E111" s="400">
        <f>'6-Year - System'!D45/3</f>
        <v>3.3333333333333335</v>
      </c>
      <c r="F111" s="400">
        <f>'6-Year - System'!E45/3</f>
        <v>3.6666666666666665</v>
      </c>
      <c r="G111" s="400">
        <f>'6-Year - System'!F45/3</f>
        <v>3.6666666666666665</v>
      </c>
      <c r="H111" s="400">
        <f>'6-Year - System'!G45/3</f>
        <v>3.6666666666666665</v>
      </c>
    </row>
    <row r="112" spans="1:16" ht="13.35" customHeight="1" x14ac:dyDescent="0.2">
      <c r="B112" s="402"/>
      <c r="C112" s="400"/>
      <c r="D112" s="400"/>
      <c r="E112" s="400"/>
      <c r="F112" s="400"/>
      <c r="G112" s="400"/>
      <c r="H112" s="400"/>
    </row>
    <row r="113" spans="1:16" ht="13.35" customHeight="1" x14ac:dyDescent="0.2">
      <c r="B113" s="401" t="s">
        <v>448</v>
      </c>
      <c r="C113" s="400">
        <f>'6-Year - System'!B46/3</f>
        <v>2.6666666666666665</v>
      </c>
      <c r="D113" s="400">
        <f>'6-Year - System'!C46/3</f>
        <v>2.6666666666666665</v>
      </c>
      <c r="E113" s="400">
        <f>'6-Year - System'!D46/3</f>
        <v>2.6666666666666665</v>
      </c>
      <c r="F113" s="400">
        <f>'6-Year - System'!E46/3</f>
        <v>2.6666666666666665</v>
      </c>
      <c r="G113" s="400">
        <f>'6-Year - System'!F46/3</f>
        <v>3</v>
      </c>
      <c r="H113" s="400">
        <f>'6-Year - System'!G46/3</f>
        <v>3</v>
      </c>
    </row>
    <row r="114" spans="1:16" ht="13.35" customHeight="1" x14ac:dyDescent="0.2">
      <c r="B114" s="402"/>
      <c r="C114" s="400"/>
      <c r="D114" s="400"/>
      <c r="E114" s="400"/>
      <c r="F114" s="400"/>
      <c r="G114" s="400"/>
      <c r="H114" s="400"/>
    </row>
    <row r="115" spans="1:16" ht="13.35" customHeight="1" x14ac:dyDescent="0.2">
      <c r="B115" s="401" t="s">
        <v>449</v>
      </c>
      <c r="C115" s="400">
        <f>SUM('6-Year - System'!B55:B58)/3</f>
        <v>2.5</v>
      </c>
      <c r="D115" s="400">
        <f>SUM('6-Year - System'!C55:C58)/3</f>
        <v>2.5</v>
      </c>
      <c r="E115" s="400">
        <f>SUM('6-Year - System'!D55:D58)/3</f>
        <v>2.5</v>
      </c>
      <c r="F115" s="400">
        <f>SUM('6-Year - System'!E55:E58)/3</f>
        <v>2.5</v>
      </c>
      <c r="G115" s="400">
        <f>SUM('6-Year - System'!F55:F58)/3</f>
        <v>2.5</v>
      </c>
      <c r="H115" s="400">
        <f>SUM('6-Year - System'!G55:G58)/3</f>
        <v>2.5</v>
      </c>
    </row>
    <row r="116" spans="1:16" ht="13.35" customHeight="1" x14ac:dyDescent="0.2">
      <c r="B116" s="402"/>
      <c r="C116" s="400"/>
      <c r="D116" s="400"/>
      <c r="E116" s="400"/>
      <c r="F116" s="400"/>
      <c r="G116" s="400"/>
      <c r="H116" s="400"/>
    </row>
    <row r="117" spans="1:16" ht="15" x14ac:dyDescent="0.2">
      <c r="B117" s="234" t="s">
        <v>429</v>
      </c>
      <c r="C117" s="388">
        <f>SUM('6-Year - System'!I15:I18)</f>
        <v>44</v>
      </c>
      <c r="D117" s="388">
        <f>SUM('6-Year - System'!J15:J18)</f>
        <v>57</v>
      </c>
      <c r="E117" s="388">
        <f>SUM('6-Year - System'!K15:K18)</f>
        <v>62</v>
      </c>
      <c r="F117" s="388">
        <f>SUM('6-Year - System'!L15:L18)</f>
        <v>65</v>
      </c>
      <c r="G117" s="388">
        <f>SUM('6-Year - System'!M15:M18)</f>
        <v>71</v>
      </c>
      <c r="H117" s="388">
        <f>SUM('6-Year - System'!N15:N18)</f>
        <v>76</v>
      </c>
    </row>
    <row r="118" spans="1:16" ht="15" x14ac:dyDescent="0.2">
      <c r="B118" s="234" t="s">
        <v>383</v>
      </c>
      <c r="C118" s="388">
        <f>(SUM('6-Year - System'!B31:B38)+'6-Year - System'!B60)/3</f>
        <v>17.333333333333332</v>
      </c>
      <c r="D118" s="388">
        <f>(SUM('6-Year - System'!C31:C38)+'6-Year - System'!C60)/3</f>
        <v>18.5</v>
      </c>
      <c r="E118" s="388">
        <f>(SUM('6-Year - System'!D31:D38)+'6-Year - System'!D60)/3</f>
        <v>18.666666666666668</v>
      </c>
      <c r="F118" s="388">
        <f>(SUM('6-Year - System'!E31:E38)+'6-Year - System'!E60)/3</f>
        <v>19.333333333333332</v>
      </c>
      <c r="G118" s="388">
        <f>(SUM('6-Year - System'!F31:F38)+'6-Year - System'!F60)/3</f>
        <v>19.5</v>
      </c>
      <c r="H118" s="388">
        <f>(SUM('6-Year - System'!G31:G38)+'6-Year - System'!G60)/3</f>
        <v>19.833333333333332</v>
      </c>
    </row>
    <row r="119" spans="1:16" ht="15" x14ac:dyDescent="0.2">
      <c r="B119" s="234" t="s">
        <v>384</v>
      </c>
      <c r="C119" s="388">
        <f>'6-Year - System'!B30/3</f>
        <v>12</v>
      </c>
      <c r="D119" s="388">
        <f>'6-Year - System'!C30/3</f>
        <v>13</v>
      </c>
      <c r="E119" s="388">
        <f>'6-Year - System'!D30/3</f>
        <v>13.5</v>
      </c>
      <c r="F119" s="388">
        <f>'6-Year - System'!E30/3</f>
        <v>13.666666666666666</v>
      </c>
      <c r="G119" s="388">
        <f>'6-Year - System'!F30/3</f>
        <v>14</v>
      </c>
      <c r="H119" s="388">
        <f>'6-Year - System'!G30/3</f>
        <v>14.166666666666666</v>
      </c>
    </row>
    <row r="120" spans="1:16" ht="15" x14ac:dyDescent="0.2">
      <c r="A120" s="236"/>
      <c r="B120" s="234" t="s">
        <v>450</v>
      </c>
      <c r="C120" s="388">
        <f>('6-Year - System'!B44+'6-Year - System'!B61)/3</f>
        <v>0.33333333333333331</v>
      </c>
      <c r="D120" s="388">
        <f>('6-Year - System'!C44+'6-Year - System'!C61)/3</f>
        <v>0.66666666666666663</v>
      </c>
      <c r="E120" s="388">
        <f>('6-Year - System'!D44+'6-Year - System'!D61)/3</f>
        <v>0.66666666666666663</v>
      </c>
      <c r="F120" s="388">
        <f>('6-Year - System'!E44+'6-Year - System'!E61)/3</f>
        <v>0.83333333333333337</v>
      </c>
      <c r="G120" s="388">
        <f>('6-Year - System'!F44+'6-Year - System'!F61)/3</f>
        <v>0.83333333333333337</v>
      </c>
      <c r="H120" s="388">
        <f>('6-Year - System'!G44+'6-Year - System'!G61)/3</f>
        <v>1</v>
      </c>
      <c r="K120" s="236"/>
      <c r="L120" s="236"/>
      <c r="M120" s="236"/>
      <c r="N120" s="236"/>
      <c r="O120" s="236"/>
      <c r="P120" s="236"/>
    </row>
    <row r="121" spans="1:16" ht="15" x14ac:dyDescent="0.2">
      <c r="B121" s="234" t="s">
        <v>58</v>
      </c>
      <c r="C121" s="388">
        <f>'6-Year - System'!B59/3</f>
        <v>0.66666666666666663</v>
      </c>
      <c r="D121" s="388">
        <f>'6-Year - System'!C59/3</f>
        <v>0.66666666666666663</v>
      </c>
      <c r="E121" s="388">
        <f>'6-Year - System'!D59/3</f>
        <v>0.66666666666666663</v>
      </c>
      <c r="F121" s="388">
        <f>'6-Year - System'!E59/3</f>
        <v>0.66666666666666663</v>
      </c>
      <c r="G121" s="388">
        <f>'6-Year - System'!F59/3</f>
        <v>0.66666666666666663</v>
      </c>
      <c r="H121" s="388">
        <f>'6-Year - System'!G59/3</f>
        <v>0.66666666666666663</v>
      </c>
    </row>
    <row r="122" spans="1:16" ht="15" x14ac:dyDescent="0.2">
      <c r="B122" s="234" t="s">
        <v>46</v>
      </c>
      <c r="C122" s="388">
        <f>'6-Year - System'!B47/3</f>
        <v>2.6666666666666665</v>
      </c>
      <c r="D122" s="388">
        <f>'6-Year - System'!C47/3</f>
        <v>3</v>
      </c>
      <c r="E122" s="388">
        <f>'6-Year - System'!D47/3</f>
        <v>3</v>
      </c>
      <c r="F122" s="388">
        <f>'6-Year - System'!E47/3</f>
        <v>3</v>
      </c>
      <c r="G122" s="388">
        <f>'6-Year - System'!F47/3</f>
        <v>3</v>
      </c>
      <c r="H122" s="388">
        <f>'6-Year - System'!G47/3</f>
        <v>3</v>
      </c>
    </row>
    <row r="123" spans="1:16" ht="15" x14ac:dyDescent="0.2">
      <c r="B123" s="234" t="s">
        <v>47</v>
      </c>
      <c r="C123" s="388">
        <f>'6-Year - System'!B48/3</f>
        <v>2.1666666666666665</v>
      </c>
      <c r="D123" s="388">
        <f>'6-Year - System'!C48/3</f>
        <v>2.1666666666666665</v>
      </c>
      <c r="E123" s="388">
        <f>'6-Year - System'!D48/3</f>
        <v>2.5</v>
      </c>
      <c r="F123" s="388">
        <f>'6-Year - System'!E48/3</f>
        <v>2.5</v>
      </c>
      <c r="G123" s="388">
        <f>'6-Year - System'!F48/3</f>
        <v>2.5</v>
      </c>
      <c r="H123" s="388">
        <f>'6-Year - System'!G48/3</f>
        <v>2.5</v>
      </c>
    </row>
    <row r="124" spans="1:16" ht="15" x14ac:dyDescent="0.2">
      <c r="B124" s="234" t="s">
        <v>430</v>
      </c>
      <c r="C124" s="388">
        <f>SUM('6-Year - System'!B49:B50)/3</f>
        <v>4.666666666666667</v>
      </c>
      <c r="D124" s="388">
        <f>SUM('6-Year - System'!C49:C50)/3</f>
        <v>5</v>
      </c>
      <c r="E124" s="388">
        <f>SUM('6-Year - System'!D49:D50)/3</f>
        <v>5.333333333333333</v>
      </c>
      <c r="F124" s="388">
        <f>SUM('6-Year - System'!E49:E50)/3</f>
        <v>5.333333333333333</v>
      </c>
      <c r="G124" s="388">
        <f>SUM('6-Year - System'!F49:F50)/3</f>
        <v>5.333333333333333</v>
      </c>
      <c r="H124" s="388">
        <f>SUM('6-Year - System'!G49:G50)/3</f>
        <v>5.333333333333333</v>
      </c>
    </row>
    <row r="125" spans="1:16" ht="15" x14ac:dyDescent="0.2">
      <c r="B125" s="234" t="s">
        <v>451</v>
      </c>
      <c r="C125" s="388">
        <f>'6-Year - System'!B51/3</f>
        <v>17.833333333333332</v>
      </c>
      <c r="D125" s="388">
        <f>'6-Year - System'!C51/3</f>
        <v>18.833333333333332</v>
      </c>
      <c r="E125" s="388">
        <f>'6-Year - System'!D51/3</f>
        <v>20.833333333333332</v>
      </c>
      <c r="F125" s="388">
        <f>'6-Year - System'!E51/3</f>
        <v>21.5</v>
      </c>
      <c r="G125" s="388">
        <f>'6-Year - System'!F51/3</f>
        <v>22.166666666666668</v>
      </c>
      <c r="H125" s="388">
        <f>'6-Year - System'!G51/3</f>
        <v>22.166666666666668</v>
      </c>
    </row>
    <row r="126" spans="1:16" ht="15" x14ac:dyDescent="0.2">
      <c r="B126" s="233" t="s">
        <v>432</v>
      </c>
      <c r="C126" s="388">
        <f>SUM('6-Year - System'!B52:B54)/3</f>
        <v>7.333333333333333</v>
      </c>
      <c r="D126" s="388">
        <f>SUM('6-Year - System'!C52:C54)/3</f>
        <v>8</v>
      </c>
      <c r="E126" s="388">
        <f>SUM('6-Year - System'!D52:D54)/3</f>
        <v>8</v>
      </c>
      <c r="F126" s="388">
        <f>SUM('6-Year - System'!E52:E54)/3</f>
        <v>8.3333333333333339</v>
      </c>
      <c r="G126" s="388">
        <f>SUM('6-Year - System'!F52:F54)/3</f>
        <v>8.3333333333333339</v>
      </c>
      <c r="H126" s="388">
        <f>SUM('6-Year - System'!G52:G54)/3</f>
        <v>8.3333333333333339</v>
      </c>
    </row>
    <row r="127" spans="1:16" ht="20.25" customHeight="1" x14ac:dyDescent="0.2">
      <c r="B127" s="290" t="s">
        <v>456</v>
      </c>
      <c r="C127" s="288">
        <f t="shared" ref="C127:H127" si="7">SUM(C109:C126)</f>
        <v>124.16666666666667</v>
      </c>
      <c r="D127" s="288">
        <f t="shared" si="7"/>
        <v>142.66666666666669</v>
      </c>
      <c r="E127" s="288">
        <f t="shared" si="7"/>
        <v>151.33333333333334</v>
      </c>
      <c r="F127" s="288">
        <f t="shared" si="7"/>
        <v>156.66666666666666</v>
      </c>
      <c r="G127" s="289">
        <f t="shared" si="7"/>
        <v>164.5</v>
      </c>
      <c r="H127" s="288">
        <f t="shared" si="7"/>
        <v>170.16666666666666</v>
      </c>
    </row>
    <row r="128" spans="1:16" ht="20.25" customHeight="1" x14ac:dyDescent="0.2">
      <c r="B128" s="287"/>
      <c r="C128" s="286"/>
      <c r="D128" s="286"/>
      <c r="E128" s="286"/>
      <c r="F128" s="286"/>
      <c r="G128" s="286"/>
      <c r="H128" s="286"/>
    </row>
    <row r="129" spans="2:10" ht="20.25" customHeight="1" x14ac:dyDescent="0.2">
      <c r="B129" s="285" t="s">
        <v>457</v>
      </c>
      <c r="C129" s="284">
        <f t="shared" ref="C129:H129" si="8">+C127+C106+C85+C64</f>
        <v>514.5</v>
      </c>
      <c r="D129" s="284">
        <f t="shared" si="8"/>
        <v>570</v>
      </c>
      <c r="E129" s="284">
        <f t="shared" si="8"/>
        <v>592</v>
      </c>
      <c r="F129" s="284">
        <f t="shared" si="8"/>
        <v>607</v>
      </c>
      <c r="G129" s="284">
        <f t="shared" si="8"/>
        <v>617.5</v>
      </c>
      <c r="H129" s="284">
        <f t="shared" si="8"/>
        <v>623.5</v>
      </c>
    </row>
    <row r="130" spans="2:10" ht="15" x14ac:dyDescent="0.2">
      <c r="B130" s="283"/>
      <c r="C130" s="283"/>
      <c r="D130" s="283"/>
      <c r="E130" s="283"/>
      <c r="F130" s="283"/>
      <c r="G130" s="283"/>
      <c r="H130" s="283"/>
      <c r="I130" s="283"/>
      <c r="J130" s="283"/>
    </row>
    <row r="131" spans="2:10" x14ac:dyDescent="0.2">
      <c r="B131" s="282"/>
    </row>
    <row r="132" spans="2:10" x14ac:dyDescent="0.2">
      <c r="B132" s="281"/>
    </row>
    <row r="137" spans="2:10" x14ac:dyDescent="0.2">
      <c r="C137" s="280">
        <f t="shared" ref="C137:H137" si="9">C129-C64</f>
        <v>505.5</v>
      </c>
      <c r="D137" s="280">
        <f t="shared" si="9"/>
        <v>561</v>
      </c>
      <c r="E137" s="280">
        <f t="shared" si="9"/>
        <v>583</v>
      </c>
      <c r="F137" s="280">
        <f t="shared" si="9"/>
        <v>598</v>
      </c>
      <c r="G137" s="280">
        <f t="shared" si="9"/>
        <v>608.5</v>
      </c>
      <c r="H137" s="280">
        <f t="shared" si="9"/>
        <v>614.5</v>
      </c>
    </row>
    <row r="138" spans="2:10" x14ac:dyDescent="0.2">
      <c r="C138" s="227" t="b">
        <f>C137='6-Year - System'!B66</f>
        <v>1</v>
      </c>
      <c r="D138" s="227" t="b">
        <f>D137='6-Year - System'!C66</f>
        <v>1</v>
      </c>
      <c r="E138" s="227" t="b">
        <f>E137='6-Year - System'!D66</f>
        <v>1</v>
      </c>
      <c r="F138" s="227" t="b">
        <f>F137='6-Year - System'!E66</f>
        <v>1</v>
      </c>
      <c r="G138" s="227" t="b">
        <f>G137='6-Year - System'!F66</f>
        <v>1</v>
      </c>
      <c r="H138" s="227" t="b">
        <f>H137='6-Year - System'!G66</f>
        <v>1</v>
      </c>
    </row>
  </sheetData>
  <mergeCells count="86">
    <mergeCell ref="B26:H26"/>
    <mergeCell ref="B15:H15"/>
    <mergeCell ref="H33:H34"/>
    <mergeCell ref="H29:H30"/>
    <mergeCell ref="C31:C32"/>
    <mergeCell ref="D31:D32"/>
    <mergeCell ref="E31:E32"/>
    <mergeCell ref="F31:F32"/>
    <mergeCell ref="B29:B30"/>
    <mergeCell ref="B31:B32"/>
    <mergeCell ref="B33:B34"/>
    <mergeCell ref="C29:C30"/>
    <mergeCell ref="G31:G32"/>
    <mergeCell ref="H31:H32"/>
    <mergeCell ref="E33:E34"/>
    <mergeCell ref="F33:F34"/>
    <mergeCell ref="G33:G34"/>
    <mergeCell ref="D29:D30"/>
    <mergeCell ref="C33:C34"/>
    <mergeCell ref="E29:E30"/>
    <mergeCell ref="D33:D34"/>
    <mergeCell ref="G29:G30"/>
    <mergeCell ref="F29:F30"/>
    <mergeCell ref="E71:E72"/>
    <mergeCell ref="C92:C93"/>
    <mergeCell ref="E90:E91"/>
    <mergeCell ref="E69:E70"/>
    <mergeCell ref="C73:C74"/>
    <mergeCell ref="D73:D74"/>
    <mergeCell ref="D69:D70"/>
    <mergeCell ref="C71:C72"/>
    <mergeCell ref="D71:D72"/>
    <mergeCell ref="B69:B70"/>
    <mergeCell ref="B71:B72"/>
    <mergeCell ref="B73:B74"/>
    <mergeCell ref="B90:B91"/>
    <mergeCell ref="C90:C91"/>
    <mergeCell ref="C69:C70"/>
    <mergeCell ref="B111:B112"/>
    <mergeCell ref="B113:B114"/>
    <mergeCell ref="B115:B116"/>
    <mergeCell ref="C94:C95"/>
    <mergeCell ref="C111:C112"/>
    <mergeCell ref="C113:C114"/>
    <mergeCell ref="C115:C116"/>
    <mergeCell ref="F73:F74"/>
    <mergeCell ref="D94:D95"/>
    <mergeCell ref="E94:E95"/>
    <mergeCell ref="E73:E74"/>
    <mergeCell ref="B94:B95"/>
    <mergeCell ref="B92:B93"/>
    <mergeCell ref="D92:D93"/>
    <mergeCell ref="E92:E93"/>
    <mergeCell ref="D90:D91"/>
    <mergeCell ref="G92:G93"/>
    <mergeCell ref="H92:H93"/>
    <mergeCell ref="F94:F95"/>
    <mergeCell ref="F92:F93"/>
    <mergeCell ref="F90:F91"/>
    <mergeCell ref="D111:D112"/>
    <mergeCell ref="E111:E112"/>
    <mergeCell ref="F115:F116"/>
    <mergeCell ref="G115:G116"/>
    <mergeCell ref="H69:H70"/>
    <mergeCell ref="H73:H74"/>
    <mergeCell ref="H71:H72"/>
    <mergeCell ref="F69:F70"/>
    <mergeCell ref="G71:G72"/>
    <mergeCell ref="G69:G70"/>
    <mergeCell ref="F71:F72"/>
    <mergeCell ref="G94:G95"/>
    <mergeCell ref="H94:H95"/>
    <mergeCell ref="H90:H91"/>
    <mergeCell ref="G73:G74"/>
    <mergeCell ref="G90:G91"/>
    <mergeCell ref="D113:D114"/>
    <mergeCell ref="D115:D116"/>
    <mergeCell ref="E115:E116"/>
    <mergeCell ref="E113:E114"/>
    <mergeCell ref="F113:F114"/>
    <mergeCell ref="H115:H116"/>
    <mergeCell ref="H111:H112"/>
    <mergeCell ref="H113:H114"/>
    <mergeCell ref="F111:F112"/>
    <mergeCell ref="G111:G112"/>
    <mergeCell ref="G113:G114"/>
  </mergeCells>
  <pageMargins left="0.35" right="0.25" top="0.32" bottom="0.5" header="0.32" footer="0.3"/>
  <pageSetup scale="92" orientation="portrait" r:id="rId1"/>
  <headerFooter alignWithMargins="0">
    <oddFooter>&amp;L&amp;7&amp;D  at &amp;T Mike 702.486.8879&amp;C&amp;7Page &amp;P of &amp;N&amp;R&amp;7&amp;F  &amp;A</oddFooter>
  </headerFooter>
  <rowBreaks count="2" manualBreakCount="2">
    <brk id="53" max="8" man="1"/>
    <brk id="106" max="8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23"/>
  <sheetViews>
    <sheetView topLeftCell="A103" zoomScaleNormal="100" workbookViewId="0">
      <selection activeCell="C108" sqref="C108"/>
    </sheetView>
  </sheetViews>
  <sheetFormatPr defaultRowHeight="15" x14ac:dyDescent="0.25"/>
  <cols>
    <col min="1" max="1" width="10.42578125" customWidth="1"/>
    <col min="2" max="2" width="46.85546875" customWidth="1"/>
    <col min="3" max="3" width="16.42578125" customWidth="1"/>
    <col min="4" max="4" width="14.85546875" customWidth="1"/>
    <col min="5" max="5" width="16.42578125" customWidth="1"/>
    <col min="6" max="7" width="14.85546875" customWidth="1"/>
    <col min="8" max="8" width="11" bestFit="1" customWidth="1"/>
  </cols>
  <sheetData>
    <row r="1" spans="1:7" x14ac:dyDescent="0.25">
      <c r="A1" s="2"/>
      <c r="B1" s="1" t="s">
        <v>214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215</v>
      </c>
    </row>
    <row r="2" spans="1:7" x14ac:dyDescent="0.25">
      <c r="A2" s="4"/>
      <c r="B2" s="6" t="s">
        <v>7</v>
      </c>
      <c r="C2" s="7">
        <v>7196.79</v>
      </c>
      <c r="D2" s="7">
        <v>0</v>
      </c>
      <c r="E2" s="7">
        <v>0</v>
      </c>
      <c r="F2" s="7">
        <v>0</v>
      </c>
      <c r="G2" s="7">
        <f>SUM(C2:F2)</f>
        <v>7196.79</v>
      </c>
    </row>
    <row r="3" spans="1:7" x14ac:dyDescent="0.25">
      <c r="A3" s="4"/>
      <c r="B3" s="8"/>
      <c r="C3" s="7">
        <v>0</v>
      </c>
      <c r="D3" s="7">
        <v>0</v>
      </c>
      <c r="E3" s="7"/>
      <c r="F3" s="7">
        <v>0</v>
      </c>
      <c r="G3" s="7">
        <f>SUM(C3:F3)</f>
        <v>0</v>
      </c>
    </row>
    <row r="4" spans="1:7" x14ac:dyDescent="0.25">
      <c r="A4" s="4"/>
      <c r="B4" s="8"/>
      <c r="C4" s="139"/>
      <c r="D4" s="139"/>
      <c r="E4" s="139"/>
      <c r="F4" s="139"/>
      <c r="G4" s="153"/>
    </row>
    <row r="5" spans="1:7" x14ac:dyDescent="0.25">
      <c r="A5" s="4"/>
      <c r="B5" s="8" t="s">
        <v>8</v>
      </c>
      <c r="C5" s="9">
        <f>C6+C7+C8+C9+C10+C11+C12+C13+C14+C15+C16+C17+C18</f>
        <v>1014</v>
      </c>
      <c r="D5" s="9"/>
      <c r="E5" s="9"/>
      <c r="F5" s="9"/>
      <c r="G5" s="9">
        <f t="shared" ref="G5:G19" si="0">SUM(C5:F5)</f>
        <v>1014</v>
      </c>
    </row>
    <row r="6" spans="1:7" x14ac:dyDescent="0.25">
      <c r="A6" s="151">
        <v>4</v>
      </c>
      <c r="B6" s="10" t="s">
        <v>9</v>
      </c>
      <c r="C6" s="11">
        <v>100</v>
      </c>
      <c r="D6" s="11"/>
      <c r="E6" s="11"/>
      <c r="F6" s="11"/>
      <c r="G6" s="9">
        <f t="shared" si="0"/>
        <v>100</v>
      </c>
    </row>
    <row r="7" spans="1:7" x14ac:dyDescent="0.25">
      <c r="A7" s="151">
        <v>4</v>
      </c>
      <c r="B7" s="12" t="s">
        <v>10</v>
      </c>
      <c r="C7" s="11">
        <v>100</v>
      </c>
      <c r="D7" s="11"/>
      <c r="E7" s="11"/>
      <c r="F7" s="11"/>
      <c r="G7" s="9">
        <f t="shared" si="0"/>
        <v>100</v>
      </c>
    </row>
    <row r="8" spans="1:7" x14ac:dyDescent="0.25">
      <c r="A8" s="151">
        <v>4</v>
      </c>
      <c r="B8" s="12" t="s">
        <v>11</v>
      </c>
      <c r="C8" s="11">
        <v>104</v>
      </c>
      <c r="D8" s="11"/>
      <c r="E8" s="11"/>
      <c r="F8" s="11"/>
      <c r="G8" s="9">
        <f t="shared" si="0"/>
        <v>104</v>
      </c>
    </row>
    <row r="9" spans="1:7" x14ac:dyDescent="0.25">
      <c r="A9" s="151">
        <v>4</v>
      </c>
      <c r="B9" s="13" t="s">
        <v>12</v>
      </c>
      <c r="C9" s="11">
        <v>108</v>
      </c>
      <c r="D9" s="11"/>
      <c r="E9" s="11"/>
      <c r="F9" s="11"/>
      <c r="G9" s="9">
        <f t="shared" si="0"/>
        <v>108</v>
      </c>
    </row>
    <row r="10" spans="1:7" x14ac:dyDescent="0.25">
      <c r="A10" s="151">
        <v>4</v>
      </c>
      <c r="B10" s="13" t="s">
        <v>13</v>
      </c>
      <c r="C10" s="11">
        <f>27*4</f>
        <v>108</v>
      </c>
      <c r="D10" s="11"/>
      <c r="E10" s="11"/>
      <c r="F10" s="11"/>
      <c r="G10" s="9">
        <f t="shared" si="0"/>
        <v>108</v>
      </c>
    </row>
    <row r="11" spans="1:7" x14ac:dyDescent="0.25">
      <c r="A11" s="151">
        <v>4</v>
      </c>
      <c r="B11" s="13" t="s">
        <v>14</v>
      </c>
      <c r="C11" s="11">
        <v>124</v>
      </c>
      <c r="D11" s="11"/>
      <c r="E11" s="11"/>
      <c r="F11" s="11"/>
      <c r="G11" s="9">
        <f t="shared" si="0"/>
        <v>124</v>
      </c>
    </row>
    <row r="12" spans="1:7" x14ac:dyDescent="0.25">
      <c r="A12" s="151">
        <v>4</v>
      </c>
      <c r="B12" s="13" t="s">
        <v>15</v>
      </c>
      <c r="C12" s="11">
        <v>124</v>
      </c>
      <c r="D12" s="7"/>
      <c r="E12" s="7"/>
      <c r="F12" s="7"/>
      <c r="G12" s="9">
        <f t="shared" si="0"/>
        <v>124</v>
      </c>
    </row>
    <row r="13" spans="1:7" x14ac:dyDescent="0.25">
      <c r="A13" s="151">
        <v>4</v>
      </c>
      <c r="B13" s="13" t="s">
        <v>16</v>
      </c>
      <c r="C13" s="11">
        <v>124</v>
      </c>
      <c r="D13" s="7"/>
      <c r="E13" s="7"/>
      <c r="F13" s="7"/>
      <c r="G13" s="9">
        <f t="shared" si="0"/>
        <v>124</v>
      </c>
    </row>
    <row r="14" spans="1:7" x14ac:dyDescent="0.25">
      <c r="A14" s="151">
        <v>4</v>
      </c>
      <c r="B14" s="13" t="s">
        <v>17</v>
      </c>
      <c r="C14" s="11">
        <v>122</v>
      </c>
      <c r="D14" s="7"/>
      <c r="E14" s="7"/>
      <c r="F14" s="7"/>
      <c r="G14" s="9">
        <f t="shared" si="0"/>
        <v>122</v>
      </c>
    </row>
    <row r="15" spans="1:7" x14ac:dyDescent="0.25">
      <c r="A15" s="151"/>
      <c r="B15" s="13" t="s">
        <v>18</v>
      </c>
      <c r="C15" s="15">
        <v>0</v>
      </c>
      <c r="D15" s="7"/>
      <c r="E15" s="7"/>
      <c r="F15" s="7"/>
      <c r="G15" s="9">
        <f t="shared" si="0"/>
        <v>0</v>
      </c>
    </row>
    <row r="16" spans="1:7" x14ac:dyDescent="0.25">
      <c r="A16" s="151"/>
      <c r="B16" s="13" t="s">
        <v>19</v>
      </c>
      <c r="C16" s="15">
        <v>0</v>
      </c>
      <c r="D16" s="7"/>
      <c r="E16" s="7"/>
      <c r="F16" s="7"/>
      <c r="G16" s="9">
        <f t="shared" si="0"/>
        <v>0</v>
      </c>
    </row>
    <row r="17" spans="1:9" x14ac:dyDescent="0.25">
      <c r="A17" s="151"/>
      <c r="B17" s="13" t="s">
        <v>20</v>
      </c>
      <c r="C17" s="7">
        <v>0</v>
      </c>
      <c r="D17" s="7"/>
      <c r="E17" s="7"/>
      <c r="F17" s="7"/>
      <c r="G17" s="9">
        <f t="shared" si="0"/>
        <v>0</v>
      </c>
    </row>
    <row r="18" spans="1:9" x14ac:dyDescent="0.25">
      <c r="A18" s="151"/>
      <c r="B18" s="13" t="s">
        <v>21</v>
      </c>
      <c r="C18" s="7">
        <v>0</v>
      </c>
      <c r="D18" s="7"/>
      <c r="E18" s="7"/>
      <c r="F18" s="7"/>
      <c r="G18" s="9">
        <f t="shared" si="0"/>
        <v>0</v>
      </c>
    </row>
    <row r="19" spans="1:9" x14ac:dyDescent="0.25">
      <c r="A19" s="151"/>
      <c r="B19" s="13" t="s">
        <v>8</v>
      </c>
      <c r="C19" s="9">
        <f>SUM(C6:C18)</f>
        <v>1014</v>
      </c>
      <c r="D19" s="9"/>
      <c r="E19" s="9"/>
      <c r="F19" s="9"/>
      <c r="G19" s="9">
        <f t="shared" si="0"/>
        <v>1014</v>
      </c>
      <c r="H19" s="138">
        <f>G87+G92+G94</f>
        <v>7389337.0699999994</v>
      </c>
      <c r="I19">
        <f>H19/G19</f>
        <v>7287.3146646942796</v>
      </c>
    </row>
    <row r="20" spans="1:9" x14ac:dyDescent="0.25">
      <c r="A20" s="4"/>
      <c r="B20" s="16"/>
      <c r="C20" s="7"/>
      <c r="D20" s="7"/>
      <c r="E20" s="7"/>
      <c r="F20" s="7"/>
      <c r="G20" s="7"/>
    </row>
    <row r="21" spans="1:9" x14ac:dyDescent="0.25">
      <c r="A21" s="4"/>
      <c r="B21" s="17" t="s">
        <v>22</v>
      </c>
      <c r="C21" s="18"/>
      <c r="D21" s="18"/>
      <c r="E21" s="18"/>
      <c r="F21" s="18"/>
      <c r="G21" s="18"/>
      <c r="I21" s="137"/>
    </row>
    <row r="22" spans="1:9" x14ac:dyDescent="0.25">
      <c r="A22" s="4"/>
      <c r="B22" s="140" t="s">
        <v>23</v>
      </c>
      <c r="C22" s="7"/>
      <c r="D22" s="7"/>
      <c r="E22" s="7">
        <v>82</v>
      </c>
      <c r="F22" s="7"/>
      <c r="G22" s="7">
        <f t="shared" ref="G22:G27" si="1">SUM(C22:F22)</f>
        <v>82</v>
      </c>
    </row>
    <row r="23" spans="1:9" x14ac:dyDescent="0.25">
      <c r="A23" s="4"/>
      <c r="B23" s="140" t="s">
        <v>24</v>
      </c>
      <c r="C23" s="7"/>
      <c r="D23" s="7">
        <v>23</v>
      </c>
      <c r="E23" s="7"/>
      <c r="F23" s="7"/>
      <c r="G23" s="7">
        <f t="shared" si="1"/>
        <v>23</v>
      </c>
    </row>
    <row r="24" spans="1:9" x14ac:dyDescent="0.25">
      <c r="A24" s="4"/>
      <c r="B24" s="140" t="s">
        <v>25</v>
      </c>
      <c r="C24" s="7"/>
      <c r="D24" s="7">
        <v>33</v>
      </c>
      <c r="E24" s="7"/>
      <c r="F24" s="7"/>
      <c r="G24" s="7">
        <f t="shared" si="1"/>
        <v>33</v>
      </c>
    </row>
    <row r="25" spans="1:9" x14ac:dyDescent="0.25">
      <c r="A25" s="4"/>
      <c r="B25" s="140" t="s">
        <v>26</v>
      </c>
      <c r="C25" s="19"/>
      <c r="D25" s="19"/>
      <c r="E25" s="19"/>
      <c r="F25" s="178">
        <v>0.26019999999999999</v>
      </c>
      <c r="G25" s="19">
        <f t="shared" si="1"/>
        <v>0.26019999999999999</v>
      </c>
    </row>
    <row r="26" spans="1:9" x14ac:dyDescent="0.25">
      <c r="A26" s="4"/>
      <c r="B26" s="140" t="s">
        <v>27</v>
      </c>
      <c r="C26" s="7"/>
      <c r="D26" s="7">
        <v>225</v>
      </c>
      <c r="E26" s="7"/>
      <c r="F26" s="7"/>
      <c r="G26" s="7">
        <f t="shared" si="1"/>
        <v>225</v>
      </c>
    </row>
    <row r="27" spans="1:9" x14ac:dyDescent="0.25">
      <c r="A27" s="4"/>
      <c r="B27" s="20"/>
      <c r="C27" s="7"/>
      <c r="D27" s="7"/>
      <c r="E27" s="7"/>
      <c r="F27" s="7"/>
      <c r="G27" s="7">
        <f t="shared" si="1"/>
        <v>0</v>
      </c>
    </row>
    <row r="28" spans="1:9" x14ac:dyDescent="0.25">
      <c r="A28" s="4"/>
      <c r="B28" s="17" t="s">
        <v>28</v>
      </c>
      <c r="C28" s="18"/>
      <c r="D28" s="18"/>
      <c r="E28" s="18"/>
      <c r="F28" s="18"/>
      <c r="G28" s="18"/>
    </row>
    <row r="29" spans="1:9" x14ac:dyDescent="0.25">
      <c r="A29" s="4"/>
      <c r="B29" s="21" t="s">
        <v>29</v>
      </c>
      <c r="C29" s="23">
        <v>36</v>
      </c>
      <c r="D29" s="23"/>
      <c r="E29" s="23"/>
      <c r="F29" s="23"/>
      <c r="G29" s="23">
        <f t="shared" ref="G29:G38" si="2">SUM(C29:F29)</f>
        <v>36</v>
      </c>
    </row>
    <row r="30" spans="1:9" x14ac:dyDescent="0.25">
      <c r="A30" s="25"/>
      <c r="B30" s="21" t="s">
        <v>30</v>
      </c>
      <c r="C30" s="26">
        <v>0</v>
      </c>
      <c r="D30" s="26"/>
      <c r="E30" s="26">
        <v>4</v>
      </c>
      <c r="F30" s="26"/>
      <c r="G30" s="23">
        <f t="shared" si="2"/>
        <v>4</v>
      </c>
    </row>
    <row r="31" spans="1:9" x14ac:dyDescent="0.25">
      <c r="A31" s="4"/>
      <c r="B31" s="21" t="s">
        <v>31</v>
      </c>
      <c r="C31" s="23">
        <v>1</v>
      </c>
      <c r="D31" s="23"/>
      <c r="E31" s="23"/>
      <c r="F31" s="23"/>
      <c r="G31" s="23">
        <f t="shared" si="2"/>
        <v>1</v>
      </c>
    </row>
    <row r="32" spans="1:9" x14ac:dyDescent="0.25">
      <c r="A32" s="4"/>
      <c r="B32" s="21" t="s">
        <v>32</v>
      </c>
      <c r="C32" s="23">
        <v>1</v>
      </c>
      <c r="D32" s="23"/>
      <c r="E32" s="23"/>
      <c r="F32" s="23"/>
      <c r="G32" s="23">
        <f t="shared" si="2"/>
        <v>1</v>
      </c>
    </row>
    <row r="33" spans="1:7" x14ac:dyDescent="0.25">
      <c r="A33" s="4"/>
      <c r="B33" s="21" t="s">
        <v>33</v>
      </c>
      <c r="C33" s="23">
        <v>1</v>
      </c>
      <c r="D33" s="23"/>
      <c r="E33" s="23"/>
      <c r="F33" s="23"/>
      <c r="G33" s="23">
        <f t="shared" si="2"/>
        <v>1</v>
      </c>
    </row>
    <row r="34" spans="1:7" x14ac:dyDescent="0.25">
      <c r="A34" s="4"/>
      <c r="B34" s="24" t="s">
        <v>34</v>
      </c>
      <c r="C34" s="23">
        <v>0</v>
      </c>
      <c r="D34" s="22"/>
      <c r="E34" s="22"/>
      <c r="F34" s="22"/>
      <c r="G34" s="23">
        <f t="shared" si="2"/>
        <v>0</v>
      </c>
    </row>
    <row r="35" spans="1:7" x14ac:dyDescent="0.25">
      <c r="A35" s="4"/>
      <c r="B35" s="27" t="s">
        <v>35</v>
      </c>
      <c r="C35" s="23">
        <v>1</v>
      </c>
      <c r="D35" s="23"/>
      <c r="E35" s="23"/>
      <c r="F35" s="23"/>
      <c r="G35" s="23">
        <f t="shared" si="2"/>
        <v>1</v>
      </c>
    </row>
    <row r="36" spans="1:7" x14ac:dyDescent="0.25">
      <c r="A36" s="4"/>
      <c r="B36" s="28" t="s">
        <v>36</v>
      </c>
      <c r="C36" s="23">
        <v>0</v>
      </c>
      <c r="D36" s="22"/>
      <c r="E36" s="22"/>
      <c r="F36" s="22"/>
      <c r="G36" s="23">
        <f t="shared" si="2"/>
        <v>0</v>
      </c>
    </row>
    <row r="37" spans="1:7" x14ac:dyDescent="0.25">
      <c r="A37" s="4"/>
      <c r="B37" s="27" t="s">
        <v>37</v>
      </c>
      <c r="C37" s="23">
        <v>1</v>
      </c>
      <c r="D37" s="23"/>
      <c r="E37" s="23"/>
      <c r="F37" s="23"/>
      <c r="G37" s="23">
        <f t="shared" si="2"/>
        <v>1</v>
      </c>
    </row>
    <row r="38" spans="1:7" x14ac:dyDescent="0.25">
      <c r="A38" s="4"/>
      <c r="B38" s="27" t="s">
        <v>38</v>
      </c>
      <c r="C38" s="23">
        <v>2</v>
      </c>
      <c r="D38" s="23"/>
      <c r="E38" s="23"/>
      <c r="F38" s="23"/>
      <c r="G38" s="23">
        <f t="shared" si="2"/>
        <v>2</v>
      </c>
    </row>
    <row r="39" spans="1:7" x14ac:dyDescent="0.25">
      <c r="A39" s="4"/>
      <c r="B39" s="29" t="s">
        <v>39</v>
      </c>
      <c r="C39" s="30">
        <f>SUM(C29:C38)</f>
        <v>43</v>
      </c>
      <c r="D39" s="30">
        <f>SUM(D29:D38)</f>
        <v>0</v>
      </c>
      <c r="E39" s="30">
        <f t="shared" ref="E39:G39" si="3">SUM(E29:E38)</f>
        <v>4</v>
      </c>
      <c r="F39" s="30">
        <f t="shared" si="3"/>
        <v>0</v>
      </c>
      <c r="G39" s="30">
        <f t="shared" si="3"/>
        <v>47</v>
      </c>
    </row>
    <row r="40" spans="1:7" x14ac:dyDescent="0.25">
      <c r="A40" s="4"/>
      <c r="B40" s="31"/>
      <c r="C40" s="23"/>
      <c r="D40" s="23"/>
      <c r="E40" s="23"/>
      <c r="F40" s="23"/>
      <c r="G40" s="23"/>
    </row>
    <row r="41" spans="1:7" x14ac:dyDescent="0.25">
      <c r="A41" s="4"/>
      <c r="B41" s="17" t="s">
        <v>40</v>
      </c>
      <c r="C41" s="32"/>
      <c r="D41" s="32"/>
      <c r="E41" s="32"/>
      <c r="F41" s="32"/>
      <c r="G41" s="32"/>
    </row>
    <row r="42" spans="1:7" x14ac:dyDescent="0.25">
      <c r="A42" s="4"/>
      <c r="B42" s="21" t="s">
        <v>41</v>
      </c>
      <c r="C42" s="23">
        <v>1</v>
      </c>
      <c r="D42" s="23"/>
      <c r="E42" s="23"/>
      <c r="F42" s="23"/>
      <c r="G42" s="23">
        <f>SUM(C42:F42)</f>
        <v>1</v>
      </c>
    </row>
    <row r="43" spans="1:7" x14ac:dyDescent="0.25">
      <c r="A43" s="4"/>
      <c r="B43" s="21" t="s">
        <v>42</v>
      </c>
      <c r="C43" s="26">
        <v>2</v>
      </c>
      <c r="D43" s="23"/>
      <c r="E43" s="23"/>
      <c r="F43" s="23"/>
      <c r="G43" s="23">
        <f t="shared" ref="G43:G61" si="4">SUM(C43:F43)</f>
        <v>2</v>
      </c>
    </row>
    <row r="44" spans="1:7" x14ac:dyDescent="0.25">
      <c r="A44" s="4"/>
      <c r="B44" s="34" t="s">
        <v>43</v>
      </c>
      <c r="C44" s="23">
        <v>0</v>
      </c>
      <c r="D44" s="23"/>
      <c r="E44" s="23"/>
      <c r="F44" s="23"/>
      <c r="G44" s="23">
        <f t="shared" si="4"/>
        <v>0</v>
      </c>
    </row>
    <row r="45" spans="1:7" x14ac:dyDescent="0.25">
      <c r="A45" s="4"/>
      <c r="B45" s="33" t="s">
        <v>44</v>
      </c>
      <c r="C45" s="23">
        <v>1</v>
      </c>
      <c r="D45" s="23"/>
      <c r="E45" s="23"/>
      <c r="F45" s="23"/>
      <c r="G45" s="23">
        <f t="shared" si="4"/>
        <v>1</v>
      </c>
    </row>
    <row r="46" spans="1:7" x14ac:dyDescent="0.25">
      <c r="A46" s="4"/>
      <c r="B46" s="33" t="s">
        <v>45</v>
      </c>
      <c r="C46" s="23">
        <v>1</v>
      </c>
      <c r="D46" s="23"/>
      <c r="E46" s="23"/>
      <c r="F46" s="23"/>
      <c r="G46" s="23">
        <f t="shared" si="4"/>
        <v>1</v>
      </c>
    </row>
    <row r="47" spans="1:7" x14ac:dyDescent="0.25">
      <c r="A47" s="4"/>
      <c r="B47" s="21" t="s">
        <v>200</v>
      </c>
      <c r="C47" s="23">
        <v>1</v>
      </c>
      <c r="D47" s="23"/>
      <c r="E47" s="23"/>
      <c r="F47" s="23"/>
      <c r="G47" s="23">
        <f t="shared" si="4"/>
        <v>1</v>
      </c>
    </row>
    <row r="48" spans="1:7" x14ac:dyDescent="0.25">
      <c r="A48" s="4"/>
      <c r="B48" s="21" t="s">
        <v>47</v>
      </c>
      <c r="C48" s="26">
        <v>1</v>
      </c>
      <c r="D48" s="26"/>
      <c r="E48" s="26"/>
      <c r="F48" s="26"/>
      <c r="G48" s="23">
        <f t="shared" si="4"/>
        <v>1</v>
      </c>
    </row>
    <row r="49" spans="1:7" x14ac:dyDescent="0.25">
      <c r="A49" s="4"/>
      <c r="B49" s="21" t="s">
        <v>48</v>
      </c>
      <c r="C49" s="26">
        <v>1</v>
      </c>
      <c r="D49" s="26"/>
      <c r="E49" s="26"/>
      <c r="F49" s="26"/>
      <c r="G49" s="23">
        <f t="shared" si="4"/>
        <v>1</v>
      </c>
    </row>
    <row r="50" spans="1:7" x14ac:dyDescent="0.25">
      <c r="A50" s="4"/>
      <c r="B50" s="21" t="s">
        <v>49</v>
      </c>
      <c r="C50" s="26">
        <v>1</v>
      </c>
      <c r="D50" s="26"/>
      <c r="E50" s="26"/>
      <c r="F50" s="26"/>
      <c r="G50" s="23">
        <f t="shared" si="4"/>
        <v>1</v>
      </c>
    </row>
    <row r="51" spans="1:7" x14ac:dyDescent="0.25">
      <c r="A51" s="4"/>
      <c r="B51" s="21" t="s">
        <v>50</v>
      </c>
      <c r="C51" s="152">
        <v>0</v>
      </c>
      <c r="D51" s="152">
        <v>4.5</v>
      </c>
      <c r="E51" s="152">
        <v>4</v>
      </c>
      <c r="F51" s="152">
        <v>0</v>
      </c>
      <c r="G51" s="23">
        <f t="shared" si="4"/>
        <v>8.5</v>
      </c>
    </row>
    <row r="52" spans="1:7" x14ac:dyDescent="0.25">
      <c r="A52" s="4"/>
      <c r="B52" s="21" t="s">
        <v>51</v>
      </c>
      <c r="C52" s="152">
        <v>2</v>
      </c>
      <c r="D52" s="152"/>
      <c r="E52" s="152"/>
      <c r="F52" s="152"/>
      <c r="G52" s="23">
        <f t="shared" si="4"/>
        <v>2</v>
      </c>
    </row>
    <row r="53" spans="1:7" x14ac:dyDescent="0.25">
      <c r="A53" s="4"/>
      <c r="B53" s="21" t="s">
        <v>52</v>
      </c>
      <c r="C53" s="152"/>
      <c r="D53" s="152"/>
      <c r="E53" s="152"/>
      <c r="F53" s="152">
        <v>1</v>
      </c>
      <c r="G53" s="23">
        <f t="shared" si="4"/>
        <v>1</v>
      </c>
    </row>
    <row r="54" spans="1:7" x14ac:dyDescent="0.25">
      <c r="A54" s="4"/>
      <c r="B54" s="21" t="s">
        <v>53</v>
      </c>
      <c r="C54" s="26">
        <v>0</v>
      </c>
      <c r="D54" s="26">
        <v>0</v>
      </c>
      <c r="E54" s="26"/>
      <c r="F54" s="26"/>
      <c r="G54" s="23">
        <f t="shared" si="4"/>
        <v>0</v>
      </c>
    </row>
    <row r="55" spans="1:7" x14ac:dyDescent="0.25">
      <c r="A55" s="4"/>
      <c r="B55" s="34" t="s">
        <v>54</v>
      </c>
      <c r="C55" s="23">
        <v>0</v>
      </c>
      <c r="D55" s="23"/>
      <c r="E55" s="23">
        <v>0.33</v>
      </c>
      <c r="F55" s="23"/>
      <c r="G55" s="23">
        <f t="shared" si="4"/>
        <v>0.33</v>
      </c>
    </row>
    <row r="56" spans="1:7" x14ac:dyDescent="0.25">
      <c r="A56" s="4"/>
      <c r="B56" s="34" t="s">
        <v>55</v>
      </c>
      <c r="C56" s="23">
        <v>0</v>
      </c>
      <c r="D56" s="23">
        <v>0</v>
      </c>
      <c r="E56" s="23"/>
      <c r="F56" s="23"/>
      <c r="G56" s="23">
        <f t="shared" si="4"/>
        <v>0</v>
      </c>
    </row>
    <row r="57" spans="1:7" x14ac:dyDescent="0.25">
      <c r="A57" s="4"/>
      <c r="B57" s="34" t="s">
        <v>56</v>
      </c>
      <c r="C57" s="23">
        <v>0</v>
      </c>
      <c r="D57" s="23">
        <v>0</v>
      </c>
      <c r="E57" s="23"/>
      <c r="F57" s="23"/>
      <c r="G57" s="23">
        <f t="shared" si="4"/>
        <v>0</v>
      </c>
    </row>
    <row r="58" spans="1:7" x14ac:dyDescent="0.25">
      <c r="A58" s="4"/>
      <c r="B58" s="34" t="s">
        <v>57</v>
      </c>
      <c r="C58" s="23">
        <v>0</v>
      </c>
      <c r="D58" s="23">
        <v>0</v>
      </c>
      <c r="E58" s="23"/>
      <c r="F58" s="23"/>
      <c r="G58" s="23">
        <f t="shared" si="4"/>
        <v>0</v>
      </c>
    </row>
    <row r="59" spans="1:7" x14ac:dyDescent="0.25">
      <c r="A59" s="4"/>
      <c r="B59" s="34" t="s">
        <v>58</v>
      </c>
      <c r="C59" s="23">
        <v>0</v>
      </c>
      <c r="D59" s="23">
        <v>0</v>
      </c>
      <c r="E59" s="23"/>
      <c r="F59" s="23"/>
      <c r="G59" s="23">
        <f t="shared" si="4"/>
        <v>0</v>
      </c>
    </row>
    <row r="60" spans="1:7" x14ac:dyDescent="0.25">
      <c r="A60" s="4"/>
      <c r="B60" s="34" t="s">
        <v>59</v>
      </c>
      <c r="C60" s="23">
        <v>0</v>
      </c>
      <c r="D60" s="23">
        <v>0.5</v>
      </c>
      <c r="E60" s="23"/>
      <c r="F60" s="23"/>
      <c r="G60" s="23">
        <f t="shared" si="4"/>
        <v>0.5</v>
      </c>
    </row>
    <row r="61" spans="1:7" x14ac:dyDescent="0.25">
      <c r="A61" s="4"/>
      <c r="B61" s="35"/>
      <c r="C61" s="23">
        <v>0</v>
      </c>
      <c r="D61" s="23">
        <v>0</v>
      </c>
      <c r="E61" s="23"/>
      <c r="F61" s="23"/>
      <c r="G61" s="23">
        <f t="shared" si="4"/>
        <v>0</v>
      </c>
    </row>
    <row r="62" spans="1:7" x14ac:dyDescent="0.25">
      <c r="A62" s="4"/>
      <c r="B62" s="29" t="s">
        <v>60</v>
      </c>
      <c r="C62" s="30">
        <f>SUM(C42:C61)</f>
        <v>11</v>
      </c>
      <c r="D62" s="30">
        <f t="shared" ref="D62:G62" si="5">SUM(D42:D61)</f>
        <v>5</v>
      </c>
      <c r="E62" s="30">
        <f t="shared" si="5"/>
        <v>4.33</v>
      </c>
      <c r="F62" s="30">
        <f t="shared" si="5"/>
        <v>1</v>
      </c>
      <c r="G62" s="30">
        <f t="shared" si="5"/>
        <v>21.33</v>
      </c>
    </row>
    <row r="63" spans="1:7" ht="15.75" thickBot="1" x14ac:dyDescent="0.3">
      <c r="A63" s="4"/>
      <c r="B63" s="36"/>
      <c r="C63" s="38"/>
      <c r="D63" s="38"/>
      <c r="E63" s="38"/>
      <c r="F63" s="38"/>
      <c r="G63" s="38"/>
    </row>
    <row r="64" spans="1:7" x14ac:dyDescent="0.25">
      <c r="A64" s="2"/>
      <c r="B64" s="40" t="s">
        <v>61</v>
      </c>
      <c r="C64" s="39">
        <f>C39</f>
        <v>43</v>
      </c>
      <c r="D64" s="39">
        <f>D39</f>
        <v>0</v>
      </c>
      <c r="E64" s="39">
        <f>E39</f>
        <v>4</v>
      </c>
      <c r="F64" s="39">
        <f t="shared" ref="F64" si="6">F39</f>
        <v>0</v>
      </c>
      <c r="G64" s="39">
        <f>G39</f>
        <v>47</v>
      </c>
    </row>
    <row r="65" spans="1:7" ht="15.75" thickBot="1" x14ac:dyDescent="0.3">
      <c r="A65" s="2"/>
      <c r="B65" s="42" t="s">
        <v>62</v>
      </c>
      <c r="C65" s="41">
        <f>C62</f>
        <v>11</v>
      </c>
      <c r="D65" s="41">
        <f>D62</f>
        <v>5</v>
      </c>
      <c r="E65" s="41">
        <f>E62</f>
        <v>4.33</v>
      </c>
      <c r="F65" s="41">
        <f t="shared" ref="F65:G65" si="7">F62</f>
        <v>1</v>
      </c>
      <c r="G65" s="41">
        <f t="shared" si="7"/>
        <v>21.33</v>
      </c>
    </row>
    <row r="66" spans="1:7" ht="15.75" thickBot="1" x14ac:dyDescent="0.3">
      <c r="A66" s="2"/>
      <c r="B66" s="44" t="s">
        <v>63</v>
      </c>
      <c r="C66" s="43">
        <f>SUM(C64:C65)</f>
        <v>54</v>
      </c>
      <c r="D66" s="43">
        <f>SUM(D64:D65)</f>
        <v>5</v>
      </c>
      <c r="E66" s="43">
        <f>SUM(E64:E65)</f>
        <v>8.33</v>
      </c>
      <c r="F66" s="43">
        <f t="shared" ref="F66:G66" si="8">SUM(F64:F65)</f>
        <v>1</v>
      </c>
      <c r="G66" s="43">
        <f t="shared" si="8"/>
        <v>68.33</v>
      </c>
    </row>
    <row r="67" spans="1:7" ht="15.75" thickBot="1" x14ac:dyDescent="0.3">
      <c r="A67" s="4"/>
      <c r="B67" s="34"/>
      <c r="C67" s="45"/>
      <c r="D67" s="45"/>
      <c r="E67" s="45"/>
      <c r="F67" s="45"/>
      <c r="G67" s="45"/>
    </row>
    <row r="68" spans="1:7" x14ac:dyDescent="0.25">
      <c r="A68" s="4"/>
      <c r="B68" s="47" t="s">
        <v>64</v>
      </c>
      <c r="C68" s="46"/>
      <c r="D68" s="46"/>
      <c r="E68" s="46"/>
      <c r="F68" s="46"/>
      <c r="G68" s="46">
        <f t="shared" ref="G68" si="9">G137/(SUM(G204:G214))</f>
        <v>0.63056950578919024</v>
      </c>
    </row>
    <row r="69" spans="1:7" x14ac:dyDescent="0.25">
      <c r="A69" s="4"/>
      <c r="B69" s="49" t="s">
        <v>65</v>
      </c>
      <c r="C69" s="48"/>
      <c r="D69" s="48"/>
      <c r="E69" s="48"/>
      <c r="F69" s="48"/>
      <c r="G69" s="48">
        <f t="shared" ref="G69" si="10">(G108+G109+G110+G113)/G129</f>
        <v>0.77418329813764675</v>
      </c>
    </row>
    <row r="70" spans="1:7" x14ac:dyDescent="0.25">
      <c r="A70" s="4"/>
      <c r="B70" s="51" t="s">
        <v>66</v>
      </c>
      <c r="C70" s="48"/>
      <c r="D70" s="48"/>
      <c r="E70" s="48"/>
      <c r="F70" s="48"/>
      <c r="G70" s="48">
        <f t="shared" ref="G70" si="11">(G103+G104+G106+G107+G111+G112+G114+G115+G118+G119+G120+G121+G122+G105+G123+G124+G125+G126+G127)/G129</f>
        <v>0.22581670186235323</v>
      </c>
    </row>
    <row r="71" spans="1:7" ht="15.75" thickBot="1" x14ac:dyDescent="0.3">
      <c r="A71" s="4"/>
      <c r="B71" s="53" t="s">
        <v>67</v>
      </c>
      <c r="C71" s="52"/>
      <c r="D71" s="52"/>
      <c r="E71" s="52"/>
      <c r="F71" s="52"/>
      <c r="G71" s="52">
        <f t="shared" ref="G71" si="12">SUM(G206:G214)/G86</f>
        <v>0.12305834469273309</v>
      </c>
    </row>
    <row r="72" spans="1:7" x14ac:dyDescent="0.25">
      <c r="A72" s="50"/>
      <c r="B72" s="54"/>
      <c r="C72" s="55"/>
      <c r="D72" s="55"/>
      <c r="E72" s="55"/>
      <c r="F72" s="55"/>
      <c r="G72" s="55"/>
    </row>
    <row r="73" spans="1:7" x14ac:dyDescent="0.25">
      <c r="A73" s="56"/>
      <c r="B73" s="57" t="s">
        <v>68</v>
      </c>
      <c r="C73" s="58" t="str">
        <f>C1</f>
        <v>Operating</v>
      </c>
      <c r="D73" s="58" t="str">
        <f>D1</f>
        <v>Weights</v>
      </c>
      <c r="E73" s="58" t="s">
        <v>3</v>
      </c>
      <c r="F73" s="58" t="str">
        <f t="shared" ref="F73" si="13">F1</f>
        <v>NSLP</v>
      </c>
      <c r="G73" s="58" t="str">
        <f>G1</f>
        <v>St. Rose</v>
      </c>
    </row>
    <row r="74" spans="1:7" x14ac:dyDescent="0.25">
      <c r="A74" s="59">
        <v>3110</v>
      </c>
      <c r="B74" s="60" t="s">
        <v>69</v>
      </c>
      <c r="C74" s="7">
        <f>(C2*C5)*0.97</f>
        <v>7078618.7081999993</v>
      </c>
      <c r="D74" s="7">
        <f t="shared" ref="D74" si="14">(D2*D5)*0.95</f>
        <v>0</v>
      </c>
      <c r="E74" s="7"/>
      <c r="F74" s="7"/>
      <c r="G74" s="7">
        <f t="shared" ref="G74:G85" si="15">SUM(C74:F74)</f>
        <v>7078618.7081999993</v>
      </c>
    </row>
    <row r="75" spans="1:7" x14ac:dyDescent="0.25">
      <c r="A75" s="59"/>
      <c r="B75" s="62" t="s">
        <v>70</v>
      </c>
      <c r="C75" s="7">
        <f>(C3*C5)*0.95</f>
        <v>0</v>
      </c>
      <c r="D75" s="7">
        <f t="shared" ref="D75" si="16">(D3*D5)*0.95</f>
        <v>0</v>
      </c>
      <c r="E75" s="7">
        <f>SPED!D7</f>
        <v>0</v>
      </c>
      <c r="F75" s="7"/>
      <c r="G75" s="7">
        <f t="shared" si="15"/>
        <v>0</v>
      </c>
    </row>
    <row r="76" spans="1:7" x14ac:dyDescent="0.25">
      <c r="A76" s="59">
        <v>4500</v>
      </c>
      <c r="B76" s="62" t="s">
        <v>71</v>
      </c>
      <c r="C76" s="7">
        <f>($C$19*C25)*3.15*180</f>
        <v>0</v>
      </c>
      <c r="D76" s="7">
        <f t="shared" ref="D76" si="17">($C$19*D25)*3.15*180</f>
        <v>0</v>
      </c>
      <c r="E76" s="7"/>
      <c r="F76" s="7">
        <f>(($C$19*F25)*4*180)</f>
        <v>189966.81600000002</v>
      </c>
      <c r="G76" s="7">
        <f t="shared" si="15"/>
        <v>189966.81600000002</v>
      </c>
    </row>
    <row r="77" spans="1:7" x14ac:dyDescent="0.25">
      <c r="A77" s="59">
        <v>4500</v>
      </c>
      <c r="B77" s="62" t="s">
        <v>72</v>
      </c>
      <c r="C77" s="7">
        <f>950*C22</f>
        <v>0</v>
      </c>
      <c r="D77" s="7">
        <f t="shared" ref="D77" si="18">950*D22</f>
        <v>0</v>
      </c>
      <c r="E77" s="7">
        <f>950*E22</f>
        <v>77900</v>
      </c>
      <c r="F77" s="7"/>
      <c r="G77" s="7">
        <f t="shared" si="15"/>
        <v>77900</v>
      </c>
    </row>
    <row r="78" spans="1:7" x14ac:dyDescent="0.25">
      <c r="A78" s="143">
        <v>3115</v>
      </c>
      <c r="B78" s="141" t="s">
        <v>73</v>
      </c>
      <c r="C78" s="37">
        <f>3200*C22</f>
        <v>0</v>
      </c>
      <c r="D78" s="37">
        <f t="shared" ref="D78" si="19">3200*D22</f>
        <v>0</v>
      </c>
      <c r="E78" s="37">
        <f>2755*E22</f>
        <v>225910</v>
      </c>
      <c r="F78" s="37"/>
      <c r="G78" s="7">
        <f t="shared" si="15"/>
        <v>225910</v>
      </c>
    </row>
    <row r="79" spans="1:7" x14ac:dyDescent="0.25">
      <c r="A79" s="63"/>
      <c r="B79" s="62" t="s">
        <v>74</v>
      </c>
      <c r="C79" s="37">
        <f>1400*C23</f>
        <v>0</v>
      </c>
      <c r="D79" s="37">
        <f>1634.62*D23</f>
        <v>37596.259999999995</v>
      </c>
      <c r="E79" s="37"/>
      <c r="F79" s="37"/>
      <c r="G79" s="7">
        <f t="shared" si="15"/>
        <v>37596.259999999995</v>
      </c>
    </row>
    <row r="80" spans="1:7" x14ac:dyDescent="0.25">
      <c r="A80" s="59">
        <v>3200</v>
      </c>
      <c r="B80" s="62" t="s">
        <v>75</v>
      </c>
      <c r="C80" s="7">
        <f>830*C24</f>
        <v>0</v>
      </c>
      <c r="D80" s="7">
        <f>837.64*D24</f>
        <v>27642.12</v>
      </c>
      <c r="E80" s="7"/>
      <c r="F80" s="7"/>
      <c r="G80" s="7">
        <f t="shared" si="15"/>
        <v>27642.12</v>
      </c>
    </row>
    <row r="81" spans="1:7" x14ac:dyDescent="0.25">
      <c r="A81" s="59"/>
      <c r="B81" s="62" t="s">
        <v>76</v>
      </c>
      <c r="C81" s="7">
        <f>240*C26</f>
        <v>0</v>
      </c>
      <c r="D81" s="7">
        <f>240.87*D26</f>
        <v>54195.75</v>
      </c>
      <c r="E81" s="7"/>
      <c r="F81" s="7"/>
      <c r="G81" s="7">
        <f t="shared" si="15"/>
        <v>54195.75</v>
      </c>
    </row>
    <row r="82" spans="1:7" x14ac:dyDescent="0.25">
      <c r="A82" s="64"/>
      <c r="B82" s="62" t="s">
        <v>77</v>
      </c>
      <c r="C82" s="7"/>
      <c r="D82" s="7"/>
      <c r="E82" s="7"/>
      <c r="F82" s="7"/>
      <c r="G82" s="7">
        <f t="shared" si="15"/>
        <v>0</v>
      </c>
    </row>
    <row r="83" spans="1:7" x14ac:dyDescent="0.25">
      <c r="A83" s="59">
        <v>1510</v>
      </c>
      <c r="B83" s="154" t="s">
        <v>78</v>
      </c>
      <c r="C83" s="7">
        <v>0</v>
      </c>
      <c r="D83" s="7"/>
      <c r="E83" s="7"/>
      <c r="F83" s="7"/>
      <c r="G83" s="7">
        <f t="shared" si="15"/>
        <v>0</v>
      </c>
    </row>
    <row r="84" spans="1:7" x14ac:dyDescent="0.25">
      <c r="A84" s="59"/>
      <c r="B84" s="62" t="s">
        <v>77</v>
      </c>
      <c r="C84" s="7"/>
      <c r="D84" s="7"/>
      <c r="E84" s="7"/>
      <c r="F84" s="7"/>
      <c r="G84" s="7">
        <f t="shared" si="15"/>
        <v>0</v>
      </c>
    </row>
    <row r="85" spans="1:7" ht="15.75" thickBot="1" x14ac:dyDescent="0.3">
      <c r="A85" s="63"/>
      <c r="B85" s="65" t="s">
        <v>79</v>
      </c>
      <c r="C85" s="37">
        <f>C155</f>
        <v>14960</v>
      </c>
      <c r="D85" s="37">
        <f t="shared" ref="D85:F85" si="20">D155</f>
        <v>1200</v>
      </c>
      <c r="E85" s="37">
        <f t="shared" si="20"/>
        <v>1999.2</v>
      </c>
      <c r="F85" s="37">
        <f t="shared" si="20"/>
        <v>240</v>
      </c>
      <c r="G85" s="7">
        <f t="shared" si="15"/>
        <v>18399.2</v>
      </c>
    </row>
    <row r="86" spans="1:7" ht="15.75" thickBot="1" x14ac:dyDescent="0.3">
      <c r="A86" s="66"/>
      <c r="B86" s="67" t="s">
        <v>80</v>
      </c>
      <c r="C86" s="68">
        <f>SUM(C74:C85)</f>
        <v>7093578.7081999993</v>
      </c>
      <c r="D86" s="68">
        <f>SUM(D74:D85)</f>
        <v>120634.12999999999</v>
      </c>
      <c r="E86" s="68">
        <f>SUM(E74:E85)</f>
        <v>305809.2</v>
      </c>
      <c r="F86" s="68">
        <f t="shared" ref="F86:G86" si="21">SUM(F74:F85)</f>
        <v>190206.81600000002</v>
      </c>
      <c r="G86" s="68">
        <f t="shared" si="21"/>
        <v>7710228.854199999</v>
      </c>
    </row>
    <row r="87" spans="1:7" hidden="1" x14ac:dyDescent="0.25">
      <c r="A87" s="59">
        <f>A74</f>
        <v>3110</v>
      </c>
      <c r="B87" s="60" t="s">
        <v>69</v>
      </c>
      <c r="C87" s="61">
        <f>C2*C5</f>
        <v>7297545.0599999996</v>
      </c>
      <c r="D87" s="61">
        <f>D2*D5</f>
        <v>0</v>
      </c>
      <c r="E87" s="61">
        <f>E2*E5</f>
        <v>0</v>
      </c>
      <c r="F87" s="61">
        <f t="shared" ref="F87:G87" si="22">F2*F5</f>
        <v>0</v>
      </c>
      <c r="G87" s="61">
        <f t="shared" si="22"/>
        <v>7297545.0599999996</v>
      </c>
    </row>
    <row r="88" spans="1:7" hidden="1" x14ac:dyDescent="0.25">
      <c r="A88" s="59"/>
      <c r="B88" s="62" t="s">
        <v>201</v>
      </c>
      <c r="C88" s="61">
        <f>C3*C5</f>
        <v>0</v>
      </c>
      <c r="D88" s="61">
        <f>D3*D5</f>
        <v>0</v>
      </c>
      <c r="E88" s="61">
        <f>E3*E5</f>
        <v>0</v>
      </c>
      <c r="F88" s="61">
        <f t="shared" ref="F88:G88" si="23">F3*F5</f>
        <v>0</v>
      </c>
      <c r="G88" s="61">
        <f t="shared" si="23"/>
        <v>0</v>
      </c>
    </row>
    <row r="89" spans="1:7" hidden="1" x14ac:dyDescent="0.25">
      <c r="A89" s="59">
        <f t="shared" ref="A89:A91" si="24">A76</f>
        <v>4500</v>
      </c>
      <c r="B89" s="62" t="s">
        <v>71</v>
      </c>
      <c r="C89" s="61">
        <f t="shared" ref="C89:G98" si="25">C76</f>
        <v>0</v>
      </c>
      <c r="D89" s="61">
        <f t="shared" si="25"/>
        <v>0</v>
      </c>
      <c r="E89" s="61">
        <f t="shared" si="25"/>
        <v>0</v>
      </c>
      <c r="F89" s="61">
        <f t="shared" si="25"/>
        <v>189966.81600000002</v>
      </c>
      <c r="G89" s="61">
        <f t="shared" si="25"/>
        <v>189966.81600000002</v>
      </c>
    </row>
    <row r="90" spans="1:7" hidden="1" x14ac:dyDescent="0.25">
      <c r="A90" s="59">
        <f t="shared" si="24"/>
        <v>4500</v>
      </c>
      <c r="B90" s="62" t="s">
        <v>72</v>
      </c>
      <c r="C90" s="61">
        <f t="shared" si="25"/>
        <v>0</v>
      </c>
      <c r="D90" s="61">
        <f t="shared" si="25"/>
        <v>0</v>
      </c>
      <c r="E90" s="61">
        <f t="shared" si="25"/>
        <v>77900</v>
      </c>
      <c r="F90" s="61">
        <f t="shared" si="25"/>
        <v>0</v>
      </c>
      <c r="G90" s="61">
        <f t="shared" si="25"/>
        <v>77900</v>
      </c>
    </row>
    <row r="91" spans="1:7" hidden="1" x14ac:dyDescent="0.25">
      <c r="A91" s="59">
        <f t="shared" si="24"/>
        <v>3115</v>
      </c>
      <c r="B91" s="141" t="s">
        <v>73</v>
      </c>
      <c r="C91" s="61">
        <f t="shared" si="25"/>
        <v>0</v>
      </c>
      <c r="D91" s="61">
        <f t="shared" si="25"/>
        <v>0</v>
      </c>
      <c r="E91" s="61">
        <f t="shared" si="25"/>
        <v>225910</v>
      </c>
      <c r="F91" s="61">
        <f t="shared" si="25"/>
        <v>0</v>
      </c>
      <c r="G91" s="61">
        <f t="shared" si="25"/>
        <v>225910</v>
      </c>
    </row>
    <row r="92" spans="1:7" hidden="1" x14ac:dyDescent="0.25">
      <c r="A92" s="59"/>
      <c r="B92" s="62" t="s">
        <v>74</v>
      </c>
      <c r="C92" s="61">
        <f t="shared" si="25"/>
        <v>0</v>
      </c>
      <c r="D92" s="61">
        <f t="shared" si="25"/>
        <v>37596.259999999995</v>
      </c>
      <c r="E92" s="61">
        <f t="shared" si="25"/>
        <v>0</v>
      </c>
      <c r="F92" s="61">
        <f t="shared" si="25"/>
        <v>0</v>
      </c>
      <c r="G92" s="61">
        <f t="shared" si="25"/>
        <v>37596.259999999995</v>
      </c>
    </row>
    <row r="93" spans="1:7" hidden="1" x14ac:dyDescent="0.25">
      <c r="A93" s="59">
        <f t="shared" ref="A93" si="26">A80</f>
        <v>3200</v>
      </c>
      <c r="B93" s="62" t="s">
        <v>75</v>
      </c>
      <c r="C93" s="61">
        <f t="shared" si="25"/>
        <v>0</v>
      </c>
      <c r="D93" s="61">
        <f t="shared" si="25"/>
        <v>27642.12</v>
      </c>
      <c r="E93" s="61">
        <f t="shared" si="25"/>
        <v>0</v>
      </c>
      <c r="F93" s="61">
        <f t="shared" si="25"/>
        <v>0</v>
      </c>
      <c r="G93" s="61">
        <f t="shared" si="25"/>
        <v>27642.12</v>
      </c>
    </row>
    <row r="94" spans="1:7" hidden="1" x14ac:dyDescent="0.25">
      <c r="A94" s="59"/>
      <c r="B94" s="62" t="s">
        <v>76</v>
      </c>
      <c r="C94" s="61">
        <f t="shared" si="25"/>
        <v>0</v>
      </c>
      <c r="D94" s="61">
        <f t="shared" si="25"/>
        <v>54195.75</v>
      </c>
      <c r="E94" s="61">
        <f t="shared" si="25"/>
        <v>0</v>
      </c>
      <c r="F94" s="61">
        <f t="shared" si="25"/>
        <v>0</v>
      </c>
      <c r="G94" s="61">
        <f t="shared" si="25"/>
        <v>54195.75</v>
      </c>
    </row>
    <row r="95" spans="1:7" hidden="1" x14ac:dyDescent="0.25">
      <c r="A95" s="64"/>
      <c r="B95" s="62" t="s">
        <v>202</v>
      </c>
      <c r="C95" s="61">
        <f t="shared" si="25"/>
        <v>0</v>
      </c>
      <c r="D95" s="61">
        <f t="shared" si="25"/>
        <v>0</v>
      </c>
      <c r="E95" s="61">
        <f t="shared" si="25"/>
        <v>0</v>
      </c>
      <c r="F95" s="61">
        <f t="shared" si="25"/>
        <v>0</v>
      </c>
      <c r="G95" s="61">
        <f t="shared" si="25"/>
        <v>0</v>
      </c>
    </row>
    <row r="96" spans="1:7" hidden="1" x14ac:dyDescent="0.25">
      <c r="A96" s="59">
        <f t="shared" ref="A96" si="27">A83</f>
        <v>1510</v>
      </c>
      <c r="B96" s="62" t="s">
        <v>203</v>
      </c>
      <c r="C96" s="61">
        <f t="shared" si="25"/>
        <v>0</v>
      </c>
      <c r="D96" s="61">
        <f t="shared" si="25"/>
        <v>0</v>
      </c>
      <c r="E96" s="61">
        <f t="shared" si="25"/>
        <v>0</v>
      </c>
      <c r="F96" s="61">
        <f t="shared" si="25"/>
        <v>0</v>
      </c>
      <c r="G96" s="61">
        <f t="shared" si="25"/>
        <v>0</v>
      </c>
    </row>
    <row r="97" spans="1:9" hidden="1" x14ac:dyDescent="0.25">
      <c r="A97" s="59"/>
      <c r="B97" s="62" t="s">
        <v>77</v>
      </c>
      <c r="C97" s="61">
        <f t="shared" si="25"/>
        <v>0</v>
      </c>
      <c r="D97" s="61">
        <f t="shared" si="25"/>
        <v>0</v>
      </c>
      <c r="E97" s="61">
        <f t="shared" si="25"/>
        <v>0</v>
      </c>
      <c r="F97" s="61">
        <f t="shared" si="25"/>
        <v>0</v>
      </c>
      <c r="G97" s="61">
        <f t="shared" si="25"/>
        <v>0</v>
      </c>
    </row>
    <row r="98" spans="1:9" ht="15.75" hidden="1" thickBot="1" x14ac:dyDescent="0.3">
      <c r="A98" s="59"/>
      <c r="B98" s="65" t="s">
        <v>204</v>
      </c>
      <c r="C98" s="61">
        <f t="shared" si="25"/>
        <v>14960</v>
      </c>
      <c r="D98" s="61">
        <f t="shared" si="25"/>
        <v>1200</v>
      </c>
      <c r="E98" s="61">
        <f t="shared" si="25"/>
        <v>1999.2</v>
      </c>
      <c r="F98" s="61">
        <f t="shared" si="25"/>
        <v>240</v>
      </c>
      <c r="G98" s="61">
        <f t="shared" si="25"/>
        <v>18399.2</v>
      </c>
    </row>
    <row r="99" spans="1:9" ht="15.75" hidden="1" thickBot="1" x14ac:dyDescent="0.3">
      <c r="A99" s="66"/>
      <c r="B99" s="67" t="s">
        <v>81</v>
      </c>
      <c r="C99" s="68">
        <f>SUM(C87:C98)</f>
        <v>7312505.0599999996</v>
      </c>
      <c r="D99" s="68">
        <f>SUM(D87:D98)</f>
        <v>120634.12999999999</v>
      </c>
      <c r="E99" s="68"/>
      <c r="F99" s="68">
        <f t="shared" ref="F99:G99" si="28">SUM(F87:F98)</f>
        <v>190206.81600000002</v>
      </c>
      <c r="G99" s="68">
        <f t="shared" si="28"/>
        <v>7929155.2059999993</v>
      </c>
    </row>
    <row r="100" spans="1:9" x14ac:dyDescent="0.25">
      <c r="A100" s="50"/>
      <c r="B100" s="70"/>
      <c r="C100" s="55"/>
      <c r="D100" s="55"/>
      <c r="E100" s="55"/>
      <c r="F100" s="55"/>
      <c r="G100" s="55"/>
    </row>
    <row r="101" spans="1:9" ht="15.75" thickBot="1" x14ac:dyDescent="0.3">
      <c r="A101" s="72"/>
      <c r="B101" s="73" t="s">
        <v>82</v>
      </c>
      <c r="C101" s="74" t="str">
        <f>C1</f>
        <v>Operating</v>
      </c>
      <c r="D101" s="74" t="str">
        <f>D1</f>
        <v>Weights</v>
      </c>
      <c r="E101" s="74" t="str">
        <f>E1</f>
        <v>SPED</v>
      </c>
      <c r="F101" s="74" t="str">
        <f t="shared" ref="F101:G101" si="29">F1</f>
        <v>NSLP</v>
      </c>
      <c r="G101" s="74" t="str">
        <f t="shared" si="29"/>
        <v>St. Rose</v>
      </c>
    </row>
    <row r="102" spans="1:9" x14ac:dyDescent="0.25">
      <c r="A102" s="78"/>
      <c r="B102" s="76" t="s">
        <v>83</v>
      </c>
      <c r="C102" s="77"/>
      <c r="D102" s="77"/>
      <c r="E102" s="77"/>
      <c r="F102" s="77"/>
      <c r="G102" s="77"/>
    </row>
    <row r="103" spans="1:9" x14ac:dyDescent="0.25">
      <c r="A103" s="59">
        <v>104</v>
      </c>
      <c r="B103" s="62" t="s">
        <v>41</v>
      </c>
      <c r="C103" s="15">
        <f>100000+10000</f>
        <v>110000</v>
      </c>
      <c r="D103" s="7"/>
      <c r="E103" s="7"/>
      <c r="F103" s="7"/>
      <c r="G103" s="7">
        <f t="shared" ref="G103:G115" si="30">SUM(C103:F103)</f>
        <v>110000</v>
      </c>
    </row>
    <row r="104" spans="1:9" x14ac:dyDescent="0.25">
      <c r="A104" s="59">
        <v>104</v>
      </c>
      <c r="B104" s="62" t="s">
        <v>84</v>
      </c>
      <c r="C104" s="15">
        <f>(78000+78000)*1.02</f>
        <v>159120</v>
      </c>
      <c r="D104" s="7"/>
      <c r="E104" s="7"/>
      <c r="F104" s="7"/>
      <c r="G104" s="7">
        <f t="shared" si="30"/>
        <v>159120</v>
      </c>
    </row>
    <row r="105" spans="1:9" x14ac:dyDescent="0.25">
      <c r="A105" s="59">
        <v>105</v>
      </c>
      <c r="B105" s="62" t="s">
        <v>45</v>
      </c>
      <c r="C105" s="179"/>
      <c r="D105" s="7"/>
      <c r="E105" s="7"/>
      <c r="F105" s="7"/>
      <c r="G105" s="7">
        <f t="shared" si="30"/>
        <v>0</v>
      </c>
      <c r="I105">
        <v>60000</v>
      </c>
    </row>
    <row r="106" spans="1:9" x14ac:dyDescent="0.25">
      <c r="A106" s="59">
        <v>105</v>
      </c>
      <c r="B106" s="62" t="s">
        <v>210</v>
      </c>
      <c r="C106" s="15">
        <v>0</v>
      </c>
      <c r="D106" s="7">
        <f>55000*1.02</f>
        <v>56100</v>
      </c>
      <c r="E106" s="7"/>
      <c r="F106" s="7"/>
      <c r="G106" s="7">
        <f t="shared" si="30"/>
        <v>56100</v>
      </c>
    </row>
    <row r="107" spans="1:9" x14ac:dyDescent="0.25">
      <c r="A107" s="59" t="s">
        <v>86</v>
      </c>
      <c r="B107" s="62" t="s">
        <v>216</v>
      </c>
      <c r="C107" s="7">
        <f>55000*1.02</f>
        <v>56100</v>
      </c>
      <c r="D107" s="7"/>
      <c r="E107" s="7"/>
      <c r="F107" s="7"/>
      <c r="G107" s="7">
        <f t="shared" si="30"/>
        <v>56100</v>
      </c>
    </row>
    <row r="108" spans="1:9" x14ac:dyDescent="0.25">
      <c r="A108" s="59" t="s">
        <v>88</v>
      </c>
      <c r="B108" s="62" t="s">
        <v>89</v>
      </c>
      <c r="C108" s="7">
        <f>46725*C39</f>
        <v>2009175</v>
      </c>
      <c r="D108" s="7"/>
      <c r="E108" s="7"/>
      <c r="F108" s="7"/>
      <c r="G108" s="7">
        <f t="shared" si="30"/>
        <v>2009175</v>
      </c>
    </row>
    <row r="109" spans="1:9" hidden="1" x14ac:dyDescent="0.25">
      <c r="A109" s="4">
        <v>101</v>
      </c>
      <c r="B109" s="62" t="s">
        <v>90</v>
      </c>
      <c r="C109" s="14">
        <v>0</v>
      </c>
      <c r="D109" s="14"/>
      <c r="E109" s="14"/>
      <c r="F109" s="14"/>
      <c r="G109" s="7">
        <f t="shared" si="30"/>
        <v>0</v>
      </c>
    </row>
    <row r="110" spans="1:9" x14ac:dyDescent="0.25">
      <c r="A110" s="59">
        <v>101</v>
      </c>
      <c r="B110" s="62" t="s">
        <v>30</v>
      </c>
      <c r="C110" s="7">
        <v>0</v>
      </c>
      <c r="D110" s="7"/>
      <c r="E110" s="7">
        <f>46725*E30</f>
        <v>186900</v>
      </c>
      <c r="F110" s="7"/>
      <c r="G110" s="7">
        <f t="shared" si="30"/>
        <v>186900</v>
      </c>
    </row>
    <row r="111" spans="1:9" x14ac:dyDescent="0.25">
      <c r="A111" s="59">
        <v>107</v>
      </c>
      <c r="B111" s="62" t="s">
        <v>91</v>
      </c>
      <c r="C111" s="7">
        <f>(45500+49200)*1.015*1.02</f>
        <v>98042.909999999989</v>
      </c>
      <c r="D111" s="7"/>
      <c r="E111" s="7"/>
      <c r="F111" s="7"/>
      <c r="G111" s="7">
        <f t="shared" si="30"/>
        <v>98042.909999999989</v>
      </c>
    </row>
    <row r="112" spans="1:9" x14ac:dyDescent="0.25">
      <c r="A112" s="59">
        <v>107</v>
      </c>
      <c r="B112" s="62" t="s">
        <v>92</v>
      </c>
      <c r="C112" s="7">
        <f>(16.75*8*190)*(C49+C50)</f>
        <v>50920</v>
      </c>
      <c r="D112" s="7"/>
      <c r="E112" s="7"/>
      <c r="F112" s="7"/>
      <c r="G112" s="7">
        <f t="shared" si="30"/>
        <v>50920</v>
      </c>
    </row>
    <row r="113" spans="1:8" x14ac:dyDescent="0.25">
      <c r="A113" s="59">
        <v>102</v>
      </c>
      <c r="B113" s="62" t="s">
        <v>93</v>
      </c>
      <c r="C113" s="7">
        <f>(13.5*8*180)*C51</f>
        <v>0</v>
      </c>
      <c r="D113" s="7">
        <f>(13.75*8*180)*D51</f>
        <v>89100</v>
      </c>
      <c r="E113" s="7">
        <f>(13.75*8*180)*E51</f>
        <v>79200</v>
      </c>
      <c r="F113" s="7">
        <f>(14.5*8*180)*F51</f>
        <v>0</v>
      </c>
      <c r="G113" s="7">
        <f t="shared" si="30"/>
        <v>168300</v>
      </c>
    </row>
    <row r="114" spans="1:8" x14ac:dyDescent="0.25">
      <c r="A114" s="59">
        <v>107</v>
      </c>
      <c r="B114" s="62" t="s">
        <v>94</v>
      </c>
      <c r="C114" s="7">
        <f>(15.25*8*240)*C52</f>
        <v>58560</v>
      </c>
      <c r="D114" s="7"/>
      <c r="E114" s="7"/>
      <c r="F114" s="7"/>
      <c r="G114" s="7">
        <f t="shared" si="30"/>
        <v>58560</v>
      </c>
    </row>
    <row r="115" spans="1:8" x14ac:dyDescent="0.25">
      <c r="A115" s="59">
        <v>107</v>
      </c>
      <c r="B115" s="62" t="s">
        <v>53</v>
      </c>
      <c r="C115" s="7">
        <f>(13*8*180)*C54</f>
        <v>0</v>
      </c>
      <c r="D115" s="7">
        <f>(12.75*8*180)*D54</f>
        <v>0</v>
      </c>
      <c r="E115" s="7"/>
      <c r="F115" s="7"/>
      <c r="G115" s="7">
        <f t="shared" si="30"/>
        <v>0</v>
      </c>
    </row>
    <row r="116" spans="1:8" ht="15.75" thickBot="1" x14ac:dyDescent="0.3">
      <c r="A116" s="72"/>
      <c r="B116" s="82" t="s">
        <v>95</v>
      </c>
      <c r="C116" s="83">
        <f>SUM(C103:C115)</f>
        <v>2541917.91</v>
      </c>
      <c r="D116" s="83">
        <f>SUM(D103:D115)</f>
        <v>145200</v>
      </c>
      <c r="E116" s="83">
        <f t="shared" ref="E116:G116" si="31">SUM(E103:E115)</f>
        <v>266100</v>
      </c>
      <c r="F116" s="83">
        <f t="shared" si="31"/>
        <v>0</v>
      </c>
      <c r="G116" s="83">
        <f t="shared" si="31"/>
        <v>2953217.91</v>
      </c>
    </row>
    <row r="117" spans="1:8" x14ac:dyDescent="0.25">
      <c r="A117" s="75"/>
      <c r="B117" s="84" t="s">
        <v>96</v>
      </c>
      <c r="C117" s="150" t="str">
        <f>C1</f>
        <v>Operating</v>
      </c>
      <c r="D117" s="150" t="str">
        <f>D1</f>
        <v>Weights</v>
      </c>
      <c r="E117" s="150" t="str">
        <f>E1</f>
        <v>SPED</v>
      </c>
      <c r="F117" s="150" t="str">
        <f t="shared" ref="F117:G117" si="32">F1</f>
        <v>NSLP</v>
      </c>
      <c r="G117" s="150" t="str">
        <f t="shared" si="32"/>
        <v>St. Rose</v>
      </c>
    </row>
    <row r="118" spans="1:8" x14ac:dyDescent="0.25">
      <c r="A118" s="5"/>
      <c r="B118" s="62"/>
      <c r="C118" s="7"/>
      <c r="D118" s="7"/>
      <c r="E118" s="7"/>
      <c r="F118" s="7"/>
      <c r="G118" s="7">
        <f t="shared" ref="G118:G127" si="33">SUM(C118:F118)</f>
        <v>0</v>
      </c>
    </row>
    <row r="119" spans="1:8" x14ac:dyDescent="0.25">
      <c r="A119" s="85"/>
      <c r="B119" s="62" t="s">
        <v>54</v>
      </c>
      <c r="C119" s="7"/>
      <c r="D119" s="7"/>
      <c r="E119" s="15">
        <v>3000</v>
      </c>
      <c r="F119" s="7"/>
      <c r="G119" s="7">
        <f t="shared" si="33"/>
        <v>3000</v>
      </c>
      <c r="H119" t="s">
        <v>217</v>
      </c>
    </row>
    <row r="120" spans="1:8" x14ac:dyDescent="0.25">
      <c r="A120" s="59"/>
      <c r="B120" s="62" t="s">
        <v>55</v>
      </c>
      <c r="C120" s="7"/>
      <c r="D120" s="7"/>
      <c r="E120" s="7"/>
      <c r="F120" s="7"/>
      <c r="G120" s="7">
        <f t="shared" si="33"/>
        <v>0</v>
      </c>
    </row>
    <row r="121" spans="1:8" x14ac:dyDescent="0.25">
      <c r="A121" s="59"/>
      <c r="B121" s="62" t="s">
        <v>56</v>
      </c>
      <c r="C121" s="7"/>
      <c r="D121" s="7"/>
      <c r="E121" s="15">
        <f>33500*1.02</f>
        <v>34170</v>
      </c>
      <c r="F121" s="7"/>
      <c r="G121" s="7">
        <f t="shared" si="33"/>
        <v>34170</v>
      </c>
      <c r="H121" t="s">
        <v>218</v>
      </c>
    </row>
    <row r="122" spans="1:8" x14ac:dyDescent="0.25">
      <c r="A122" s="59"/>
      <c r="B122" s="62" t="s">
        <v>97</v>
      </c>
      <c r="C122" s="7"/>
      <c r="D122" s="7"/>
      <c r="E122" s="15"/>
      <c r="F122" s="7"/>
      <c r="G122" s="7">
        <f t="shared" si="33"/>
        <v>0</v>
      </c>
      <c r="H122" t="s">
        <v>219</v>
      </c>
    </row>
    <row r="123" spans="1:8" x14ac:dyDescent="0.25">
      <c r="A123" s="59"/>
      <c r="B123" s="62" t="s">
        <v>58</v>
      </c>
      <c r="C123" s="7"/>
      <c r="D123" s="7"/>
      <c r="E123" s="7">
        <v>0</v>
      </c>
      <c r="F123" s="7"/>
      <c r="G123" s="7">
        <f t="shared" si="33"/>
        <v>0</v>
      </c>
    </row>
    <row r="124" spans="1:8" x14ac:dyDescent="0.25">
      <c r="A124" s="59"/>
      <c r="B124" s="62" t="s">
        <v>98</v>
      </c>
      <c r="C124" s="7">
        <v>0</v>
      </c>
      <c r="D124" s="15">
        <f>23000*1.015*1.02</f>
        <v>23811.899999999998</v>
      </c>
      <c r="E124" s="7"/>
      <c r="F124" s="7"/>
      <c r="G124" s="7">
        <f t="shared" si="33"/>
        <v>23811.899999999998</v>
      </c>
    </row>
    <row r="125" spans="1:8" x14ac:dyDescent="0.25">
      <c r="A125" s="59"/>
      <c r="B125" s="62" t="s">
        <v>99</v>
      </c>
      <c r="C125" s="7">
        <v>0</v>
      </c>
      <c r="D125" s="7">
        <v>0</v>
      </c>
      <c r="E125" s="7"/>
      <c r="F125" s="7">
        <v>0</v>
      </c>
      <c r="G125" s="7">
        <f t="shared" si="33"/>
        <v>0</v>
      </c>
    </row>
    <row r="126" spans="1:8" x14ac:dyDescent="0.25">
      <c r="A126" s="59">
        <v>107</v>
      </c>
      <c r="B126" s="62" t="s">
        <v>100</v>
      </c>
      <c r="C126" s="146"/>
      <c r="D126" s="7">
        <f t="shared" ref="D126" si="34">(12.5*6*185)*D53</f>
        <v>0</v>
      </c>
      <c r="E126" s="146"/>
      <c r="F126" s="7">
        <f>(13.75*7*180)*F53</f>
        <v>17325</v>
      </c>
      <c r="G126" s="7">
        <f t="shared" si="33"/>
        <v>17325</v>
      </c>
    </row>
    <row r="127" spans="1:8" x14ac:dyDescent="0.25">
      <c r="A127" s="59"/>
      <c r="B127" s="62" t="s">
        <v>101</v>
      </c>
      <c r="C127" s="37">
        <f>125*180</f>
        <v>22500</v>
      </c>
      <c r="D127" s="37"/>
      <c r="E127" s="37"/>
      <c r="F127" s="37"/>
      <c r="G127" s="7">
        <f t="shared" si="33"/>
        <v>22500</v>
      </c>
    </row>
    <row r="128" spans="1:8" ht="15.75" thickBot="1" x14ac:dyDescent="0.3">
      <c r="A128" s="72"/>
      <c r="B128" s="82" t="s">
        <v>102</v>
      </c>
      <c r="C128" s="87">
        <f>SUM(C118:C127)</f>
        <v>22500</v>
      </c>
      <c r="D128" s="87">
        <f>SUM(D118:D127)</f>
        <v>23811.899999999998</v>
      </c>
      <c r="E128" s="87">
        <f>SUM(E118:E127)</f>
        <v>37170</v>
      </c>
      <c r="F128" s="87">
        <f t="shared" ref="F128:G128" si="35">SUM(F118:F127)</f>
        <v>17325</v>
      </c>
      <c r="G128" s="87">
        <f t="shared" si="35"/>
        <v>100806.9</v>
      </c>
    </row>
    <row r="129" spans="1:7" ht="15.75" thickBot="1" x14ac:dyDescent="0.3">
      <c r="A129" s="88"/>
      <c r="B129" s="89" t="s">
        <v>103</v>
      </c>
      <c r="C129" s="90">
        <f>C116+C128</f>
        <v>2564417.91</v>
      </c>
      <c r="D129" s="90">
        <f>D116+D128</f>
        <v>169011.9</v>
      </c>
      <c r="E129" s="90">
        <f>E116+E128</f>
        <v>303270</v>
      </c>
      <c r="F129" s="90">
        <f t="shared" ref="F129:G129" si="36">F116+F128</f>
        <v>17325</v>
      </c>
      <c r="G129" s="90">
        <f t="shared" si="36"/>
        <v>3054024.81</v>
      </c>
    </row>
    <row r="130" spans="1:7" x14ac:dyDescent="0.25">
      <c r="A130" s="93">
        <v>230</v>
      </c>
      <c r="B130" s="62" t="s">
        <v>104</v>
      </c>
      <c r="C130" s="61">
        <f>C129*0.2975</f>
        <v>762914.32822500006</v>
      </c>
      <c r="D130" s="61">
        <f t="shared" ref="D130:F130" si="37">D129*0.2975</f>
        <v>50281.040249999998</v>
      </c>
      <c r="E130" s="61">
        <f t="shared" si="37"/>
        <v>90222.824999999997</v>
      </c>
      <c r="F130" s="61">
        <f t="shared" si="37"/>
        <v>5154.1875</v>
      </c>
      <c r="G130" s="61">
        <f>SUM(C130:F130)</f>
        <v>908572.38097499998</v>
      </c>
    </row>
    <row r="131" spans="1:7" x14ac:dyDescent="0.25">
      <c r="A131" s="64"/>
      <c r="B131" s="62" t="s">
        <v>105</v>
      </c>
      <c r="C131" s="14">
        <f>((C129*0.18))</f>
        <v>461595.22380000004</v>
      </c>
      <c r="D131" s="14">
        <f>D129*0.17</f>
        <v>28732.023000000001</v>
      </c>
      <c r="E131" s="14">
        <f>E129*0.175</f>
        <v>53072.25</v>
      </c>
      <c r="F131" s="14">
        <f>F129*0.14</f>
        <v>2425.5000000000005</v>
      </c>
      <c r="G131" s="61">
        <f t="shared" ref="G131:G135" si="38">SUM(C131:F131)</f>
        <v>545824.99680000008</v>
      </c>
    </row>
    <row r="132" spans="1:7" x14ac:dyDescent="0.25">
      <c r="A132" s="59">
        <v>150</v>
      </c>
      <c r="B132" s="62" t="s">
        <v>106</v>
      </c>
      <c r="C132" s="11">
        <f>(125*C66)+(125*8)+((C42*2000)+(C43*1500)+(C44*1200)+(C45*1200)+(C46*1200)+(C47*1000)+(C48*1000)+(C49*300)+(C50*300)+(C51*300)+(C52*300)+(C53*300)+(C55*1000)+(C56*1000)+(C57*1000)+(C58*1000)+(C59*1000)+(C60*1000)+(C39*1000)+(1000*C54))*0.9</f>
        <v>55990</v>
      </c>
      <c r="D132" s="11">
        <f>(125*D66)+((D42*2000)+(D43*1500)+(D44*1200)+(D45*1200)+(D46*1200)+(D47*1000)+(D48*1000)+(D49*300)+(D50*300)+(D51*300)+(D52*300)+(D53*300)+(D55*1000)+(D56*1000)+(D57*1000)+(D58*1000)+(D59*1000)+(D60*1000)+(D39*1000)+(1000*D54))*0.9</f>
        <v>2290</v>
      </c>
      <c r="E132" s="11">
        <f>(125*E66)+((E42*2000)+(E43*1500)+(E44*1200)+(E45*1200)+(E46*1200)+(E47*1000)+(E48*1000)+(E49*300)+(E50*300)+(E51*300)+(E52*300)+(E53*300)+(E55*1000)+(E56*1000)+(E57*1000)+(E58*1000)+(E59*1000)+(E60*1000)+(E39*1000)+(1000*E54))*0.9</f>
        <v>6018.25</v>
      </c>
      <c r="F132" s="11">
        <f>(125*F66)+((F42*2000)+(F43*1500)+(F44*1200)+(F45*1200)+(F46*1200)+(F47*1000)+(F48*1000)+(F49*300)+(F50*300)+(F51*300)+(F52*300)+(F53*300)+(F55*1000)+(F56*1000)+(F57*1000)+(F58*1000)+(F59*1000)+(F60*1000)+(F39*1000)+(1000*F54))</f>
        <v>425</v>
      </c>
      <c r="G132" s="61">
        <f t="shared" si="38"/>
        <v>64723.25</v>
      </c>
    </row>
    <row r="133" spans="1:7" x14ac:dyDescent="0.25">
      <c r="A133" s="59">
        <v>150</v>
      </c>
      <c r="B133" s="62" t="s">
        <v>107</v>
      </c>
      <c r="C133" s="14"/>
      <c r="D133" s="14"/>
      <c r="E133" s="14"/>
      <c r="F133" s="14"/>
      <c r="G133" s="61">
        <f t="shared" si="38"/>
        <v>0</v>
      </c>
    </row>
    <row r="134" spans="1:7" x14ac:dyDescent="0.25">
      <c r="A134" s="59">
        <v>250</v>
      </c>
      <c r="B134" s="62" t="s">
        <v>108</v>
      </c>
      <c r="C134" s="7">
        <v>7500</v>
      </c>
      <c r="D134" s="7"/>
      <c r="E134" s="7"/>
      <c r="F134" s="7"/>
      <c r="G134" s="61">
        <f t="shared" si="38"/>
        <v>7500</v>
      </c>
    </row>
    <row r="135" spans="1:7" x14ac:dyDescent="0.25">
      <c r="A135" s="64"/>
      <c r="B135" s="62" t="s">
        <v>109</v>
      </c>
      <c r="C135" s="37">
        <f>(165*10*C39)-C127</f>
        <v>48450</v>
      </c>
      <c r="D135" s="37">
        <v>8000</v>
      </c>
      <c r="E135" s="37">
        <f t="shared" ref="E135:F135" si="39">(165*10*E39)-E127</f>
        <v>6600</v>
      </c>
      <c r="F135" s="37">
        <f t="shared" si="39"/>
        <v>0</v>
      </c>
      <c r="G135" s="61">
        <f t="shared" si="38"/>
        <v>63050</v>
      </c>
    </row>
    <row r="136" spans="1:7" ht="15.75" thickBot="1" x14ac:dyDescent="0.3">
      <c r="A136" s="72"/>
      <c r="B136" s="91" t="s">
        <v>110</v>
      </c>
      <c r="C136" s="87">
        <f>SUM(C130:C135)</f>
        <v>1336449.5520250001</v>
      </c>
      <c r="D136" s="87">
        <f>SUM(D130:D135)</f>
        <v>89303.063250000007</v>
      </c>
      <c r="E136" s="87">
        <f>SUM(E130:E135)</f>
        <v>155913.32500000001</v>
      </c>
      <c r="F136" s="87">
        <f t="shared" ref="F136:G136" si="40">SUM(F130:F135)</f>
        <v>8004.6875</v>
      </c>
      <c r="G136" s="87">
        <f t="shared" si="40"/>
        <v>1589670.6277749999</v>
      </c>
    </row>
    <row r="137" spans="1:7" ht="15.75" thickBot="1" x14ac:dyDescent="0.3">
      <c r="A137" s="88"/>
      <c r="B137" s="95" t="s">
        <v>111</v>
      </c>
      <c r="C137" s="90">
        <f>C129+C136</f>
        <v>3900867.4620250002</v>
      </c>
      <c r="D137" s="90">
        <f>D129+D136</f>
        <v>258314.96325</v>
      </c>
      <c r="E137" s="90">
        <f>E129+E136</f>
        <v>459183.32500000001</v>
      </c>
      <c r="F137" s="90">
        <f t="shared" ref="F137:G137" si="41">F129+F136</f>
        <v>25329.6875</v>
      </c>
      <c r="G137" s="90">
        <f t="shared" si="41"/>
        <v>4643695.437775</v>
      </c>
    </row>
    <row r="138" spans="1:7" x14ac:dyDescent="0.25">
      <c r="A138" s="75"/>
      <c r="B138" s="97" t="s">
        <v>112</v>
      </c>
      <c r="C138" s="149" t="str">
        <f>C1</f>
        <v>Operating</v>
      </c>
      <c r="D138" s="149" t="str">
        <f>D1</f>
        <v>Weights</v>
      </c>
      <c r="E138" s="149" t="str">
        <f>E1</f>
        <v>SPED</v>
      </c>
      <c r="F138" s="149" t="str">
        <f t="shared" ref="F138:G138" si="42">F1</f>
        <v>NSLP</v>
      </c>
      <c r="G138" s="149" t="str">
        <f t="shared" si="42"/>
        <v>St. Rose</v>
      </c>
    </row>
    <row r="139" spans="1:7" x14ac:dyDescent="0.25">
      <c r="A139" s="64"/>
      <c r="B139" s="98" t="s">
        <v>113</v>
      </c>
      <c r="C139" s="15">
        <f>C19*130</f>
        <v>131820</v>
      </c>
      <c r="D139" s="15"/>
      <c r="E139" s="15"/>
      <c r="F139" s="15"/>
      <c r="G139" s="15">
        <f t="shared" ref="G139:G147" si="43">SUM(C139:F139)</f>
        <v>131820</v>
      </c>
    </row>
    <row r="140" spans="1:7" hidden="1" x14ac:dyDescent="0.25">
      <c r="A140" s="59">
        <v>561</v>
      </c>
      <c r="B140" s="99" t="s">
        <v>114</v>
      </c>
      <c r="C140" s="7">
        <v>0</v>
      </c>
      <c r="D140" s="7"/>
      <c r="E140" s="7"/>
      <c r="F140" s="7"/>
      <c r="G140" s="15">
        <f t="shared" si="43"/>
        <v>0</v>
      </c>
    </row>
    <row r="141" spans="1:7" x14ac:dyDescent="0.25">
      <c r="A141" s="64"/>
      <c r="B141" s="62" t="s">
        <v>115</v>
      </c>
      <c r="C141" s="11">
        <v>156000</v>
      </c>
      <c r="D141" s="11"/>
      <c r="E141" s="11"/>
      <c r="F141" s="11"/>
      <c r="G141" s="15">
        <f t="shared" si="43"/>
        <v>156000</v>
      </c>
    </row>
    <row r="142" spans="1:7" hidden="1" x14ac:dyDescent="0.25">
      <c r="A142" s="64"/>
      <c r="B142" s="62" t="s">
        <v>116</v>
      </c>
      <c r="C142" s="7">
        <v>0</v>
      </c>
      <c r="D142" s="7">
        <v>0</v>
      </c>
      <c r="E142" s="7"/>
      <c r="F142" s="7"/>
      <c r="G142" s="15">
        <f t="shared" si="43"/>
        <v>0</v>
      </c>
    </row>
    <row r="143" spans="1:7" x14ac:dyDescent="0.25">
      <c r="A143" s="59">
        <v>610</v>
      </c>
      <c r="B143" s="62" t="s">
        <v>117</v>
      </c>
      <c r="C143" s="7">
        <f>13*C19</f>
        <v>13182</v>
      </c>
      <c r="D143" s="7">
        <f t="shared" ref="D143" si="44">13*D19</f>
        <v>0</v>
      </c>
      <c r="E143" s="7"/>
      <c r="F143" s="7">
        <v>0</v>
      </c>
      <c r="G143" s="15">
        <f t="shared" si="43"/>
        <v>13182</v>
      </c>
    </row>
    <row r="144" spans="1:7" x14ac:dyDescent="0.25">
      <c r="A144" s="59">
        <v>610</v>
      </c>
      <c r="B144" s="62" t="s">
        <v>118</v>
      </c>
      <c r="C144" s="7">
        <f>(27*C19)</f>
        <v>27378</v>
      </c>
      <c r="D144" s="7">
        <v>0</v>
      </c>
      <c r="E144" s="7"/>
      <c r="F144" s="7"/>
      <c r="G144" s="15">
        <f t="shared" si="43"/>
        <v>27378</v>
      </c>
    </row>
    <row r="145" spans="1:9" x14ac:dyDescent="0.25">
      <c r="A145" s="59">
        <v>610</v>
      </c>
      <c r="B145" s="62" t="s">
        <v>119</v>
      </c>
      <c r="C145" s="7">
        <f>4*C19</f>
        <v>4056</v>
      </c>
      <c r="D145" s="7">
        <f t="shared" ref="D145" si="45">4*D19</f>
        <v>0</v>
      </c>
      <c r="E145" s="7"/>
      <c r="F145" s="7"/>
      <c r="G145" s="15">
        <f t="shared" si="43"/>
        <v>4056</v>
      </c>
    </row>
    <row r="146" spans="1:9" x14ac:dyDescent="0.25">
      <c r="A146" s="59">
        <v>610</v>
      </c>
      <c r="B146" s="62" t="s">
        <v>120</v>
      </c>
      <c r="C146" s="7">
        <f>3*C19</f>
        <v>3042</v>
      </c>
      <c r="D146" s="7">
        <f t="shared" ref="D146" si="46">3*D19</f>
        <v>0</v>
      </c>
      <c r="E146" s="7"/>
      <c r="F146" s="7"/>
      <c r="G146" s="15">
        <f t="shared" si="43"/>
        <v>3042</v>
      </c>
    </row>
    <row r="147" spans="1:9" x14ac:dyDescent="0.25">
      <c r="A147" s="59">
        <v>610</v>
      </c>
      <c r="B147" s="62" t="s">
        <v>121</v>
      </c>
      <c r="C147" s="7">
        <f>120*C22</f>
        <v>0</v>
      </c>
      <c r="D147" s="7">
        <f t="shared" ref="D147" si="47">120*D22</f>
        <v>0</v>
      </c>
      <c r="E147" s="7">
        <f>120*E22</f>
        <v>9840</v>
      </c>
      <c r="F147" s="7"/>
      <c r="G147" s="15">
        <f t="shared" si="43"/>
        <v>9840</v>
      </c>
    </row>
    <row r="148" spans="1:9" ht="15.75" thickBot="1" x14ac:dyDescent="0.3">
      <c r="A148" s="100"/>
      <c r="B148" s="62" t="s">
        <v>122</v>
      </c>
      <c r="C148" s="37">
        <v>0</v>
      </c>
      <c r="D148" s="37">
        <v>0</v>
      </c>
      <c r="E148" s="37"/>
      <c r="F148" s="37"/>
      <c r="G148" s="37">
        <v>0</v>
      </c>
    </row>
    <row r="149" spans="1:9" ht="15.75" thickBot="1" x14ac:dyDescent="0.3">
      <c r="A149" s="88"/>
      <c r="B149" s="95" t="s">
        <v>123</v>
      </c>
      <c r="C149" s="92">
        <f>SUM(C139:C148)</f>
        <v>335478</v>
      </c>
      <c r="D149" s="92">
        <f>SUM(D139:D148)</f>
        <v>0</v>
      </c>
      <c r="E149" s="92">
        <f t="shared" ref="E149:G149" si="48">SUM(E139:E148)</f>
        <v>9840</v>
      </c>
      <c r="F149" s="92">
        <f t="shared" si="48"/>
        <v>0</v>
      </c>
      <c r="G149" s="92">
        <f t="shared" si="48"/>
        <v>345318</v>
      </c>
    </row>
    <row r="150" spans="1:9" x14ac:dyDescent="0.25">
      <c r="A150" s="75"/>
      <c r="B150" s="101" t="s">
        <v>124</v>
      </c>
      <c r="C150" s="149" t="str">
        <f>C1</f>
        <v>Operating</v>
      </c>
      <c r="D150" s="149" t="str">
        <f>D1</f>
        <v>Weights</v>
      </c>
      <c r="E150" s="149" t="str">
        <f>E1</f>
        <v>SPED</v>
      </c>
      <c r="F150" s="149" t="str">
        <f t="shared" ref="F150:G150" si="49">F1</f>
        <v>NSLP</v>
      </c>
      <c r="G150" s="149" t="str">
        <f t="shared" si="49"/>
        <v>St. Rose</v>
      </c>
    </row>
    <row r="151" spans="1:9" x14ac:dyDescent="0.25">
      <c r="A151" s="93">
        <v>320</v>
      </c>
      <c r="B151" s="62" t="s">
        <v>125</v>
      </c>
      <c r="C151" s="80">
        <v>0</v>
      </c>
      <c r="D151" s="80">
        <v>12000</v>
      </c>
      <c r="E151" s="80"/>
      <c r="F151" s="80"/>
      <c r="G151" s="80">
        <f t="shared" ref="G151:G162" si="50">SUM(C151:F151)</f>
        <v>12000</v>
      </c>
    </row>
    <row r="152" spans="1:9" x14ac:dyDescent="0.25">
      <c r="A152" s="59">
        <v>300</v>
      </c>
      <c r="B152" s="62" t="s">
        <v>126</v>
      </c>
      <c r="C152" s="14">
        <v>0</v>
      </c>
      <c r="D152" s="142"/>
      <c r="E152" s="11">
        <f>145*$C$19</f>
        <v>147030</v>
      </c>
      <c r="F152" s="142"/>
      <c r="G152" s="80">
        <f t="shared" si="50"/>
        <v>147030</v>
      </c>
      <c r="I152" t="s">
        <v>220</v>
      </c>
    </row>
    <row r="153" spans="1:9" x14ac:dyDescent="0.25">
      <c r="A153" s="59">
        <v>310</v>
      </c>
      <c r="B153" s="62" t="s">
        <v>127</v>
      </c>
      <c r="C153" s="11">
        <v>0</v>
      </c>
      <c r="D153" s="142"/>
      <c r="E153" s="14"/>
      <c r="F153" s="142"/>
      <c r="G153" s="80">
        <f t="shared" si="50"/>
        <v>0</v>
      </c>
    </row>
    <row r="154" spans="1:9" x14ac:dyDescent="0.25">
      <c r="A154" s="59">
        <v>310</v>
      </c>
      <c r="B154" s="62" t="s">
        <v>128</v>
      </c>
      <c r="C154" s="7">
        <f>(450*C19)</f>
        <v>456300</v>
      </c>
      <c r="D154" s="7"/>
      <c r="E154" s="7"/>
      <c r="F154" s="7"/>
      <c r="G154" s="80">
        <f t="shared" si="50"/>
        <v>456300</v>
      </c>
    </row>
    <row r="155" spans="1:9" x14ac:dyDescent="0.25">
      <c r="A155" s="59">
        <v>310</v>
      </c>
      <c r="B155" s="62" t="s">
        <v>129</v>
      </c>
      <c r="C155" s="7">
        <f>(240*C66)+2000</f>
        <v>14960</v>
      </c>
      <c r="D155" s="7">
        <f>(240*D66)</f>
        <v>1200</v>
      </c>
      <c r="E155" s="7">
        <f>(240*E66)</f>
        <v>1999.2</v>
      </c>
      <c r="F155" s="7">
        <f>(240*F66)</f>
        <v>240</v>
      </c>
      <c r="G155" s="80">
        <f t="shared" si="50"/>
        <v>18399.2</v>
      </c>
    </row>
    <row r="156" spans="1:9" x14ac:dyDescent="0.25">
      <c r="A156" s="59">
        <v>340</v>
      </c>
      <c r="B156" s="62" t="s">
        <v>130</v>
      </c>
      <c r="C156" s="7">
        <v>11000</v>
      </c>
      <c r="D156" s="7"/>
      <c r="E156" s="7"/>
      <c r="F156" s="7"/>
      <c r="G156" s="80">
        <f t="shared" si="50"/>
        <v>11000</v>
      </c>
    </row>
    <row r="157" spans="1:9" x14ac:dyDescent="0.25">
      <c r="A157" s="59">
        <v>340</v>
      </c>
      <c r="B157" s="62" t="s">
        <v>131</v>
      </c>
      <c r="C157" s="7">
        <v>5250</v>
      </c>
      <c r="D157" s="7"/>
      <c r="E157" s="7"/>
      <c r="F157" s="7"/>
      <c r="G157" s="80">
        <f t="shared" si="50"/>
        <v>5250</v>
      </c>
    </row>
    <row r="158" spans="1:9" x14ac:dyDescent="0.25">
      <c r="A158" s="59">
        <v>352</v>
      </c>
      <c r="B158" s="62" t="s">
        <v>132</v>
      </c>
      <c r="C158" s="7">
        <f>42*C19</f>
        <v>42588</v>
      </c>
      <c r="D158" s="7"/>
      <c r="E158" s="7"/>
      <c r="F158" s="7"/>
      <c r="G158" s="80">
        <f t="shared" si="50"/>
        <v>42588</v>
      </c>
    </row>
    <row r="159" spans="1:9" x14ac:dyDescent="0.25">
      <c r="A159" s="59">
        <v>350</v>
      </c>
      <c r="B159" s="62" t="s">
        <v>133</v>
      </c>
      <c r="C159" s="7">
        <v>6000</v>
      </c>
      <c r="D159" s="7"/>
      <c r="E159" s="7"/>
      <c r="F159" s="7"/>
      <c r="G159" s="80">
        <f t="shared" si="50"/>
        <v>6000</v>
      </c>
    </row>
    <row r="160" spans="1:9" x14ac:dyDescent="0.25">
      <c r="A160" s="59">
        <v>591</v>
      </c>
      <c r="B160" s="62" t="s">
        <v>134</v>
      </c>
      <c r="C160" s="7">
        <f>(C87+C88)*0.0125</f>
        <v>91219.313250000007</v>
      </c>
      <c r="D160" s="7"/>
      <c r="E160" s="7"/>
      <c r="F160" s="7"/>
      <c r="G160" s="80">
        <f t="shared" si="50"/>
        <v>91219.313250000007</v>
      </c>
    </row>
    <row r="161" spans="1:7" x14ac:dyDescent="0.25">
      <c r="A161" s="59">
        <v>320</v>
      </c>
      <c r="B161" s="62" t="s">
        <v>135</v>
      </c>
      <c r="C161" s="7">
        <f>(C87+C88)*0.005</f>
        <v>36487.725299999998</v>
      </c>
      <c r="D161" s="7"/>
      <c r="E161" s="7"/>
      <c r="F161" s="7"/>
      <c r="G161" s="80">
        <f t="shared" si="50"/>
        <v>36487.725299999998</v>
      </c>
    </row>
    <row r="162" spans="1:7" ht="15.75" thickBot="1" x14ac:dyDescent="0.3">
      <c r="A162" s="59">
        <v>330</v>
      </c>
      <c r="B162" s="62" t="s">
        <v>136</v>
      </c>
      <c r="C162" s="7">
        <f>(C87+C88)*0.005</f>
        <v>36487.725299999998</v>
      </c>
      <c r="D162" s="7"/>
      <c r="E162" s="7"/>
      <c r="F162" s="7"/>
      <c r="G162" s="80">
        <f t="shared" si="50"/>
        <v>36487.725299999998</v>
      </c>
    </row>
    <row r="163" spans="1:7" ht="15.75" hidden="1" thickBot="1" x14ac:dyDescent="0.3">
      <c r="A163" s="59">
        <v>330</v>
      </c>
      <c r="B163" s="62" t="s">
        <v>137</v>
      </c>
      <c r="C163" s="81"/>
      <c r="D163" s="81"/>
      <c r="E163" s="81"/>
      <c r="F163" s="81"/>
      <c r="G163" s="81"/>
    </row>
    <row r="164" spans="1:7" ht="15.75" thickBot="1" x14ac:dyDescent="0.3">
      <c r="A164" s="88"/>
      <c r="B164" s="95" t="s">
        <v>138</v>
      </c>
      <c r="C164" s="92">
        <f>SUM(C151:C163)</f>
        <v>700292.7638500001</v>
      </c>
      <c r="D164" s="92">
        <f>SUM(D151:D163)</f>
        <v>13200</v>
      </c>
      <c r="E164" s="92">
        <f>SUM(E151:E163)</f>
        <v>149029.20000000001</v>
      </c>
      <c r="F164" s="92">
        <f t="shared" ref="F164:G164" si="51">SUM(F151:F163)</f>
        <v>240</v>
      </c>
      <c r="G164" s="92">
        <f t="shared" si="51"/>
        <v>862761.96385000006</v>
      </c>
    </row>
    <row r="165" spans="1:7" x14ac:dyDescent="0.25">
      <c r="A165" s="75"/>
      <c r="B165" s="101" t="s">
        <v>139</v>
      </c>
      <c r="C165" s="149" t="str">
        <f>C150</f>
        <v>Operating</v>
      </c>
      <c r="D165" s="149" t="str">
        <f>D150</f>
        <v>Weights</v>
      </c>
      <c r="E165" s="149" t="str">
        <f>E150</f>
        <v>SPED</v>
      </c>
      <c r="F165" s="149" t="str">
        <f t="shared" ref="F165:G165" si="52">F150</f>
        <v>NSLP</v>
      </c>
      <c r="G165" s="149" t="str">
        <f t="shared" si="52"/>
        <v>St. Rose</v>
      </c>
    </row>
    <row r="166" spans="1:7" x14ac:dyDescent="0.25">
      <c r="A166" s="59">
        <v>533</v>
      </c>
      <c r="B166" s="62" t="s">
        <v>140</v>
      </c>
      <c r="C166" s="7">
        <v>3750</v>
      </c>
      <c r="D166" s="7"/>
      <c r="E166" s="7"/>
      <c r="F166" s="7"/>
      <c r="G166" s="7">
        <f t="shared" ref="G166:G172" si="53">SUM(C166:F166)</f>
        <v>3750</v>
      </c>
    </row>
    <row r="167" spans="1:7" x14ac:dyDescent="0.25">
      <c r="A167" s="59">
        <v>535</v>
      </c>
      <c r="B167" s="62" t="s">
        <v>141</v>
      </c>
      <c r="C167" s="7">
        <v>17500</v>
      </c>
      <c r="D167" s="7"/>
      <c r="E167" s="7"/>
      <c r="F167" s="7"/>
      <c r="G167" s="7">
        <f t="shared" si="53"/>
        <v>17500</v>
      </c>
    </row>
    <row r="168" spans="1:7" x14ac:dyDescent="0.25">
      <c r="A168" s="59">
        <v>534</v>
      </c>
      <c r="B168" s="62" t="s">
        <v>142</v>
      </c>
      <c r="C168" s="7">
        <v>0</v>
      </c>
      <c r="D168" s="7"/>
      <c r="E168" s="7"/>
      <c r="F168" s="7"/>
      <c r="G168" s="7">
        <f t="shared" si="53"/>
        <v>0</v>
      </c>
    </row>
    <row r="169" spans="1:7" x14ac:dyDescent="0.25">
      <c r="A169" s="59">
        <v>531</v>
      </c>
      <c r="B169" s="62" t="s">
        <v>143</v>
      </c>
      <c r="C169" s="7">
        <v>1000</v>
      </c>
      <c r="D169" s="7"/>
      <c r="E169" s="7"/>
      <c r="F169" s="7"/>
      <c r="G169" s="7">
        <f t="shared" si="53"/>
        <v>1000</v>
      </c>
    </row>
    <row r="170" spans="1:7" x14ac:dyDescent="0.25">
      <c r="A170" s="59">
        <v>535</v>
      </c>
      <c r="B170" s="62" t="s">
        <v>144</v>
      </c>
      <c r="C170" s="7">
        <v>4200</v>
      </c>
      <c r="D170" s="7"/>
      <c r="E170" s="7"/>
      <c r="F170" s="7"/>
      <c r="G170" s="7">
        <f t="shared" si="53"/>
        <v>4200</v>
      </c>
    </row>
    <row r="171" spans="1:7" x14ac:dyDescent="0.25">
      <c r="A171" s="59">
        <v>443</v>
      </c>
      <c r="B171" s="62" t="s">
        <v>145</v>
      </c>
      <c r="C171" s="7">
        <v>30000</v>
      </c>
      <c r="D171" s="7"/>
      <c r="E171" s="7"/>
      <c r="F171" s="7"/>
      <c r="G171" s="7">
        <f t="shared" si="53"/>
        <v>30000</v>
      </c>
    </row>
    <row r="172" spans="1:7" ht="15.75" thickBot="1" x14ac:dyDescent="0.3">
      <c r="A172" s="59">
        <v>651</v>
      </c>
      <c r="B172" s="62" t="s">
        <v>146</v>
      </c>
      <c r="C172" s="7">
        <f>2500+(2*C20)</f>
        <v>2500</v>
      </c>
      <c r="D172" s="7"/>
      <c r="E172" s="7"/>
      <c r="F172" s="7"/>
      <c r="G172" s="7">
        <f t="shared" si="53"/>
        <v>2500</v>
      </c>
    </row>
    <row r="173" spans="1:7" ht="15.75" thickBot="1" x14ac:dyDescent="0.3">
      <c r="A173" s="88"/>
      <c r="B173" s="95" t="s">
        <v>147</v>
      </c>
      <c r="C173" s="92">
        <f>SUM(C166:C172)</f>
        <v>58950</v>
      </c>
      <c r="D173" s="92">
        <f>SUM(D166:D172)</f>
        <v>0</v>
      </c>
      <c r="E173" s="92">
        <f t="shared" ref="E173:G173" si="54">SUM(E166:E172)</f>
        <v>0</v>
      </c>
      <c r="F173" s="92">
        <f t="shared" si="54"/>
        <v>0</v>
      </c>
      <c r="G173" s="92">
        <f t="shared" si="54"/>
        <v>58950</v>
      </c>
    </row>
    <row r="174" spans="1:7" x14ac:dyDescent="0.25">
      <c r="A174" s="75"/>
      <c r="B174" s="101" t="s">
        <v>148</v>
      </c>
      <c r="C174" s="96"/>
      <c r="D174" s="96"/>
      <c r="E174" s="96"/>
      <c r="F174" s="96"/>
      <c r="G174" s="96"/>
    </row>
    <row r="175" spans="1:7" x14ac:dyDescent="0.25">
      <c r="A175" s="59">
        <v>521</v>
      </c>
      <c r="B175" s="62" t="s">
        <v>149</v>
      </c>
      <c r="C175" s="15">
        <f>10642.3026416247*1.06</f>
        <v>11280.840800122181</v>
      </c>
      <c r="D175" s="15"/>
      <c r="E175" s="15"/>
      <c r="F175" s="15"/>
      <c r="G175" s="15">
        <f>SUM(C175:F175)</f>
        <v>11280.840800122181</v>
      </c>
    </row>
    <row r="176" spans="1:7" x14ac:dyDescent="0.25">
      <c r="A176" s="59">
        <v>522</v>
      </c>
      <c r="B176" s="62" t="s">
        <v>150</v>
      </c>
      <c r="C176" s="7">
        <f>7834.53962437013*1.06</f>
        <v>8304.6120018323381</v>
      </c>
      <c r="D176" s="7"/>
      <c r="E176" s="7"/>
      <c r="F176" s="7"/>
      <c r="G176" s="15">
        <f>SUM(C176:F176)</f>
        <v>8304.6120018323381</v>
      </c>
    </row>
    <row r="177" spans="1:7" ht="15.75" thickBot="1" x14ac:dyDescent="0.3">
      <c r="A177" s="59">
        <v>523</v>
      </c>
      <c r="B177" s="62" t="s">
        <v>151</v>
      </c>
      <c r="C177" s="7">
        <f>(16735.3183692167*1.06)+2050</f>
        <v>19789.437471369703</v>
      </c>
      <c r="D177" s="7"/>
      <c r="E177" s="7"/>
      <c r="F177" s="7"/>
      <c r="G177" s="15">
        <f>SUM(C177:F177)</f>
        <v>19789.437471369703</v>
      </c>
    </row>
    <row r="178" spans="1:7" ht="15.75" thickBot="1" x14ac:dyDescent="0.3">
      <c r="A178" s="88"/>
      <c r="B178" s="95" t="s">
        <v>152</v>
      </c>
      <c r="C178" s="92">
        <f>SUM(C175:C177)</f>
        <v>39374.890273324221</v>
      </c>
      <c r="D178" s="92">
        <f>SUM(D175:D177)</f>
        <v>0</v>
      </c>
      <c r="E178" s="92">
        <f t="shared" ref="E178:G178" si="55">SUM(E175:E177)</f>
        <v>0</v>
      </c>
      <c r="F178" s="92">
        <f t="shared" si="55"/>
        <v>0</v>
      </c>
      <c r="G178" s="92">
        <f t="shared" si="55"/>
        <v>39374.890273324221</v>
      </c>
    </row>
    <row r="179" spans="1:7" x14ac:dyDescent="0.25">
      <c r="A179" s="75"/>
      <c r="B179" s="101" t="s">
        <v>153</v>
      </c>
      <c r="C179" s="96" t="str">
        <f>C1</f>
        <v>Operating</v>
      </c>
      <c r="D179" s="96" t="str">
        <f>D1</f>
        <v>Weights</v>
      </c>
      <c r="E179" s="96" t="str">
        <f>E1</f>
        <v>SPED</v>
      </c>
      <c r="F179" s="96" t="str">
        <f t="shared" ref="F179:G179" si="56">F1</f>
        <v>NSLP</v>
      </c>
      <c r="G179" s="96" t="str">
        <f t="shared" si="56"/>
        <v>St. Rose</v>
      </c>
    </row>
    <row r="180" spans="1:7" x14ac:dyDescent="0.25">
      <c r="A180" s="59">
        <v>570</v>
      </c>
      <c r="B180" s="62" t="s">
        <v>154</v>
      </c>
      <c r="C180" s="14">
        <f>(($C$19*C25)*3.56*180)</f>
        <v>0</v>
      </c>
      <c r="D180" s="142"/>
      <c r="E180" s="142"/>
      <c r="F180" s="14">
        <f>(($C$19*F25)*3.05*180)+1000</f>
        <v>145849.6972</v>
      </c>
      <c r="G180" s="14">
        <f t="shared" ref="G180:G188" si="57">SUM(C180:F180)</f>
        <v>145849.6972</v>
      </c>
    </row>
    <row r="181" spans="1:7" x14ac:dyDescent="0.25">
      <c r="A181" s="59">
        <v>540</v>
      </c>
      <c r="B181" s="62" t="s">
        <v>155</v>
      </c>
      <c r="C181" s="7">
        <v>3000</v>
      </c>
      <c r="D181" s="7"/>
      <c r="E181" s="7"/>
      <c r="F181" s="7"/>
      <c r="G181" s="14">
        <f t="shared" si="57"/>
        <v>3000</v>
      </c>
    </row>
    <row r="182" spans="1:7" x14ac:dyDescent="0.25">
      <c r="A182" s="59">
        <v>580</v>
      </c>
      <c r="B182" s="62" t="s">
        <v>156</v>
      </c>
      <c r="C182" s="7">
        <v>2200</v>
      </c>
      <c r="D182" s="7"/>
      <c r="E182" s="7"/>
      <c r="F182" s="7"/>
      <c r="G182" s="14">
        <f t="shared" si="57"/>
        <v>2200</v>
      </c>
    </row>
    <row r="183" spans="1:7" x14ac:dyDescent="0.25">
      <c r="A183" s="59">
        <v>340</v>
      </c>
      <c r="B183" s="62" t="s">
        <v>157</v>
      </c>
      <c r="C183" s="7">
        <f>60*11</f>
        <v>660</v>
      </c>
      <c r="D183" s="7"/>
      <c r="E183" s="7"/>
      <c r="F183" s="7"/>
      <c r="G183" s="14">
        <f t="shared" si="57"/>
        <v>660</v>
      </c>
    </row>
    <row r="184" spans="1:7" x14ac:dyDescent="0.25">
      <c r="A184" s="79">
        <v>810</v>
      </c>
      <c r="B184" s="62" t="s">
        <v>158</v>
      </c>
      <c r="C184" s="15">
        <f>10500+1200</f>
        <v>11700</v>
      </c>
      <c r="D184" s="15"/>
      <c r="E184" s="15"/>
      <c r="F184" s="15"/>
      <c r="G184" s="14">
        <f t="shared" si="57"/>
        <v>11700</v>
      </c>
    </row>
    <row r="185" spans="1:7" x14ac:dyDescent="0.25">
      <c r="A185" s="64"/>
      <c r="B185" s="62" t="s">
        <v>159</v>
      </c>
      <c r="C185" s="15">
        <v>0</v>
      </c>
      <c r="D185" s="148"/>
      <c r="E185" s="148"/>
      <c r="F185" s="148"/>
      <c r="G185" s="14">
        <f t="shared" si="57"/>
        <v>0</v>
      </c>
    </row>
    <row r="186" spans="1:7" x14ac:dyDescent="0.25">
      <c r="A186" s="64"/>
      <c r="B186" s="62" t="s">
        <v>160</v>
      </c>
      <c r="C186" s="15">
        <v>0</v>
      </c>
      <c r="D186" s="15"/>
      <c r="E186" s="15"/>
      <c r="F186" s="15"/>
      <c r="G186" s="14">
        <f t="shared" si="57"/>
        <v>0</v>
      </c>
    </row>
    <row r="187" spans="1:7" x14ac:dyDescent="0.25">
      <c r="A187" s="64"/>
      <c r="B187" s="62" t="s">
        <v>161</v>
      </c>
      <c r="C187" s="15">
        <v>0</v>
      </c>
      <c r="D187" s="15"/>
      <c r="E187" s="15"/>
      <c r="F187" s="15"/>
      <c r="G187" s="14">
        <f t="shared" si="57"/>
        <v>0</v>
      </c>
    </row>
    <row r="188" spans="1:7" ht="15.75" thickBot="1" x14ac:dyDescent="0.3">
      <c r="A188" s="59">
        <v>900</v>
      </c>
      <c r="B188" s="62" t="s">
        <v>162</v>
      </c>
      <c r="C188" s="7">
        <v>1500</v>
      </c>
      <c r="D188" s="7"/>
      <c r="E188" s="7"/>
      <c r="F188" s="7"/>
      <c r="G188" s="14">
        <f t="shared" si="57"/>
        <v>1500</v>
      </c>
    </row>
    <row r="189" spans="1:7" ht="15.75" thickBot="1" x14ac:dyDescent="0.3">
      <c r="A189" s="88"/>
      <c r="B189" s="95" t="s">
        <v>163</v>
      </c>
      <c r="C189" s="92">
        <f>SUM(C180:C188)</f>
        <v>19060</v>
      </c>
      <c r="D189" s="92">
        <f>SUM(D180:D188)</f>
        <v>0</v>
      </c>
      <c r="E189" s="92">
        <f t="shared" ref="E189:G189" si="58">SUM(E180:E188)</f>
        <v>0</v>
      </c>
      <c r="F189" s="92">
        <f t="shared" si="58"/>
        <v>145849.6972</v>
      </c>
      <c r="G189" s="92">
        <f t="shared" si="58"/>
        <v>164909.6972</v>
      </c>
    </row>
    <row r="190" spans="1:7" x14ac:dyDescent="0.25">
      <c r="A190" s="75"/>
      <c r="B190" s="101" t="s">
        <v>164</v>
      </c>
      <c r="C190" s="77" t="str">
        <f>C179</f>
        <v>Operating</v>
      </c>
      <c r="D190" s="77" t="str">
        <f>D179</f>
        <v>Weights</v>
      </c>
      <c r="E190" s="77" t="str">
        <f>E179</f>
        <v>SPED</v>
      </c>
      <c r="F190" s="77" t="str">
        <f t="shared" ref="F190:G190" si="59">F179</f>
        <v>NSLP</v>
      </c>
      <c r="G190" s="77" t="str">
        <f t="shared" si="59"/>
        <v>St. Rose</v>
      </c>
    </row>
    <row r="191" spans="1:7" x14ac:dyDescent="0.25">
      <c r="A191" s="93">
        <v>622</v>
      </c>
      <c r="B191" s="62" t="s">
        <v>165</v>
      </c>
      <c r="C191" s="61">
        <v>57500</v>
      </c>
      <c r="D191" s="61"/>
      <c r="E191" s="61"/>
      <c r="F191" s="61"/>
      <c r="G191" s="61">
        <f t="shared" ref="G191:G201" si="60">SUM(C191:F191)</f>
        <v>57500</v>
      </c>
    </row>
    <row r="192" spans="1:7" x14ac:dyDescent="0.25">
      <c r="A192" s="59">
        <v>621</v>
      </c>
      <c r="B192" s="62" t="s">
        <v>166</v>
      </c>
      <c r="C192" s="7">
        <v>0</v>
      </c>
      <c r="D192" s="15"/>
      <c r="E192" s="15"/>
      <c r="F192" s="15"/>
      <c r="G192" s="61">
        <f t="shared" si="60"/>
        <v>0</v>
      </c>
    </row>
    <row r="193" spans="1:7" x14ac:dyDescent="0.25">
      <c r="A193" s="59">
        <v>411</v>
      </c>
      <c r="B193" s="62" t="s">
        <v>167</v>
      </c>
      <c r="C193" s="7">
        <f>(6200*4)+(2000*12)+1200</f>
        <v>50000</v>
      </c>
      <c r="D193" s="7"/>
      <c r="E193" s="7"/>
      <c r="F193" s="7"/>
      <c r="G193" s="61">
        <f t="shared" si="60"/>
        <v>50000</v>
      </c>
    </row>
    <row r="194" spans="1:7" x14ac:dyDescent="0.25">
      <c r="A194" s="59">
        <v>422</v>
      </c>
      <c r="B194" s="62" t="s">
        <v>168</v>
      </c>
      <c r="C194" s="7">
        <v>17500</v>
      </c>
      <c r="D194" s="7"/>
      <c r="E194" s="7"/>
      <c r="F194" s="7"/>
      <c r="G194" s="61">
        <f t="shared" si="60"/>
        <v>17500</v>
      </c>
    </row>
    <row r="195" spans="1:7" x14ac:dyDescent="0.25">
      <c r="A195" s="59">
        <v>490</v>
      </c>
      <c r="B195" s="62" t="s">
        <v>169</v>
      </c>
      <c r="C195" s="7">
        <v>6900</v>
      </c>
      <c r="D195" s="7"/>
      <c r="E195" s="7"/>
      <c r="F195" s="7"/>
      <c r="G195" s="61">
        <f t="shared" si="60"/>
        <v>6900</v>
      </c>
    </row>
    <row r="196" spans="1:7" x14ac:dyDescent="0.25">
      <c r="A196" s="59">
        <v>422</v>
      </c>
      <c r="B196" s="62" t="s">
        <v>170</v>
      </c>
      <c r="C196" s="11">
        <f>4650*13</f>
        <v>60450</v>
      </c>
      <c r="D196" s="11"/>
      <c r="E196" s="11"/>
      <c r="F196" s="11"/>
      <c r="G196" s="61">
        <f t="shared" si="60"/>
        <v>60450</v>
      </c>
    </row>
    <row r="197" spans="1:7" x14ac:dyDescent="0.25">
      <c r="A197" s="59">
        <v>610</v>
      </c>
      <c r="B197" s="62" t="s">
        <v>171</v>
      </c>
      <c r="C197" s="15">
        <f>30*C19</f>
        <v>30420</v>
      </c>
      <c r="D197" s="7"/>
      <c r="E197" s="7"/>
      <c r="F197" s="7"/>
      <c r="G197" s="61">
        <f t="shared" si="60"/>
        <v>30420</v>
      </c>
    </row>
    <row r="198" spans="1:7" x14ac:dyDescent="0.25">
      <c r="A198" s="59" t="s">
        <v>172</v>
      </c>
      <c r="B198" s="62" t="s">
        <v>173</v>
      </c>
      <c r="C198" s="7">
        <v>52500</v>
      </c>
      <c r="D198" s="7"/>
      <c r="E198" s="7"/>
      <c r="F198" s="7">
        <v>0</v>
      </c>
      <c r="G198" s="61">
        <f t="shared" si="60"/>
        <v>52500</v>
      </c>
    </row>
    <row r="199" spans="1:7" x14ac:dyDescent="0.25">
      <c r="A199" s="59">
        <v>420</v>
      </c>
      <c r="B199" s="62" t="s">
        <v>174</v>
      </c>
      <c r="C199" s="7">
        <f>(650*12)+3000</f>
        <v>10800</v>
      </c>
      <c r="D199" s="11"/>
      <c r="E199" s="11"/>
      <c r="F199" s="11"/>
      <c r="G199" s="61">
        <f t="shared" si="60"/>
        <v>10800</v>
      </c>
    </row>
    <row r="200" spans="1:7" x14ac:dyDescent="0.25">
      <c r="A200" s="59">
        <v>420</v>
      </c>
      <c r="B200" s="62" t="s">
        <v>175</v>
      </c>
      <c r="C200" s="7"/>
      <c r="D200" s="7"/>
      <c r="E200" s="7"/>
      <c r="F200" s="7"/>
      <c r="G200" s="61">
        <f t="shared" si="60"/>
        <v>0</v>
      </c>
    </row>
    <row r="201" spans="1:7" ht="15.75" thickBot="1" x14ac:dyDescent="0.3">
      <c r="A201" s="63">
        <v>431</v>
      </c>
      <c r="B201" s="62" t="s">
        <v>176</v>
      </c>
      <c r="C201" s="37">
        <f>1200*12</f>
        <v>14400</v>
      </c>
      <c r="D201" s="86"/>
      <c r="E201" s="86"/>
      <c r="F201" s="86"/>
      <c r="G201" s="61">
        <f t="shared" si="60"/>
        <v>14400</v>
      </c>
    </row>
    <row r="202" spans="1:7" ht="15.75" thickBot="1" x14ac:dyDescent="0.3">
      <c r="A202" s="88"/>
      <c r="B202" s="95" t="s">
        <v>177</v>
      </c>
      <c r="C202" s="90">
        <f>SUM(C191:C201)</f>
        <v>300470</v>
      </c>
      <c r="D202" s="90">
        <f>SUM(D191:D201)</f>
        <v>0</v>
      </c>
      <c r="E202" s="90">
        <f>SUM(E191:E201)</f>
        <v>0</v>
      </c>
      <c r="F202" s="90">
        <f t="shared" ref="F202:G202" si="61">SUM(F191:F201)</f>
        <v>0</v>
      </c>
      <c r="G202" s="90">
        <f t="shared" si="61"/>
        <v>300470</v>
      </c>
    </row>
    <row r="203" spans="1:7" ht="15.75" thickBot="1" x14ac:dyDescent="0.3">
      <c r="A203" s="69"/>
      <c r="B203" s="102"/>
      <c r="C203" s="103"/>
      <c r="D203" s="103"/>
      <c r="E203" s="103"/>
      <c r="F203" s="103"/>
      <c r="G203" s="103"/>
    </row>
    <row r="204" spans="1:7" ht="15.75" thickBot="1" x14ac:dyDescent="0.3">
      <c r="A204" s="69"/>
      <c r="B204" s="95" t="s">
        <v>178</v>
      </c>
      <c r="C204" s="104">
        <f>C137+C149+C164+C173+C178+C189+C202</f>
        <v>5354493.1161483238</v>
      </c>
      <c r="D204" s="104">
        <f>D137+D149+D164+D173+D178+D189+D202</f>
        <v>271514.96325000003</v>
      </c>
      <c r="E204" s="104">
        <f>E137+E149+E164+E173+E178+E189+E202</f>
        <v>618052.52500000002</v>
      </c>
      <c r="F204" s="104">
        <f t="shared" ref="F204" si="62">F137+F149+F164+F173+F178+F189+F202</f>
        <v>171419.3847</v>
      </c>
      <c r="G204" s="104">
        <f>G137+G149+G164+G173+G178+G189+G202</f>
        <v>6415479.9890983244</v>
      </c>
    </row>
    <row r="205" spans="1:7" x14ac:dyDescent="0.25">
      <c r="A205" s="69"/>
      <c r="B205" s="105"/>
      <c r="C205" s="61"/>
      <c r="D205" s="61"/>
      <c r="E205" s="61"/>
      <c r="F205" s="61"/>
      <c r="G205" s="61"/>
    </row>
    <row r="206" spans="1:7" x14ac:dyDescent="0.25">
      <c r="A206" s="69"/>
      <c r="B206" s="106" t="s">
        <v>179</v>
      </c>
      <c r="C206" s="7">
        <v>0</v>
      </c>
      <c r="D206" s="7"/>
      <c r="E206" s="7"/>
      <c r="F206" s="7"/>
      <c r="G206" s="7">
        <f t="shared" ref="G206:G215" si="63">SUM(C206:F206)</f>
        <v>0</v>
      </c>
    </row>
    <row r="207" spans="1:7" x14ac:dyDescent="0.25">
      <c r="A207" s="69"/>
      <c r="B207" s="106" t="s">
        <v>180</v>
      </c>
      <c r="C207" s="7">
        <v>948808</v>
      </c>
      <c r="D207" s="7">
        <v>0</v>
      </c>
      <c r="E207" s="7"/>
      <c r="F207" s="7"/>
      <c r="G207" s="7">
        <f t="shared" si="63"/>
        <v>948808</v>
      </c>
    </row>
    <row r="208" spans="1:7" hidden="1" x14ac:dyDescent="0.25">
      <c r="A208" s="69"/>
      <c r="B208" s="106"/>
      <c r="C208" s="7"/>
      <c r="D208" s="7"/>
      <c r="E208" s="7"/>
      <c r="F208" s="7"/>
      <c r="G208" s="7">
        <f t="shared" si="63"/>
        <v>0</v>
      </c>
    </row>
    <row r="209" spans="1:7" hidden="1" x14ac:dyDescent="0.25">
      <c r="A209" s="69"/>
      <c r="B209" s="106"/>
      <c r="C209" s="7"/>
      <c r="D209" s="7"/>
      <c r="E209" s="7"/>
      <c r="F209" s="7"/>
      <c r="G209" s="7">
        <f t="shared" si="63"/>
        <v>0</v>
      </c>
    </row>
    <row r="210" spans="1:7" hidden="1" x14ac:dyDescent="0.25">
      <c r="A210" s="69"/>
      <c r="B210" s="106"/>
      <c r="C210" s="7"/>
      <c r="D210" s="7"/>
      <c r="E210" s="7"/>
      <c r="F210" s="7"/>
      <c r="G210" s="7">
        <f t="shared" si="63"/>
        <v>0</v>
      </c>
    </row>
    <row r="211" spans="1:7" hidden="1" x14ac:dyDescent="0.25">
      <c r="A211" s="69"/>
      <c r="B211" s="106"/>
      <c r="C211" s="7"/>
      <c r="D211" s="7"/>
      <c r="E211" s="7"/>
      <c r="F211" s="7"/>
      <c r="G211" s="7">
        <f t="shared" si="63"/>
        <v>0</v>
      </c>
    </row>
    <row r="212" spans="1:7" hidden="1" x14ac:dyDescent="0.25">
      <c r="A212" s="69"/>
      <c r="B212" s="106"/>
      <c r="C212" s="7"/>
      <c r="D212" s="7"/>
      <c r="E212" s="7"/>
      <c r="F212" s="7"/>
      <c r="G212" s="7">
        <f t="shared" si="63"/>
        <v>0</v>
      </c>
    </row>
    <row r="213" spans="1:7" hidden="1" x14ac:dyDescent="0.25">
      <c r="A213" s="69"/>
      <c r="B213" s="106" t="s">
        <v>180</v>
      </c>
      <c r="C213" s="7"/>
      <c r="D213" s="7"/>
      <c r="E213" s="7"/>
      <c r="F213" s="7"/>
      <c r="G213" s="7">
        <f t="shared" si="63"/>
        <v>0</v>
      </c>
    </row>
    <row r="214" spans="1:7" hidden="1" x14ac:dyDescent="0.25">
      <c r="A214" s="69"/>
      <c r="B214" s="107" t="s">
        <v>181</v>
      </c>
      <c r="C214" s="7">
        <v>0</v>
      </c>
      <c r="D214" s="7">
        <v>0</v>
      </c>
      <c r="E214" s="7"/>
      <c r="F214" s="7"/>
      <c r="G214" s="7">
        <f t="shared" si="63"/>
        <v>0</v>
      </c>
    </row>
    <row r="215" spans="1:7" x14ac:dyDescent="0.25">
      <c r="A215" s="69"/>
      <c r="B215" s="146"/>
      <c r="C215" s="7"/>
      <c r="D215" s="7"/>
      <c r="E215" s="7"/>
      <c r="F215" s="7"/>
      <c r="G215" s="7">
        <f t="shared" si="63"/>
        <v>0</v>
      </c>
    </row>
    <row r="216" spans="1:7" x14ac:dyDescent="0.25">
      <c r="A216" s="69"/>
      <c r="B216" s="147"/>
      <c r="C216" s="7"/>
      <c r="D216" s="7"/>
      <c r="E216" s="7"/>
      <c r="F216" s="7"/>
      <c r="G216" s="7"/>
    </row>
    <row r="217" spans="1:7" ht="15.75" thickBot="1" x14ac:dyDescent="0.3">
      <c r="A217" s="69"/>
      <c r="B217" s="144" t="s">
        <v>183</v>
      </c>
      <c r="C217" s="145">
        <f>C86-C204-C206-C207-C213-C214</f>
        <v>790277.59205167554</v>
      </c>
      <c r="D217" s="145">
        <f>D86-D204-D206-D207-D213-D214</f>
        <v>-150880.83325000003</v>
      </c>
      <c r="E217" s="145">
        <f>E86-E204-E206-E207-E213-E214</f>
        <v>-312243.32500000001</v>
      </c>
      <c r="F217" s="145">
        <f t="shared" ref="F217:G217" si="64">F86-F204-F206-F207-F213-F214</f>
        <v>18787.431300000026</v>
      </c>
      <c r="G217" s="145">
        <f t="shared" si="64"/>
        <v>345940.86510167457</v>
      </c>
    </row>
    <row r="218" spans="1:7" ht="15.75" thickBot="1" x14ac:dyDescent="0.3">
      <c r="A218" s="69"/>
      <c r="B218" s="108"/>
      <c r="C218" s="110">
        <f>C217/(C86-C76)</f>
        <v>0.11140746082624479</v>
      </c>
      <c r="D218" s="110">
        <f t="shared" ref="D218" si="65">D217/(D86-D76)</f>
        <v>-1.2507308939020825</v>
      </c>
      <c r="E218" s="110">
        <f>E217/(E86-E76)</f>
        <v>-1.0210396711413521</v>
      </c>
      <c r="F218" s="110">
        <f>F217/(F86)</f>
        <v>9.8773701674287132E-2</v>
      </c>
      <c r="G218" s="110">
        <f>G217/(G86-G76)</f>
        <v>4.6001171680511911E-2</v>
      </c>
    </row>
    <row r="219" spans="1:7" x14ac:dyDescent="0.25">
      <c r="A219" s="5"/>
      <c r="C219" s="111"/>
      <c r="D219" s="111"/>
      <c r="E219" s="111"/>
      <c r="F219" s="111"/>
      <c r="G219" s="111"/>
    </row>
    <row r="220" spans="1:7" x14ac:dyDescent="0.25">
      <c r="A220" s="5"/>
      <c r="B220" s="112" t="str">
        <f>B1</f>
        <v xml:space="preserve">St. Rose FY 22 </v>
      </c>
      <c r="C220" s="112" t="str">
        <f>C1</f>
        <v>Operating</v>
      </c>
      <c r="D220" s="112" t="str">
        <f>D1</f>
        <v>Weights</v>
      </c>
      <c r="E220" s="112" t="str">
        <f>E1</f>
        <v>SPED</v>
      </c>
      <c r="F220" s="112" t="str">
        <f t="shared" ref="F220:G220" si="66">F1</f>
        <v>NSLP</v>
      </c>
      <c r="G220" s="112" t="str">
        <f t="shared" si="66"/>
        <v>St. Rose</v>
      </c>
    </row>
    <row r="221" spans="1:7" x14ac:dyDescent="0.25">
      <c r="A221" s="5"/>
      <c r="C221" s="109"/>
      <c r="D221" s="109"/>
      <c r="E221" s="109"/>
      <c r="F221" s="109"/>
      <c r="G221" s="109"/>
    </row>
    <row r="222" spans="1:7" x14ac:dyDescent="0.25">
      <c r="A222" s="5"/>
      <c r="B222" s="112"/>
      <c r="C222" s="71"/>
      <c r="D222" s="71"/>
      <c r="E222" s="71"/>
      <c r="F222" s="71"/>
      <c r="G222" s="71"/>
    </row>
    <row r="223" spans="1:7" x14ac:dyDescent="0.25">
      <c r="A223" s="4"/>
      <c r="C223" s="109"/>
      <c r="D223" s="109"/>
      <c r="E223" s="109"/>
      <c r="F223" s="109"/>
      <c r="G223" s="109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22"/>
  <sheetViews>
    <sheetView topLeftCell="A100" zoomScaleNormal="100" workbookViewId="0">
      <selection activeCell="D110" sqref="D110"/>
    </sheetView>
  </sheetViews>
  <sheetFormatPr defaultRowHeight="15" x14ac:dyDescent="0.25"/>
  <cols>
    <col min="1" max="1" width="10.42578125" customWidth="1"/>
    <col min="2" max="2" width="46.85546875" customWidth="1"/>
    <col min="3" max="3" width="16.42578125" customWidth="1"/>
    <col min="4" max="4" width="14.85546875" customWidth="1"/>
    <col min="5" max="5" width="16.42578125" customWidth="1"/>
    <col min="6" max="7" width="14.85546875" customWidth="1"/>
    <col min="8" max="8" width="11" bestFit="1" customWidth="1"/>
    <col min="10" max="11" width="11.140625" bestFit="1" customWidth="1"/>
  </cols>
  <sheetData>
    <row r="1" spans="1:7" x14ac:dyDescent="0.25">
      <c r="A1" s="2"/>
      <c r="B1" s="1" t="s">
        <v>221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222</v>
      </c>
    </row>
    <row r="2" spans="1:7" x14ac:dyDescent="0.25">
      <c r="A2" s="4"/>
      <c r="B2" s="6" t="s">
        <v>7</v>
      </c>
      <c r="C2" s="7">
        <v>7196.79</v>
      </c>
      <c r="D2" s="7">
        <v>0</v>
      </c>
      <c r="E2" s="7">
        <v>0</v>
      </c>
      <c r="F2" s="7">
        <v>0</v>
      </c>
      <c r="G2" s="7">
        <f>SUM(C2:F2)</f>
        <v>7196.79</v>
      </c>
    </row>
    <row r="3" spans="1:7" x14ac:dyDescent="0.25">
      <c r="A3" s="4"/>
      <c r="B3" s="8"/>
      <c r="C3" s="7">
        <v>0</v>
      </c>
      <c r="D3" s="7">
        <v>0</v>
      </c>
      <c r="E3" s="7"/>
      <c r="F3" s="7">
        <v>0</v>
      </c>
      <c r="G3" s="7">
        <f>SUM(C3:F3)</f>
        <v>0</v>
      </c>
    </row>
    <row r="4" spans="1:7" x14ac:dyDescent="0.25">
      <c r="A4" s="4"/>
      <c r="B4" s="8"/>
      <c r="C4" s="139"/>
      <c r="D4" s="139"/>
      <c r="E4" s="139"/>
      <c r="F4" s="139"/>
      <c r="G4" s="153"/>
    </row>
    <row r="5" spans="1:7" x14ac:dyDescent="0.25">
      <c r="A5" s="4"/>
      <c r="B5" s="8" t="s">
        <v>8</v>
      </c>
      <c r="C5" s="9">
        <f>C6+C7+C8+C9+C10+C11+C12+C13+C14+C15+C16+C17+C18</f>
        <v>1754</v>
      </c>
      <c r="D5" s="9"/>
      <c r="E5" s="9"/>
      <c r="F5" s="9"/>
      <c r="G5" s="9">
        <f t="shared" ref="G5:G19" si="0">SUM(C5:F5)</f>
        <v>1754</v>
      </c>
    </row>
    <row r="6" spans="1:7" x14ac:dyDescent="0.25">
      <c r="A6" s="163">
        <v>5</v>
      </c>
      <c r="B6" s="10" t="s">
        <v>9</v>
      </c>
      <c r="C6" s="11">
        <v>125</v>
      </c>
      <c r="D6" s="11"/>
      <c r="E6" s="11"/>
      <c r="F6" s="11"/>
      <c r="G6" s="9">
        <f t="shared" si="0"/>
        <v>125</v>
      </c>
    </row>
    <row r="7" spans="1:7" x14ac:dyDescent="0.25">
      <c r="A7" s="163">
        <v>5</v>
      </c>
      <c r="B7" s="12" t="s">
        <v>10</v>
      </c>
      <c r="C7" s="11">
        <v>125</v>
      </c>
      <c r="D7" s="11"/>
      <c r="E7" s="11"/>
      <c r="F7" s="11"/>
      <c r="G7" s="9">
        <f t="shared" si="0"/>
        <v>125</v>
      </c>
    </row>
    <row r="8" spans="1:7" x14ac:dyDescent="0.25">
      <c r="A8" s="163">
        <v>6</v>
      </c>
      <c r="B8" s="12" t="s">
        <v>11</v>
      </c>
      <c r="C8" s="11">
        <f>26*6</f>
        <v>156</v>
      </c>
      <c r="D8" s="11"/>
      <c r="E8" s="11"/>
      <c r="F8" s="11"/>
      <c r="G8" s="9">
        <f t="shared" si="0"/>
        <v>156</v>
      </c>
    </row>
    <row r="9" spans="1:7" x14ac:dyDescent="0.25">
      <c r="A9" s="163">
        <v>5</v>
      </c>
      <c r="B9" s="13" t="s">
        <v>12</v>
      </c>
      <c r="C9" s="11">
        <f>26*5</f>
        <v>130</v>
      </c>
      <c r="D9" s="11"/>
      <c r="E9" s="11"/>
      <c r="F9" s="11"/>
      <c r="G9" s="9">
        <f t="shared" si="0"/>
        <v>130</v>
      </c>
    </row>
    <row r="10" spans="1:7" x14ac:dyDescent="0.25">
      <c r="A10" s="163">
        <v>5</v>
      </c>
      <c r="B10" s="13" t="s">
        <v>13</v>
      </c>
      <c r="C10" s="11">
        <f>26*5</f>
        <v>130</v>
      </c>
      <c r="D10" s="11"/>
      <c r="E10" s="11"/>
      <c r="F10" s="11"/>
      <c r="G10" s="9">
        <f t="shared" si="0"/>
        <v>130</v>
      </c>
    </row>
    <row r="11" spans="1:7" x14ac:dyDescent="0.25">
      <c r="A11" s="163">
        <v>5</v>
      </c>
      <c r="B11" s="13" t="s">
        <v>14</v>
      </c>
      <c r="C11" s="11">
        <f>26*5</f>
        <v>130</v>
      </c>
      <c r="D11" s="11"/>
      <c r="E11" s="11"/>
      <c r="F11" s="11"/>
      <c r="G11" s="9">
        <f t="shared" si="0"/>
        <v>130</v>
      </c>
    </row>
    <row r="12" spans="1:7" x14ac:dyDescent="0.25">
      <c r="A12" s="163">
        <v>6</v>
      </c>
      <c r="B12" s="13" t="s">
        <v>15</v>
      </c>
      <c r="C12" s="165">
        <f>30*6</f>
        <v>180</v>
      </c>
      <c r="D12" s="7"/>
      <c r="E12" s="7"/>
      <c r="F12" s="7"/>
      <c r="G12" s="9">
        <f t="shared" si="0"/>
        <v>180</v>
      </c>
    </row>
    <row r="13" spans="1:7" x14ac:dyDescent="0.25">
      <c r="A13" s="163">
        <v>5</v>
      </c>
      <c r="B13" s="13" t="s">
        <v>16</v>
      </c>
      <c r="C13" s="11">
        <f>155-2</f>
        <v>153</v>
      </c>
      <c r="D13" s="7"/>
      <c r="E13" s="7"/>
      <c r="F13" s="7"/>
      <c r="G13" s="9">
        <f t="shared" si="0"/>
        <v>153</v>
      </c>
    </row>
    <row r="14" spans="1:7" x14ac:dyDescent="0.25">
      <c r="A14" s="163">
        <v>5</v>
      </c>
      <c r="B14" s="13" t="s">
        <v>17</v>
      </c>
      <c r="C14" s="11">
        <f>155-2</f>
        <v>153</v>
      </c>
      <c r="D14" s="7"/>
      <c r="E14" s="7"/>
      <c r="F14" s="7"/>
      <c r="G14" s="9">
        <f t="shared" si="0"/>
        <v>153</v>
      </c>
    </row>
    <row r="15" spans="1:7" x14ac:dyDescent="0.25">
      <c r="A15" s="163">
        <v>7</v>
      </c>
      <c r="B15" s="13" t="s">
        <v>18</v>
      </c>
      <c r="C15" s="166">
        <f>217-6</f>
        <v>211</v>
      </c>
      <c r="D15" s="7"/>
      <c r="E15" s="7"/>
      <c r="F15" s="7"/>
      <c r="G15" s="9">
        <f t="shared" si="0"/>
        <v>211</v>
      </c>
    </row>
    <row r="16" spans="1:7" x14ac:dyDescent="0.25">
      <c r="A16" s="163">
        <v>5</v>
      </c>
      <c r="B16" s="13" t="s">
        <v>19</v>
      </c>
      <c r="C16" s="11">
        <f>155-3</f>
        <v>152</v>
      </c>
      <c r="D16" s="7"/>
      <c r="E16" s="7"/>
      <c r="F16" s="7"/>
      <c r="G16" s="9">
        <f t="shared" si="0"/>
        <v>152</v>
      </c>
    </row>
    <row r="17" spans="1:9" x14ac:dyDescent="0.25">
      <c r="A17" s="163">
        <v>4</v>
      </c>
      <c r="B17" s="13" t="s">
        <v>20</v>
      </c>
      <c r="C17" s="11">
        <f>110-1</f>
        <v>109</v>
      </c>
      <c r="D17" s="7"/>
      <c r="E17" s="7"/>
      <c r="F17" s="7"/>
      <c r="G17" s="9">
        <f t="shared" si="0"/>
        <v>109</v>
      </c>
    </row>
    <row r="18" spans="1:9" x14ac:dyDescent="0.25">
      <c r="A18" s="151"/>
      <c r="B18" s="13" t="s">
        <v>21</v>
      </c>
      <c r="C18" s="7">
        <v>0</v>
      </c>
      <c r="D18" s="7"/>
      <c r="E18" s="7"/>
      <c r="F18" s="7"/>
      <c r="G18" s="9">
        <f t="shared" si="0"/>
        <v>0</v>
      </c>
    </row>
    <row r="19" spans="1:9" x14ac:dyDescent="0.25">
      <c r="A19" s="151"/>
      <c r="B19" s="13" t="s">
        <v>8</v>
      </c>
      <c r="C19" s="9">
        <f>SUM(C6:C18)</f>
        <v>1754</v>
      </c>
      <c r="D19" s="9"/>
      <c r="E19" s="9"/>
      <c r="F19" s="9"/>
      <c r="G19" s="9">
        <f t="shared" si="0"/>
        <v>1754</v>
      </c>
      <c r="H19" s="138">
        <f>G87+G92+G94</f>
        <v>12708612.59</v>
      </c>
      <c r="I19">
        <f>H19/G19</f>
        <v>7245.5031870011398</v>
      </c>
    </row>
    <row r="20" spans="1:9" x14ac:dyDescent="0.25">
      <c r="A20" s="4"/>
      <c r="B20" s="16"/>
      <c r="C20" s="7"/>
      <c r="D20" s="7"/>
      <c r="E20" s="7"/>
      <c r="F20" s="7"/>
      <c r="G20" s="7"/>
    </row>
    <row r="21" spans="1:9" x14ac:dyDescent="0.25">
      <c r="A21" s="4"/>
      <c r="B21" s="17" t="s">
        <v>22</v>
      </c>
      <c r="C21" s="18"/>
      <c r="D21" s="18"/>
      <c r="E21" s="18"/>
      <c r="F21" s="18"/>
      <c r="G21" s="18"/>
      <c r="I21" s="137"/>
    </row>
    <row r="22" spans="1:9" x14ac:dyDescent="0.25">
      <c r="A22" s="4"/>
      <c r="B22" s="140" t="s">
        <v>23</v>
      </c>
      <c r="C22" s="7"/>
      <c r="D22" s="7"/>
      <c r="E22" s="7">
        <v>133</v>
      </c>
      <c r="F22" s="7"/>
      <c r="G22" s="7">
        <f t="shared" ref="G22:G27" si="1">SUM(C22:F22)</f>
        <v>133</v>
      </c>
    </row>
    <row r="23" spans="1:9" x14ac:dyDescent="0.25">
      <c r="A23" s="4"/>
      <c r="B23" s="140" t="s">
        <v>24</v>
      </c>
      <c r="C23" s="7"/>
      <c r="D23" s="7">
        <v>20</v>
      </c>
      <c r="E23" s="7"/>
      <c r="F23" s="7"/>
      <c r="G23" s="7">
        <f t="shared" si="1"/>
        <v>20</v>
      </c>
    </row>
    <row r="24" spans="1:9" x14ac:dyDescent="0.25">
      <c r="A24" s="4"/>
      <c r="B24" s="140" t="s">
        <v>25</v>
      </c>
      <c r="C24" s="7"/>
      <c r="D24" s="7">
        <v>65</v>
      </c>
      <c r="E24" s="7"/>
      <c r="F24" s="7"/>
      <c r="G24" s="7">
        <f t="shared" si="1"/>
        <v>65</v>
      </c>
    </row>
    <row r="25" spans="1:9" x14ac:dyDescent="0.25">
      <c r="A25" s="4"/>
      <c r="B25" s="140" t="s">
        <v>26</v>
      </c>
      <c r="C25" s="19"/>
      <c r="D25" s="19"/>
      <c r="E25" s="19"/>
      <c r="F25" s="19">
        <v>0.18</v>
      </c>
      <c r="G25" s="19">
        <f t="shared" si="1"/>
        <v>0.18</v>
      </c>
    </row>
    <row r="26" spans="1:9" x14ac:dyDescent="0.25">
      <c r="A26" s="4"/>
      <c r="B26" s="140" t="s">
        <v>27</v>
      </c>
      <c r="C26" s="7"/>
      <c r="D26" s="7">
        <v>219</v>
      </c>
      <c r="E26" s="7"/>
      <c r="F26" s="7"/>
      <c r="G26" s="7">
        <f t="shared" si="1"/>
        <v>219</v>
      </c>
    </row>
    <row r="27" spans="1:9" x14ac:dyDescent="0.25">
      <c r="A27" s="4"/>
      <c r="B27" s="20"/>
      <c r="C27" s="7"/>
      <c r="D27" s="7"/>
      <c r="E27" s="7"/>
      <c r="F27" s="7"/>
      <c r="G27" s="7">
        <f t="shared" si="1"/>
        <v>0</v>
      </c>
    </row>
    <row r="28" spans="1:9" x14ac:dyDescent="0.25">
      <c r="A28" s="4"/>
      <c r="B28" s="17" t="s">
        <v>28</v>
      </c>
      <c r="C28" s="18"/>
      <c r="D28" s="18"/>
      <c r="E28" s="18"/>
      <c r="F28" s="18"/>
      <c r="G28" s="18"/>
    </row>
    <row r="29" spans="1:9" x14ac:dyDescent="0.25">
      <c r="A29" s="4"/>
      <c r="B29" s="21" t="s">
        <v>29</v>
      </c>
      <c r="C29" s="23">
        <v>63</v>
      </c>
      <c r="D29" s="23"/>
      <c r="E29" s="23"/>
      <c r="F29" s="23"/>
      <c r="G29" s="23">
        <f t="shared" ref="G29:G38" si="2">SUM(C29:F29)</f>
        <v>63</v>
      </c>
    </row>
    <row r="30" spans="1:9" x14ac:dyDescent="0.25">
      <c r="A30" s="25"/>
      <c r="B30" s="21" t="s">
        <v>30</v>
      </c>
      <c r="C30" s="26">
        <v>0</v>
      </c>
      <c r="D30" s="26"/>
      <c r="E30" s="26">
        <v>8</v>
      </c>
      <c r="F30" s="26"/>
      <c r="G30" s="23">
        <f t="shared" si="2"/>
        <v>8</v>
      </c>
    </row>
    <row r="31" spans="1:9" x14ac:dyDescent="0.25">
      <c r="A31" s="4"/>
      <c r="B31" s="21" t="s">
        <v>31</v>
      </c>
      <c r="C31" s="23">
        <v>1</v>
      </c>
      <c r="D31" s="23"/>
      <c r="E31" s="23"/>
      <c r="F31" s="23"/>
      <c r="G31" s="23">
        <f t="shared" si="2"/>
        <v>1</v>
      </c>
    </row>
    <row r="32" spans="1:9" x14ac:dyDescent="0.25">
      <c r="A32" s="4"/>
      <c r="B32" s="21" t="s">
        <v>32</v>
      </c>
      <c r="C32" s="23">
        <v>1</v>
      </c>
      <c r="D32" s="23"/>
      <c r="E32" s="23"/>
      <c r="F32" s="23"/>
      <c r="G32" s="23">
        <f t="shared" si="2"/>
        <v>1</v>
      </c>
    </row>
    <row r="33" spans="1:7" x14ac:dyDescent="0.25">
      <c r="A33" s="4"/>
      <c r="B33" s="21" t="s">
        <v>33</v>
      </c>
      <c r="C33" s="23">
        <v>1</v>
      </c>
      <c r="D33" s="23"/>
      <c r="E33" s="23"/>
      <c r="F33" s="23"/>
      <c r="G33" s="23">
        <f t="shared" si="2"/>
        <v>1</v>
      </c>
    </row>
    <row r="34" spans="1:7" x14ac:dyDescent="0.25">
      <c r="A34" s="4"/>
      <c r="B34" s="24" t="s">
        <v>34</v>
      </c>
      <c r="C34" s="22">
        <v>0</v>
      </c>
      <c r="D34" s="22"/>
      <c r="E34" s="22"/>
      <c r="F34" s="22"/>
      <c r="G34" s="23">
        <f t="shared" si="2"/>
        <v>0</v>
      </c>
    </row>
    <row r="35" spans="1:7" x14ac:dyDescent="0.25">
      <c r="A35" s="4"/>
      <c r="B35" s="27" t="s">
        <v>35</v>
      </c>
      <c r="C35" s="23">
        <v>0</v>
      </c>
      <c r="D35" s="23"/>
      <c r="E35" s="23"/>
      <c r="F35" s="23"/>
      <c r="G35" s="23">
        <f t="shared" si="2"/>
        <v>0</v>
      </c>
    </row>
    <row r="36" spans="1:7" x14ac:dyDescent="0.25">
      <c r="A36" s="4"/>
      <c r="B36" s="28" t="s">
        <v>36</v>
      </c>
      <c r="C36" s="22">
        <v>0</v>
      </c>
      <c r="D36" s="22"/>
      <c r="E36" s="22"/>
      <c r="F36" s="22"/>
      <c r="G36" s="23">
        <f t="shared" si="2"/>
        <v>0</v>
      </c>
    </row>
    <row r="37" spans="1:7" x14ac:dyDescent="0.25">
      <c r="A37" s="4"/>
      <c r="B37" s="27" t="s">
        <v>37</v>
      </c>
      <c r="C37" s="23">
        <v>1</v>
      </c>
      <c r="D37" s="23"/>
      <c r="E37" s="23"/>
      <c r="F37" s="23"/>
      <c r="G37" s="23">
        <f t="shared" si="2"/>
        <v>1</v>
      </c>
    </row>
    <row r="38" spans="1:7" x14ac:dyDescent="0.25">
      <c r="A38" s="4"/>
      <c r="B38" s="27" t="s">
        <v>38</v>
      </c>
      <c r="C38" s="23">
        <v>3.66</v>
      </c>
      <c r="D38" s="23"/>
      <c r="E38" s="23"/>
      <c r="F38" s="23"/>
      <c r="G38" s="23">
        <f t="shared" si="2"/>
        <v>3.66</v>
      </c>
    </row>
    <row r="39" spans="1:7" x14ac:dyDescent="0.25">
      <c r="A39" s="4"/>
      <c r="B39" s="29" t="s">
        <v>39</v>
      </c>
      <c r="C39" s="30">
        <f>SUM(C29:C38)</f>
        <v>70.66</v>
      </c>
      <c r="D39" s="30">
        <f>SUM(D29:D38)</f>
        <v>0</v>
      </c>
      <c r="E39" s="30">
        <f t="shared" ref="E39:G39" si="3">SUM(E29:E38)</f>
        <v>8</v>
      </c>
      <c r="F39" s="30">
        <f t="shared" si="3"/>
        <v>0</v>
      </c>
      <c r="G39" s="30">
        <f t="shared" si="3"/>
        <v>78.66</v>
      </c>
    </row>
    <row r="40" spans="1:7" x14ac:dyDescent="0.25">
      <c r="A40" s="4"/>
      <c r="B40" s="31"/>
      <c r="C40" s="23"/>
      <c r="D40" s="23"/>
      <c r="E40" s="23"/>
      <c r="F40" s="23"/>
      <c r="G40" s="23"/>
    </row>
    <row r="41" spans="1:7" x14ac:dyDescent="0.25">
      <c r="A41" s="4"/>
      <c r="B41" s="17" t="s">
        <v>40</v>
      </c>
      <c r="C41" s="32"/>
      <c r="D41" s="32"/>
      <c r="E41" s="32"/>
      <c r="F41" s="32"/>
      <c r="G41" s="32"/>
    </row>
    <row r="42" spans="1:7" x14ac:dyDescent="0.25">
      <c r="A42" s="4"/>
      <c r="B42" s="21" t="s">
        <v>41</v>
      </c>
      <c r="C42" s="23">
        <v>1</v>
      </c>
      <c r="D42" s="23"/>
      <c r="E42" s="23"/>
      <c r="F42" s="23"/>
      <c r="G42" s="23">
        <f>SUM(C42:F42)</f>
        <v>1</v>
      </c>
    </row>
    <row r="43" spans="1:7" x14ac:dyDescent="0.25">
      <c r="A43" s="4"/>
      <c r="B43" s="21" t="s">
        <v>42</v>
      </c>
      <c r="C43" s="26">
        <v>3</v>
      </c>
      <c r="D43" s="23"/>
      <c r="E43" s="23"/>
      <c r="F43" s="23"/>
      <c r="G43" s="23">
        <f t="shared" ref="G43:G61" si="4">SUM(C43:F43)</f>
        <v>3</v>
      </c>
    </row>
    <row r="44" spans="1:7" x14ac:dyDescent="0.25">
      <c r="A44" s="4"/>
      <c r="B44" s="34" t="s">
        <v>43</v>
      </c>
      <c r="C44" s="23">
        <v>0</v>
      </c>
      <c r="D44" s="23"/>
      <c r="E44" s="23"/>
      <c r="F44" s="23"/>
      <c r="G44" s="23">
        <f t="shared" si="4"/>
        <v>0</v>
      </c>
    </row>
    <row r="45" spans="1:7" x14ac:dyDescent="0.25">
      <c r="A45" s="4"/>
      <c r="B45" s="33" t="s">
        <v>44</v>
      </c>
      <c r="C45" s="23">
        <v>2</v>
      </c>
      <c r="D45" s="23"/>
      <c r="E45" s="23"/>
      <c r="F45" s="23"/>
      <c r="G45" s="23">
        <f t="shared" si="4"/>
        <v>2</v>
      </c>
    </row>
    <row r="46" spans="1:7" x14ac:dyDescent="0.25">
      <c r="A46" s="4"/>
      <c r="B46" s="33" t="s">
        <v>45</v>
      </c>
      <c r="C46" s="177">
        <v>2</v>
      </c>
      <c r="D46" s="23"/>
      <c r="E46" s="23"/>
      <c r="F46" s="23"/>
      <c r="G46" s="23">
        <f t="shared" si="4"/>
        <v>2</v>
      </c>
    </row>
    <row r="47" spans="1:7" x14ac:dyDescent="0.25">
      <c r="A47" s="4"/>
      <c r="B47" s="21" t="s">
        <v>200</v>
      </c>
      <c r="C47" s="23">
        <v>2</v>
      </c>
      <c r="D47" s="23"/>
      <c r="E47" s="23"/>
      <c r="F47" s="23"/>
      <c r="G47" s="23">
        <f t="shared" si="4"/>
        <v>2</v>
      </c>
    </row>
    <row r="48" spans="1:7" x14ac:dyDescent="0.25">
      <c r="A48" s="4"/>
      <c r="B48" s="21" t="s">
        <v>47</v>
      </c>
      <c r="C48" s="26">
        <v>1.5</v>
      </c>
      <c r="D48" s="26"/>
      <c r="E48" s="26"/>
      <c r="F48" s="26"/>
      <c r="G48" s="23">
        <f t="shared" si="4"/>
        <v>1.5</v>
      </c>
    </row>
    <row r="49" spans="1:7" x14ac:dyDescent="0.25">
      <c r="A49" s="4"/>
      <c r="B49" s="21" t="s">
        <v>48</v>
      </c>
      <c r="C49" s="26">
        <v>2</v>
      </c>
      <c r="D49" s="26"/>
      <c r="E49" s="26"/>
      <c r="F49" s="26"/>
      <c r="G49" s="23">
        <f t="shared" si="4"/>
        <v>2</v>
      </c>
    </row>
    <row r="50" spans="1:7" x14ac:dyDescent="0.25">
      <c r="A50" s="4"/>
      <c r="B50" s="21" t="s">
        <v>49</v>
      </c>
      <c r="C50" s="26">
        <v>2</v>
      </c>
      <c r="D50" s="26"/>
      <c r="E50" s="26"/>
      <c r="F50" s="26"/>
      <c r="G50" s="23">
        <f t="shared" si="4"/>
        <v>2</v>
      </c>
    </row>
    <row r="51" spans="1:7" x14ac:dyDescent="0.25">
      <c r="A51" s="4"/>
      <c r="B51" s="21" t="s">
        <v>50</v>
      </c>
      <c r="C51" s="152">
        <v>0</v>
      </c>
      <c r="D51" s="152">
        <v>2</v>
      </c>
      <c r="E51" s="152">
        <v>8</v>
      </c>
      <c r="F51" s="152">
        <v>0</v>
      </c>
      <c r="G51" s="23">
        <f t="shared" si="4"/>
        <v>10</v>
      </c>
    </row>
    <row r="52" spans="1:7" x14ac:dyDescent="0.25">
      <c r="A52" s="4"/>
      <c r="B52" s="21" t="s">
        <v>51</v>
      </c>
      <c r="C52" s="152">
        <v>4</v>
      </c>
      <c r="D52" s="152"/>
      <c r="E52" s="152"/>
      <c r="F52" s="152"/>
      <c r="G52" s="23">
        <f t="shared" si="4"/>
        <v>4</v>
      </c>
    </row>
    <row r="53" spans="1:7" x14ac:dyDescent="0.25">
      <c r="A53" s="4"/>
      <c r="B53" s="21" t="s">
        <v>52</v>
      </c>
      <c r="C53" s="152"/>
      <c r="D53" s="152"/>
      <c r="E53" s="152"/>
      <c r="F53" s="152">
        <v>2</v>
      </c>
      <c r="G53" s="23">
        <f t="shared" si="4"/>
        <v>2</v>
      </c>
    </row>
    <row r="54" spans="1:7" x14ac:dyDescent="0.25">
      <c r="A54" s="4"/>
      <c r="B54" s="21" t="s">
        <v>53</v>
      </c>
      <c r="C54" s="26">
        <v>0</v>
      </c>
      <c r="D54" s="26">
        <v>0</v>
      </c>
      <c r="E54" s="26"/>
      <c r="F54" s="26"/>
      <c r="G54" s="23">
        <f t="shared" si="4"/>
        <v>0</v>
      </c>
    </row>
    <row r="55" spans="1:7" x14ac:dyDescent="0.25">
      <c r="A55" s="4"/>
      <c r="B55" s="34" t="s">
        <v>54</v>
      </c>
      <c r="C55" s="23">
        <v>0</v>
      </c>
      <c r="D55" s="23"/>
      <c r="E55" s="23">
        <v>1</v>
      </c>
      <c r="F55" s="23"/>
      <c r="G55" s="23">
        <f t="shared" si="4"/>
        <v>1</v>
      </c>
    </row>
    <row r="56" spans="1:7" x14ac:dyDescent="0.25">
      <c r="A56" s="4"/>
      <c r="B56" s="34" t="s">
        <v>55</v>
      </c>
      <c r="C56" s="23">
        <v>0</v>
      </c>
      <c r="D56" s="23">
        <v>0</v>
      </c>
      <c r="E56" s="23">
        <v>0</v>
      </c>
      <c r="F56" s="23"/>
      <c r="G56" s="23">
        <f t="shared" si="4"/>
        <v>0</v>
      </c>
    </row>
    <row r="57" spans="1:7" x14ac:dyDescent="0.25">
      <c r="A57" s="4"/>
      <c r="B57" s="34" t="s">
        <v>56</v>
      </c>
      <c r="C57" s="23">
        <v>0</v>
      </c>
      <c r="D57" s="23">
        <v>0</v>
      </c>
      <c r="E57" s="23">
        <v>0.5</v>
      </c>
      <c r="F57" s="23"/>
      <c r="G57" s="23">
        <f t="shared" si="4"/>
        <v>0.5</v>
      </c>
    </row>
    <row r="58" spans="1:7" x14ac:dyDescent="0.25">
      <c r="A58" s="4"/>
      <c r="B58" s="34" t="s">
        <v>57</v>
      </c>
      <c r="C58" s="23">
        <v>0</v>
      </c>
      <c r="D58" s="23">
        <v>0</v>
      </c>
      <c r="E58" s="23">
        <v>0.33</v>
      </c>
      <c r="F58" s="23"/>
      <c r="G58" s="23">
        <f t="shared" si="4"/>
        <v>0.33</v>
      </c>
    </row>
    <row r="59" spans="1:7" x14ac:dyDescent="0.25">
      <c r="A59" s="4"/>
      <c r="B59" s="34" t="s">
        <v>58</v>
      </c>
      <c r="C59" s="23">
        <v>0</v>
      </c>
      <c r="D59" s="23">
        <v>0</v>
      </c>
      <c r="E59" s="23">
        <v>0.5</v>
      </c>
      <c r="F59" s="23"/>
      <c r="G59" s="23">
        <f t="shared" si="4"/>
        <v>0.5</v>
      </c>
    </row>
    <row r="60" spans="1:7" x14ac:dyDescent="0.25">
      <c r="A60" s="4"/>
      <c r="B60" s="34" t="s">
        <v>59</v>
      </c>
      <c r="C60" s="23">
        <v>0</v>
      </c>
      <c r="D60" s="23">
        <v>1</v>
      </c>
      <c r="E60" s="23"/>
      <c r="F60" s="23"/>
      <c r="G60" s="23">
        <f t="shared" si="4"/>
        <v>1</v>
      </c>
    </row>
    <row r="61" spans="1:7" x14ac:dyDescent="0.25">
      <c r="A61" s="4"/>
      <c r="B61" s="35"/>
      <c r="C61" s="23">
        <v>0</v>
      </c>
      <c r="D61" s="23">
        <v>0</v>
      </c>
      <c r="E61" s="23"/>
      <c r="F61" s="23"/>
      <c r="G61" s="23">
        <f t="shared" si="4"/>
        <v>0</v>
      </c>
    </row>
    <row r="62" spans="1:7" x14ac:dyDescent="0.25">
      <c r="A62" s="4"/>
      <c r="B62" s="29" t="s">
        <v>60</v>
      </c>
      <c r="C62" s="30">
        <f>SUM(C42:C61)</f>
        <v>19.5</v>
      </c>
      <c r="D62" s="30">
        <f t="shared" ref="D62:G62" si="5">SUM(D42:D61)</f>
        <v>3</v>
      </c>
      <c r="E62" s="30">
        <f t="shared" si="5"/>
        <v>10.33</v>
      </c>
      <c r="F62" s="30">
        <f t="shared" si="5"/>
        <v>2</v>
      </c>
      <c r="G62" s="30">
        <f t="shared" si="5"/>
        <v>34.83</v>
      </c>
    </row>
    <row r="63" spans="1:7" ht="15.75" thickBot="1" x14ac:dyDescent="0.3">
      <c r="A63" s="4"/>
      <c r="B63" s="36"/>
      <c r="C63" s="38"/>
      <c r="D63" s="38"/>
      <c r="E63" s="38"/>
      <c r="F63" s="38"/>
      <c r="G63" s="38"/>
    </row>
    <row r="64" spans="1:7" x14ac:dyDescent="0.25">
      <c r="A64" s="2"/>
      <c r="B64" s="40" t="s">
        <v>61</v>
      </c>
      <c r="C64" s="39">
        <f>C39</f>
        <v>70.66</v>
      </c>
      <c r="D64" s="39">
        <f>D39</f>
        <v>0</v>
      </c>
      <c r="E64" s="39">
        <f>E39</f>
        <v>8</v>
      </c>
      <c r="F64" s="39">
        <f t="shared" ref="F64" si="6">F39</f>
        <v>0</v>
      </c>
      <c r="G64" s="39">
        <f>G39</f>
        <v>78.66</v>
      </c>
    </row>
    <row r="65" spans="1:7" ht="15.75" thickBot="1" x14ac:dyDescent="0.3">
      <c r="A65" s="2"/>
      <c r="B65" s="42" t="s">
        <v>62</v>
      </c>
      <c r="C65" s="41">
        <f>C62</f>
        <v>19.5</v>
      </c>
      <c r="D65" s="41">
        <f>D62</f>
        <v>3</v>
      </c>
      <c r="E65" s="41">
        <f>E62</f>
        <v>10.33</v>
      </c>
      <c r="F65" s="41">
        <f t="shared" ref="F65:G65" si="7">F62</f>
        <v>2</v>
      </c>
      <c r="G65" s="41">
        <f t="shared" si="7"/>
        <v>34.83</v>
      </c>
    </row>
    <row r="66" spans="1:7" ht="15.75" thickBot="1" x14ac:dyDescent="0.3">
      <c r="A66" s="2"/>
      <c r="B66" s="44" t="s">
        <v>63</v>
      </c>
      <c r="C66" s="43">
        <f>SUM(C64:C65)</f>
        <v>90.16</v>
      </c>
      <c r="D66" s="43">
        <f>SUM(D64:D65)</f>
        <v>3</v>
      </c>
      <c r="E66" s="43">
        <f>SUM(E64:E65)</f>
        <v>18.329999999999998</v>
      </c>
      <c r="F66" s="43">
        <f t="shared" ref="F66:G66" si="8">SUM(F64:F65)</f>
        <v>2</v>
      </c>
      <c r="G66" s="43">
        <f t="shared" si="8"/>
        <v>113.49</v>
      </c>
    </row>
    <row r="67" spans="1:7" ht="15.75" thickBot="1" x14ac:dyDescent="0.3">
      <c r="A67" s="4"/>
      <c r="B67" s="34"/>
      <c r="C67" s="45"/>
      <c r="D67" s="45"/>
      <c r="E67" s="45"/>
      <c r="F67" s="45"/>
      <c r="G67" s="45"/>
    </row>
    <row r="68" spans="1:7" x14ac:dyDescent="0.25">
      <c r="A68" s="4"/>
      <c r="B68" s="47" t="s">
        <v>64</v>
      </c>
      <c r="C68" s="46"/>
      <c r="D68" s="46"/>
      <c r="E68" s="46"/>
      <c r="F68" s="46"/>
      <c r="G68" s="46">
        <f t="shared" ref="G68" si="9">G137/(SUM(G204:G214))</f>
        <v>0.59508656618993161</v>
      </c>
    </row>
    <row r="69" spans="1:7" x14ac:dyDescent="0.25">
      <c r="A69" s="4"/>
      <c r="B69" s="49" t="s">
        <v>65</v>
      </c>
      <c r="C69" s="48"/>
      <c r="D69" s="48"/>
      <c r="E69" s="48"/>
      <c r="F69" s="48"/>
      <c r="G69" s="48">
        <f t="shared" ref="G69" si="10">(G108+G109+G110+G113)/G129</f>
        <v>0.76467530048184285</v>
      </c>
    </row>
    <row r="70" spans="1:7" x14ac:dyDescent="0.25">
      <c r="A70" s="4"/>
      <c r="B70" s="51" t="s">
        <v>66</v>
      </c>
      <c r="C70" s="48"/>
      <c r="D70" s="48"/>
      <c r="E70" s="48"/>
      <c r="F70" s="48"/>
      <c r="G70" s="48">
        <f t="shared" ref="G70" si="11">(G103+G104+G106+G107+G111+G112+G114+G115+G118+G119+G120+G121+G122+G105+G123+G124+G125+G126+G127)/G129</f>
        <v>0.2353246995181571</v>
      </c>
    </row>
    <row r="71" spans="1:7" ht="15.75" thickBot="1" x14ac:dyDescent="0.3">
      <c r="A71" s="4"/>
      <c r="B71" s="53" t="s">
        <v>67</v>
      </c>
      <c r="C71" s="52"/>
      <c r="D71" s="52"/>
      <c r="E71" s="52"/>
      <c r="F71" s="52"/>
      <c r="G71" s="52">
        <f t="shared" ref="G71" si="12">SUM(G206:G214)/G86</f>
        <v>0.16269219063029475</v>
      </c>
    </row>
    <row r="72" spans="1:7" x14ac:dyDescent="0.25">
      <c r="A72" s="50"/>
      <c r="B72" s="54"/>
      <c r="C72" s="55"/>
      <c r="D72" s="55"/>
      <c r="E72" s="55"/>
      <c r="F72" s="55"/>
      <c r="G72" s="55"/>
    </row>
    <row r="73" spans="1:7" x14ac:dyDescent="0.25">
      <c r="A73" s="56"/>
      <c r="B73" s="57" t="s">
        <v>68</v>
      </c>
      <c r="C73" s="58" t="str">
        <f>C1</f>
        <v>Operating</v>
      </c>
      <c r="D73" s="58" t="str">
        <f>D1</f>
        <v>Weights</v>
      </c>
      <c r="E73" s="58" t="s">
        <v>3</v>
      </c>
      <c r="F73" s="58" t="str">
        <f t="shared" ref="F73" si="13">F1</f>
        <v>NSLP</v>
      </c>
      <c r="G73" s="58" t="str">
        <f>G1</f>
        <v>Sloan</v>
      </c>
    </row>
    <row r="74" spans="1:7" x14ac:dyDescent="0.25">
      <c r="A74" s="59">
        <v>3110</v>
      </c>
      <c r="B74" s="60" t="s">
        <v>69</v>
      </c>
      <c r="C74" s="7">
        <f>(C2*C5)*0.97</f>
        <v>12244474.5702</v>
      </c>
      <c r="D74" s="7">
        <f t="shared" ref="D74" si="14">(D2*D5)*0.95</f>
        <v>0</v>
      </c>
      <c r="E74" s="7"/>
      <c r="F74" s="7"/>
      <c r="G74" s="7">
        <f t="shared" ref="G74:G85" si="15">SUM(C74:F74)</f>
        <v>12244474.5702</v>
      </c>
    </row>
    <row r="75" spans="1:7" x14ac:dyDescent="0.25">
      <c r="A75" s="59"/>
      <c r="B75" s="62" t="s">
        <v>70</v>
      </c>
      <c r="C75" s="7">
        <f>(C3*C5)*0.95</f>
        <v>0</v>
      </c>
      <c r="D75" s="7">
        <f t="shared" ref="D75" si="16">(D3*D5)*0.95</f>
        <v>0</v>
      </c>
      <c r="E75" s="7">
        <f>SPED!D8</f>
        <v>0</v>
      </c>
      <c r="F75" s="7"/>
      <c r="G75" s="7">
        <f t="shared" si="15"/>
        <v>0</v>
      </c>
    </row>
    <row r="76" spans="1:7" x14ac:dyDescent="0.25">
      <c r="A76" s="59">
        <v>4500</v>
      </c>
      <c r="B76" s="62" t="s">
        <v>71</v>
      </c>
      <c r="C76" s="7">
        <f>($C$19*C25)*3.15*180</f>
        <v>0</v>
      </c>
      <c r="D76" s="7">
        <f t="shared" ref="D76" si="17">($C$19*D25)*3.15*180</f>
        <v>0</v>
      </c>
      <c r="E76" s="7"/>
      <c r="F76" s="7">
        <f>(($C$19*F25)*4*180)</f>
        <v>227318.39999999997</v>
      </c>
      <c r="G76" s="7">
        <f t="shared" si="15"/>
        <v>227318.39999999997</v>
      </c>
    </row>
    <row r="77" spans="1:7" x14ac:dyDescent="0.25">
      <c r="A77" s="59">
        <v>4500</v>
      </c>
      <c r="B77" s="62" t="s">
        <v>72</v>
      </c>
      <c r="C77" s="7">
        <f>950*C22</f>
        <v>0</v>
      </c>
      <c r="D77" s="7">
        <f t="shared" ref="D77" si="18">950*D22</f>
        <v>0</v>
      </c>
      <c r="E77" s="7">
        <f>950*E22</f>
        <v>126350</v>
      </c>
      <c r="F77" s="7"/>
      <c r="G77" s="7">
        <f t="shared" si="15"/>
        <v>126350</v>
      </c>
    </row>
    <row r="78" spans="1:7" x14ac:dyDescent="0.25">
      <c r="A78" s="143">
        <v>3115</v>
      </c>
      <c r="B78" s="141" t="s">
        <v>73</v>
      </c>
      <c r="C78" s="37">
        <f>3200*C22</f>
        <v>0</v>
      </c>
      <c r="D78" s="37">
        <f t="shared" ref="D78" si="19">3200*D22</f>
        <v>0</v>
      </c>
      <c r="E78" s="37">
        <f>2755*E22</f>
        <v>366415</v>
      </c>
      <c r="F78" s="37"/>
      <c r="G78" s="7">
        <f t="shared" si="15"/>
        <v>366415</v>
      </c>
    </row>
    <row r="79" spans="1:7" x14ac:dyDescent="0.25">
      <c r="A79" s="63"/>
      <c r="B79" s="62" t="s">
        <v>74</v>
      </c>
      <c r="C79" s="37">
        <f>1400*C23</f>
        <v>0</v>
      </c>
      <c r="D79" s="37">
        <f>1634.62*D23</f>
        <v>32692.399999999998</v>
      </c>
      <c r="E79" s="37"/>
      <c r="F79" s="37"/>
      <c r="G79" s="7">
        <f t="shared" si="15"/>
        <v>32692.399999999998</v>
      </c>
    </row>
    <row r="80" spans="1:7" x14ac:dyDescent="0.25">
      <c r="A80" s="59">
        <v>3200</v>
      </c>
      <c r="B80" s="62" t="s">
        <v>75</v>
      </c>
      <c r="C80" s="7">
        <f>830*C24</f>
        <v>0</v>
      </c>
      <c r="D80" s="7">
        <f>837.64*D24</f>
        <v>54446.6</v>
      </c>
      <c r="E80" s="7"/>
      <c r="F80" s="7"/>
      <c r="G80" s="7">
        <f t="shared" si="15"/>
        <v>54446.6</v>
      </c>
    </row>
    <row r="81" spans="1:10" x14ac:dyDescent="0.25">
      <c r="A81" s="59"/>
      <c r="B81" s="62" t="s">
        <v>76</v>
      </c>
      <c r="C81" s="7">
        <f>240*C26</f>
        <v>0</v>
      </c>
      <c r="D81" s="7">
        <f>240.87*D26</f>
        <v>52750.53</v>
      </c>
      <c r="E81" s="7"/>
      <c r="F81" s="7"/>
      <c r="G81" s="7">
        <f t="shared" si="15"/>
        <v>52750.53</v>
      </c>
    </row>
    <row r="82" spans="1:10" x14ac:dyDescent="0.25">
      <c r="A82" s="64"/>
      <c r="B82" s="62" t="s">
        <v>77</v>
      </c>
      <c r="C82" s="7"/>
      <c r="D82" s="7"/>
      <c r="E82" s="7"/>
      <c r="F82" s="7"/>
      <c r="G82" s="7">
        <f t="shared" si="15"/>
        <v>0</v>
      </c>
    </row>
    <row r="83" spans="1:10" x14ac:dyDescent="0.25">
      <c r="A83" s="59">
        <v>1510</v>
      </c>
      <c r="B83" s="154" t="s">
        <v>78</v>
      </c>
      <c r="C83" s="7">
        <v>0</v>
      </c>
      <c r="D83" s="7"/>
      <c r="E83" s="7"/>
      <c r="F83" s="7"/>
      <c r="G83" s="7">
        <f t="shared" si="15"/>
        <v>0</v>
      </c>
    </row>
    <row r="84" spans="1:10" x14ac:dyDescent="0.25">
      <c r="A84" s="59"/>
      <c r="B84" s="62" t="s">
        <v>77</v>
      </c>
      <c r="C84" s="7"/>
      <c r="D84" s="7"/>
      <c r="E84" s="7"/>
      <c r="F84" s="7"/>
      <c r="G84" s="7">
        <f t="shared" si="15"/>
        <v>0</v>
      </c>
    </row>
    <row r="85" spans="1:10" ht="15.75" thickBot="1" x14ac:dyDescent="0.3">
      <c r="A85" s="63"/>
      <c r="B85" s="65" t="s">
        <v>79</v>
      </c>
      <c r="C85" s="37">
        <f>C155</f>
        <v>23638.399999999998</v>
      </c>
      <c r="D85" s="37">
        <f t="shared" ref="D85:F85" si="20">D155</f>
        <v>720</v>
      </c>
      <c r="E85" s="37">
        <f t="shared" si="20"/>
        <v>4399.2</v>
      </c>
      <c r="F85" s="37">
        <f t="shared" si="20"/>
        <v>480</v>
      </c>
      <c r="G85" s="7">
        <f t="shared" si="15"/>
        <v>29237.599999999999</v>
      </c>
    </row>
    <row r="86" spans="1:10" ht="15.75" thickBot="1" x14ac:dyDescent="0.3">
      <c r="A86" s="66"/>
      <c r="B86" s="67" t="s">
        <v>80</v>
      </c>
      <c r="C86" s="68">
        <f>SUM(C74:C85)</f>
        <v>12268112.9702</v>
      </c>
      <c r="D86" s="68">
        <f>SUM(D74:D85)</f>
        <v>140609.53</v>
      </c>
      <c r="E86" s="68">
        <f>SUM(E74:E85)</f>
        <v>497164.2</v>
      </c>
      <c r="F86" s="68">
        <f t="shared" ref="F86:G86" si="21">SUM(F74:F85)</f>
        <v>227798.39999999997</v>
      </c>
      <c r="G86" s="68">
        <f t="shared" si="21"/>
        <v>13133685.100199999</v>
      </c>
      <c r="J86" t="s">
        <v>223</v>
      </c>
    </row>
    <row r="87" spans="1:10" hidden="1" x14ac:dyDescent="0.25">
      <c r="A87" s="59">
        <f>A74</f>
        <v>3110</v>
      </c>
      <c r="B87" s="60" t="s">
        <v>69</v>
      </c>
      <c r="C87" s="61">
        <f>C2*C5</f>
        <v>12623169.66</v>
      </c>
      <c r="D87" s="61">
        <f>D2*D5</f>
        <v>0</v>
      </c>
      <c r="E87" s="61">
        <f>E2*E5</f>
        <v>0</v>
      </c>
      <c r="F87" s="61">
        <f t="shared" ref="F87:G87" si="22">F2*F5</f>
        <v>0</v>
      </c>
      <c r="G87" s="61">
        <f t="shared" si="22"/>
        <v>12623169.66</v>
      </c>
    </row>
    <row r="88" spans="1:10" hidden="1" x14ac:dyDescent="0.25">
      <c r="A88" s="59"/>
      <c r="B88" s="62" t="s">
        <v>201</v>
      </c>
      <c r="C88" s="61">
        <f>C3*C5</f>
        <v>0</v>
      </c>
      <c r="D88" s="61">
        <f>D3*D5</f>
        <v>0</v>
      </c>
      <c r="E88" s="61">
        <f>E3*E5</f>
        <v>0</v>
      </c>
      <c r="F88" s="61">
        <f t="shared" ref="F88:G88" si="23">F3*F5</f>
        <v>0</v>
      </c>
      <c r="G88" s="61">
        <f t="shared" si="23"/>
        <v>0</v>
      </c>
    </row>
    <row r="89" spans="1:10" hidden="1" x14ac:dyDescent="0.25">
      <c r="A89" s="59">
        <f t="shared" ref="A89:A91" si="24">A76</f>
        <v>4500</v>
      </c>
      <c r="B89" s="62" t="s">
        <v>71</v>
      </c>
      <c r="C89" s="61">
        <f t="shared" ref="C89:G98" si="25">C76</f>
        <v>0</v>
      </c>
      <c r="D89" s="61">
        <f t="shared" si="25"/>
        <v>0</v>
      </c>
      <c r="E89" s="61">
        <f t="shared" si="25"/>
        <v>0</v>
      </c>
      <c r="F89" s="61">
        <f t="shared" si="25"/>
        <v>227318.39999999997</v>
      </c>
      <c r="G89" s="61">
        <f t="shared" si="25"/>
        <v>227318.39999999997</v>
      </c>
    </row>
    <row r="90" spans="1:10" hidden="1" x14ac:dyDescent="0.25">
      <c r="A90" s="59">
        <f t="shared" si="24"/>
        <v>4500</v>
      </c>
      <c r="B90" s="62" t="s">
        <v>72</v>
      </c>
      <c r="C90" s="61">
        <f t="shared" si="25"/>
        <v>0</v>
      </c>
      <c r="D90" s="61">
        <f t="shared" si="25"/>
        <v>0</v>
      </c>
      <c r="E90" s="61">
        <f t="shared" si="25"/>
        <v>126350</v>
      </c>
      <c r="F90" s="61">
        <f t="shared" si="25"/>
        <v>0</v>
      </c>
      <c r="G90" s="61">
        <f t="shared" si="25"/>
        <v>126350</v>
      </c>
    </row>
    <row r="91" spans="1:10" hidden="1" x14ac:dyDescent="0.25">
      <c r="A91" s="59">
        <f t="shared" si="24"/>
        <v>3115</v>
      </c>
      <c r="B91" s="141" t="s">
        <v>73</v>
      </c>
      <c r="C91" s="61">
        <f t="shared" si="25"/>
        <v>0</v>
      </c>
      <c r="D91" s="61">
        <f t="shared" si="25"/>
        <v>0</v>
      </c>
      <c r="E91" s="61">
        <f t="shared" si="25"/>
        <v>366415</v>
      </c>
      <c r="F91" s="61">
        <f t="shared" si="25"/>
        <v>0</v>
      </c>
      <c r="G91" s="61">
        <f t="shared" si="25"/>
        <v>366415</v>
      </c>
    </row>
    <row r="92" spans="1:10" hidden="1" x14ac:dyDescent="0.25">
      <c r="A92" s="59"/>
      <c r="B92" s="62" t="s">
        <v>74</v>
      </c>
      <c r="C92" s="61">
        <f t="shared" si="25"/>
        <v>0</v>
      </c>
      <c r="D92" s="61">
        <f t="shared" si="25"/>
        <v>32692.399999999998</v>
      </c>
      <c r="E92" s="61">
        <f t="shared" si="25"/>
        <v>0</v>
      </c>
      <c r="F92" s="61">
        <f t="shared" si="25"/>
        <v>0</v>
      </c>
      <c r="G92" s="61">
        <f t="shared" si="25"/>
        <v>32692.399999999998</v>
      </c>
    </row>
    <row r="93" spans="1:10" hidden="1" x14ac:dyDescent="0.25">
      <c r="A93" s="59">
        <f t="shared" ref="A93" si="26">A80</f>
        <v>3200</v>
      </c>
      <c r="B93" s="62" t="s">
        <v>75</v>
      </c>
      <c r="C93" s="61">
        <f t="shared" si="25"/>
        <v>0</v>
      </c>
      <c r="D93" s="61">
        <f t="shared" si="25"/>
        <v>54446.6</v>
      </c>
      <c r="E93" s="61">
        <f t="shared" si="25"/>
        <v>0</v>
      </c>
      <c r="F93" s="61">
        <f t="shared" si="25"/>
        <v>0</v>
      </c>
      <c r="G93" s="61">
        <f t="shared" si="25"/>
        <v>54446.6</v>
      </c>
    </row>
    <row r="94" spans="1:10" hidden="1" x14ac:dyDescent="0.25">
      <c r="A94" s="59"/>
      <c r="B94" s="62" t="s">
        <v>76</v>
      </c>
      <c r="C94" s="61">
        <f t="shared" si="25"/>
        <v>0</v>
      </c>
      <c r="D94" s="61">
        <f t="shared" si="25"/>
        <v>52750.53</v>
      </c>
      <c r="E94" s="61">
        <f t="shared" si="25"/>
        <v>0</v>
      </c>
      <c r="F94" s="61">
        <f t="shared" si="25"/>
        <v>0</v>
      </c>
      <c r="G94" s="61">
        <f t="shared" si="25"/>
        <v>52750.53</v>
      </c>
    </row>
    <row r="95" spans="1:10" hidden="1" x14ac:dyDescent="0.25">
      <c r="A95" s="64"/>
      <c r="B95" s="62" t="s">
        <v>202</v>
      </c>
      <c r="C95" s="61">
        <f t="shared" si="25"/>
        <v>0</v>
      </c>
      <c r="D95" s="61">
        <f t="shared" si="25"/>
        <v>0</v>
      </c>
      <c r="E95" s="61">
        <f t="shared" si="25"/>
        <v>0</v>
      </c>
      <c r="F95" s="61">
        <f t="shared" si="25"/>
        <v>0</v>
      </c>
      <c r="G95" s="61">
        <f t="shared" si="25"/>
        <v>0</v>
      </c>
    </row>
    <row r="96" spans="1:10" hidden="1" x14ac:dyDescent="0.25">
      <c r="A96" s="59">
        <f t="shared" ref="A96" si="27">A83</f>
        <v>1510</v>
      </c>
      <c r="B96" s="62" t="s">
        <v>203</v>
      </c>
      <c r="C96" s="61">
        <f t="shared" si="25"/>
        <v>0</v>
      </c>
      <c r="D96" s="61">
        <f t="shared" si="25"/>
        <v>0</v>
      </c>
      <c r="E96" s="61">
        <f t="shared" si="25"/>
        <v>0</v>
      </c>
      <c r="F96" s="61">
        <f t="shared" si="25"/>
        <v>0</v>
      </c>
      <c r="G96" s="61">
        <f t="shared" si="25"/>
        <v>0</v>
      </c>
    </row>
    <row r="97" spans="1:13" hidden="1" x14ac:dyDescent="0.25">
      <c r="A97" s="59"/>
      <c r="B97" s="62" t="s">
        <v>77</v>
      </c>
      <c r="C97" s="61">
        <f t="shared" si="25"/>
        <v>0</v>
      </c>
      <c r="D97" s="61">
        <f t="shared" si="25"/>
        <v>0</v>
      </c>
      <c r="E97" s="61">
        <f t="shared" si="25"/>
        <v>0</v>
      </c>
      <c r="F97" s="61">
        <f t="shared" si="25"/>
        <v>0</v>
      </c>
      <c r="G97" s="61">
        <f t="shared" si="25"/>
        <v>0</v>
      </c>
    </row>
    <row r="98" spans="1:13" ht="15.75" hidden="1" thickBot="1" x14ac:dyDescent="0.3">
      <c r="A98" s="59"/>
      <c r="B98" s="65" t="s">
        <v>204</v>
      </c>
      <c r="C98" s="61">
        <f t="shared" si="25"/>
        <v>23638.399999999998</v>
      </c>
      <c r="D98" s="61">
        <f t="shared" si="25"/>
        <v>720</v>
      </c>
      <c r="E98" s="61">
        <f t="shared" si="25"/>
        <v>4399.2</v>
      </c>
      <c r="F98" s="61">
        <f t="shared" si="25"/>
        <v>480</v>
      </c>
      <c r="G98" s="61">
        <f t="shared" si="25"/>
        <v>29237.599999999999</v>
      </c>
    </row>
    <row r="99" spans="1:13" ht="15.75" hidden="1" thickBot="1" x14ac:dyDescent="0.3">
      <c r="A99" s="66"/>
      <c r="B99" s="67" t="s">
        <v>81</v>
      </c>
      <c r="C99" s="68">
        <f>SUM(C87:C98)</f>
        <v>12646808.060000001</v>
      </c>
      <c r="D99" s="68">
        <f>SUM(D87:D98)</f>
        <v>140609.53</v>
      </c>
      <c r="E99" s="68"/>
      <c r="F99" s="68">
        <f t="shared" ref="F99:G99" si="28">SUM(F87:F98)</f>
        <v>227798.39999999997</v>
      </c>
      <c r="G99" s="68">
        <f t="shared" si="28"/>
        <v>13512380.189999999</v>
      </c>
    </row>
    <row r="100" spans="1:13" x14ac:dyDescent="0.25">
      <c r="A100" s="50"/>
      <c r="B100" s="70"/>
      <c r="C100" s="55"/>
      <c r="D100" s="55"/>
      <c r="E100" s="55"/>
      <c r="F100" s="55"/>
      <c r="G100" s="55"/>
    </row>
    <row r="101" spans="1:13" ht="15.75" thickBot="1" x14ac:dyDescent="0.3">
      <c r="A101" s="72"/>
      <c r="B101" s="73" t="s">
        <v>82</v>
      </c>
      <c r="C101" s="74" t="str">
        <f>C1</f>
        <v>Operating</v>
      </c>
      <c r="D101" s="74" t="str">
        <f>D1</f>
        <v>Weights</v>
      </c>
      <c r="E101" s="74" t="str">
        <f>E1</f>
        <v>SPED</v>
      </c>
      <c r="F101" s="74" t="str">
        <f t="shared" ref="F101:G101" si="29">F1</f>
        <v>NSLP</v>
      </c>
      <c r="G101" s="74" t="str">
        <f t="shared" si="29"/>
        <v>Sloan</v>
      </c>
    </row>
    <row r="102" spans="1:13" x14ac:dyDescent="0.25">
      <c r="A102" s="78"/>
      <c r="B102" s="76" t="s">
        <v>83</v>
      </c>
      <c r="C102" s="77"/>
      <c r="D102" s="77"/>
      <c r="E102" s="77"/>
      <c r="F102" s="77"/>
      <c r="G102" s="77"/>
    </row>
    <row r="103" spans="1:13" x14ac:dyDescent="0.25">
      <c r="A103" s="59">
        <v>104</v>
      </c>
      <c r="B103" s="62" t="s">
        <v>41</v>
      </c>
      <c r="C103" s="15">
        <f>131500*1.02</f>
        <v>134130</v>
      </c>
      <c r="D103" s="7"/>
      <c r="E103" s="7"/>
      <c r="F103" s="7"/>
      <c r="G103" s="7">
        <f t="shared" ref="G103:G115" si="30">SUM(C103:F103)</f>
        <v>134130</v>
      </c>
    </row>
    <row r="104" spans="1:13" x14ac:dyDescent="0.25">
      <c r="A104" s="59">
        <v>104</v>
      </c>
      <c r="B104" s="62" t="s">
        <v>84</v>
      </c>
      <c r="C104" s="15">
        <f>(76000+73000+70000)*1.015*1.02</f>
        <v>226730.69999999998</v>
      </c>
      <c r="D104" s="7"/>
      <c r="E104" s="7"/>
      <c r="F104" s="7"/>
      <c r="G104" s="7">
        <f t="shared" si="30"/>
        <v>226730.69999999998</v>
      </c>
      <c r="J104" t="s">
        <v>224</v>
      </c>
      <c r="K104" t="s">
        <v>225</v>
      </c>
    </row>
    <row r="105" spans="1:13" x14ac:dyDescent="0.25">
      <c r="A105" s="59">
        <v>105</v>
      </c>
      <c r="B105" s="62" t="s">
        <v>45</v>
      </c>
      <c r="C105" s="179">
        <f>((58770*C46)*1.02)*0.5</f>
        <v>59945.4</v>
      </c>
      <c r="D105" s="179"/>
      <c r="E105" s="7"/>
      <c r="F105" s="7"/>
      <c r="G105" s="7">
        <f t="shared" si="30"/>
        <v>59945.4</v>
      </c>
      <c r="H105">
        <f>58770*1.02</f>
        <v>59945.4</v>
      </c>
      <c r="J105">
        <v>1480</v>
      </c>
    </row>
    <row r="106" spans="1:13" x14ac:dyDescent="0.25">
      <c r="A106" s="59">
        <v>105</v>
      </c>
      <c r="B106" s="62" t="s">
        <v>210</v>
      </c>
      <c r="C106" s="179">
        <v>0</v>
      </c>
      <c r="D106" s="179"/>
      <c r="E106" s="7"/>
      <c r="F106" s="7"/>
      <c r="G106" s="7">
        <f t="shared" si="30"/>
        <v>0</v>
      </c>
      <c r="H106">
        <v>56100</v>
      </c>
      <c r="J106">
        <v>550</v>
      </c>
      <c r="K106">
        <v>200</v>
      </c>
    </row>
    <row r="107" spans="1:13" x14ac:dyDescent="0.25">
      <c r="A107" s="59" t="s">
        <v>86</v>
      </c>
      <c r="B107" s="62" t="s">
        <v>87</v>
      </c>
      <c r="C107" s="7">
        <f>(58770*C45)*1.02</f>
        <v>119890.8</v>
      </c>
      <c r="D107" s="7"/>
      <c r="E107" s="7"/>
      <c r="F107" s="7"/>
      <c r="G107" s="7">
        <f t="shared" si="30"/>
        <v>119890.8</v>
      </c>
      <c r="J107" s="172">
        <f>J105*J106</f>
        <v>814000</v>
      </c>
      <c r="K107" s="172">
        <f>J105*K106</f>
        <v>296000</v>
      </c>
    </row>
    <row r="108" spans="1:13" x14ac:dyDescent="0.25">
      <c r="A108" s="59" t="s">
        <v>88</v>
      </c>
      <c r="B108" s="62" t="s">
        <v>89</v>
      </c>
      <c r="C108" s="7">
        <f>46725*C39+(19*500)</f>
        <v>3311088.5</v>
      </c>
      <c r="D108" s="7"/>
      <c r="E108" s="7"/>
      <c r="F108" s="7"/>
      <c r="G108" s="7">
        <f t="shared" si="30"/>
        <v>3311088.5</v>
      </c>
      <c r="M108">
        <f>1000/45725</f>
        <v>2.1869874248223072E-2</v>
      </c>
    </row>
    <row r="109" spans="1:13" hidden="1" x14ac:dyDescent="0.25">
      <c r="A109" s="4">
        <v>101</v>
      </c>
      <c r="B109" s="62" t="s">
        <v>90</v>
      </c>
      <c r="C109" s="14">
        <v>0</v>
      </c>
      <c r="D109" s="14"/>
      <c r="E109" s="14"/>
      <c r="F109" s="14"/>
      <c r="G109" s="7">
        <f t="shared" si="30"/>
        <v>0</v>
      </c>
    </row>
    <row r="110" spans="1:13" x14ac:dyDescent="0.25">
      <c r="A110" s="59">
        <v>101</v>
      </c>
      <c r="B110" s="62" t="s">
        <v>30</v>
      </c>
      <c r="C110" s="7">
        <v>0</v>
      </c>
      <c r="D110" s="7"/>
      <c r="E110" s="7">
        <f>46725*E30+3500</f>
        <v>377300</v>
      </c>
      <c r="F110" s="7"/>
      <c r="G110" s="7">
        <f t="shared" si="30"/>
        <v>377300</v>
      </c>
      <c r="J110" s="155">
        <f>G105*1.47</f>
        <v>88119.737999999998</v>
      </c>
    </row>
    <row r="111" spans="1:13" x14ac:dyDescent="0.25">
      <c r="A111" s="59">
        <v>107</v>
      </c>
      <c r="B111" s="62" t="s">
        <v>91</v>
      </c>
      <c r="C111" s="7">
        <f>((48000+45000+40000)*1.02)+(13.75*8*190)</f>
        <v>156560</v>
      </c>
      <c r="D111" s="7"/>
      <c r="E111" s="7"/>
      <c r="F111" s="7"/>
      <c r="G111" s="7">
        <f t="shared" si="30"/>
        <v>156560</v>
      </c>
      <c r="J111" s="155">
        <f>J107-J110</f>
        <v>725880.26199999999</v>
      </c>
    </row>
    <row r="112" spans="1:13" x14ac:dyDescent="0.25">
      <c r="A112" s="59">
        <v>107</v>
      </c>
      <c r="B112" s="62" t="s">
        <v>92</v>
      </c>
      <c r="C112" s="7">
        <f>(13.75*8*200)*(C49+C50)</f>
        <v>88000</v>
      </c>
      <c r="D112" s="7"/>
      <c r="E112" s="7"/>
      <c r="F112" s="7"/>
      <c r="G112" s="7">
        <f t="shared" si="30"/>
        <v>88000</v>
      </c>
    </row>
    <row r="113" spans="1:8" x14ac:dyDescent="0.25">
      <c r="A113" s="59">
        <v>102</v>
      </c>
      <c r="B113" s="62" t="s">
        <v>93</v>
      </c>
      <c r="C113" s="7">
        <f>(13.25*8*180)*C51</f>
        <v>0</v>
      </c>
      <c r="D113" s="7">
        <f>(13.75*8*180)*D51</f>
        <v>39600</v>
      </c>
      <c r="E113" s="7">
        <f>(13.75*8*180)*E51</f>
        <v>158400</v>
      </c>
      <c r="F113" s="7">
        <f>(14.5*8*180)*F51</f>
        <v>0</v>
      </c>
      <c r="G113" s="7">
        <f t="shared" si="30"/>
        <v>198000</v>
      </c>
    </row>
    <row r="114" spans="1:8" x14ac:dyDescent="0.25">
      <c r="A114" s="59">
        <v>107</v>
      </c>
      <c r="B114" s="62" t="s">
        <v>94</v>
      </c>
      <c r="C114" s="7">
        <f>(13.75*8*240)*C52+6000</f>
        <v>111600</v>
      </c>
      <c r="D114" s="7"/>
      <c r="E114" s="7"/>
      <c r="F114" s="7"/>
      <c r="G114" s="7">
        <f t="shared" si="30"/>
        <v>111600</v>
      </c>
    </row>
    <row r="115" spans="1:8" x14ac:dyDescent="0.25">
      <c r="A115" s="59">
        <v>107</v>
      </c>
      <c r="B115" s="62" t="s">
        <v>53</v>
      </c>
      <c r="C115" s="7">
        <f>(13*8*180)*C54</f>
        <v>0</v>
      </c>
      <c r="D115" s="7">
        <f>(12.75*8*180)*D54</f>
        <v>0</v>
      </c>
      <c r="E115" s="7"/>
      <c r="F115" s="7"/>
      <c r="G115" s="7">
        <f t="shared" si="30"/>
        <v>0</v>
      </c>
    </row>
    <row r="116" spans="1:8" ht="15.75" thickBot="1" x14ac:dyDescent="0.3">
      <c r="A116" s="72"/>
      <c r="B116" s="82" t="s">
        <v>95</v>
      </c>
      <c r="C116" s="83">
        <f>SUM(C103:C115)</f>
        <v>4207945.4000000004</v>
      </c>
      <c r="D116" s="83">
        <f>SUM(D103:D115)</f>
        <v>39600</v>
      </c>
      <c r="E116" s="83">
        <f t="shared" ref="E116:G116" si="31">SUM(E103:E115)</f>
        <v>535700</v>
      </c>
      <c r="F116" s="83">
        <f t="shared" si="31"/>
        <v>0</v>
      </c>
      <c r="G116" s="83">
        <f t="shared" si="31"/>
        <v>4783245.4000000004</v>
      </c>
    </row>
    <row r="117" spans="1:8" x14ac:dyDescent="0.25">
      <c r="A117" s="75"/>
      <c r="B117" s="84" t="s">
        <v>96</v>
      </c>
      <c r="C117" s="150" t="str">
        <f>C1</f>
        <v>Operating</v>
      </c>
      <c r="D117" s="150" t="str">
        <f>D1</f>
        <v>Weights</v>
      </c>
      <c r="E117" s="150" t="str">
        <f>E1</f>
        <v>SPED</v>
      </c>
      <c r="F117" s="150" t="str">
        <f t="shared" ref="F117:G117" si="32">F1</f>
        <v>NSLP</v>
      </c>
      <c r="G117" s="150" t="str">
        <f t="shared" si="32"/>
        <v>Sloan</v>
      </c>
    </row>
    <row r="118" spans="1:8" x14ac:dyDescent="0.25">
      <c r="A118" s="5"/>
      <c r="B118" s="62"/>
      <c r="C118" s="7"/>
      <c r="D118" s="7"/>
      <c r="E118" s="7"/>
      <c r="F118" s="7"/>
      <c r="G118" s="7">
        <f t="shared" ref="G118:G127" si="33">SUM(C118:F118)</f>
        <v>0</v>
      </c>
    </row>
    <row r="119" spans="1:8" x14ac:dyDescent="0.25">
      <c r="A119" s="85"/>
      <c r="B119" s="62" t="s">
        <v>54</v>
      </c>
      <c r="C119" s="7"/>
      <c r="D119" s="7"/>
      <c r="E119" s="7">
        <f>(62000*0.5)*1.02</f>
        <v>31620</v>
      </c>
      <c r="F119" s="7"/>
      <c r="G119" s="7">
        <f t="shared" si="33"/>
        <v>31620</v>
      </c>
      <c r="H119" t="s">
        <v>226</v>
      </c>
    </row>
    <row r="120" spans="1:8" x14ac:dyDescent="0.25">
      <c r="A120" s="59"/>
      <c r="B120" s="62" t="s">
        <v>55</v>
      </c>
      <c r="C120" s="7"/>
      <c r="D120" s="7"/>
      <c r="E120" s="15">
        <f>46000*1.02</f>
        <v>46920</v>
      </c>
      <c r="F120" s="7"/>
      <c r="G120" s="7">
        <f t="shared" si="33"/>
        <v>46920</v>
      </c>
      <c r="H120" t="s">
        <v>227</v>
      </c>
    </row>
    <row r="121" spans="1:8" x14ac:dyDescent="0.25">
      <c r="A121" s="59"/>
      <c r="B121" s="62" t="s">
        <v>56</v>
      </c>
      <c r="C121" s="7"/>
      <c r="D121" s="7"/>
      <c r="E121" s="7">
        <f>(43000*0.67)*1.02</f>
        <v>29386.2</v>
      </c>
      <c r="F121" s="7"/>
      <c r="G121" s="7">
        <f t="shared" si="33"/>
        <v>29386.2</v>
      </c>
      <c r="H121" t="s">
        <v>228</v>
      </c>
    </row>
    <row r="122" spans="1:8" x14ac:dyDescent="0.25">
      <c r="A122" s="59"/>
      <c r="B122" s="62" t="s">
        <v>97</v>
      </c>
      <c r="C122" s="7"/>
      <c r="D122" s="7"/>
      <c r="E122" s="7">
        <f>16600*1.02</f>
        <v>16932</v>
      </c>
      <c r="F122" s="7"/>
      <c r="G122" s="7">
        <f t="shared" si="33"/>
        <v>16932</v>
      </c>
    </row>
    <row r="123" spans="1:8" x14ac:dyDescent="0.25">
      <c r="A123" s="59"/>
      <c r="B123" s="62" t="s">
        <v>58</v>
      </c>
      <c r="C123" s="7"/>
      <c r="D123" s="7"/>
      <c r="E123" s="15">
        <f>65000*1.02</f>
        <v>66300</v>
      </c>
      <c r="F123" s="7"/>
      <c r="G123" s="7">
        <f t="shared" si="33"/>
        <v>66300</v>
      </c>
    </row>
    <row r="124" spans="1:8" x14ac:dyDescent="0.25">
      <c r="A124" s="59"/>
      <c r="B124" s="62" t="s">
        <v>98</v>
      </c>
      <c r="C124" s="7">
        <v>0</v>
      </c>
      <c r="D124" s="7">
        <f>45000*1.02</f>
        <v>45900</v>
      </c>
      <c r="E124" s="7"/>
      <c r="F124" s="7"/>
      <c r="G124" s="7">
        <f t="shared" si="33"/>
        <v>45900</v>
      </c>
    </row>
    <row r="125" spans="1:8" x14ac:dyDescent="0.25">
      <c r="A125" s="59"/>
      <c r="B125" s="62" t="s">
        <v>99</v>
      </c>
      <c r="C125" s="7">
        <v>0</v>
      </c>
      <c r="D125" s="7">
        <v>0</v>
      </c>
      <c r="E125" s="7"/>
      <c r="F125" s="7">
        <v>0</v>
      </c>
      <c r="G125" s="7">
        <f t="shared" si="33"/>
        <v>0</v>
      </c>
    </row>
    <row r="126" spans="1:8" x14ac:dyDescent="0.25">
      <c r="A126" s="59">
        <v>107</v>
      </c>
      <c r="B126" s="62" t="s">
        <v>100</v>
      </c>
      <c r="C126" s="146"/>
      <c r="D126" s="7">
        <f t="shared" ref="D126" si="34">(12.5*6*185)*D53</f>
        <v>0</v>
      </c>
      <c r="E126" s="146"/>
      <c r="F126" s="7">
        <f>(13.75*8*180)*F53</f>
        <v>39600</v>
      </c>
      <c r="G126" s="7">
        <f t="shared" si="33"/>
        <v>39600</v>
      </c>
    </row>
    <row r="127" spans="1:8" x14ac:dyDescent="0.25">
      <c r="A127" s="59"/>
      <c r="B127" s="62" t="s">
        <v>101</v>
      </c>
      <c r="C127" s="37">
        <f>125*180</f>
        <v>22500</v>
      </c>
      <c r="D127" s="37"/>
      <c r="E127" s="37"/>
      <c r="F127" s="37"/>
      <c r="G127" s="7">
        <f t="shared" si="33"/>
        <v>22500</v>
      </c>
    </row>
    <row r="128" spans="1:8" ht="15.75" thickBot="1" x14ac:dyDescent="0.3">
      <c r="A128" s="72"/>
      <c r="B128" s="82" t="s">
        <v>102</v>
      </c>
      <c r="C128" s="87">
        <f>SUM(C118:C127)</f>
        <v>22500</v>
      </c>
      <c r="D128" s="87">
        <f>SUM(D118:D127)</f>
        <v>45900</v>
      </c>
      <c r="E128" s="87">
        <f>SUM(E118:E127)</f>
        <v>191158.2</v>
      </c>
      <c r="F128" s="87">
        <f t="shared" ref="F128:G128" si="35">SUM(F118:F127)</f>
        <v>39600</v>
      </c>
      <c r="G128" s="87">
        <f t="shared" si="35"/>
        <v>299158.2</v>
      </c>
    </row>
    <row r="129" spans="1:10" ht="15.75" thickBot="1" x14ac:dyDescent="0.3">
      <c r="A129" s="88"/>
      <c r="B129" s="89" t="s">
        <v>103</v>
      </c>
      <c r="C129" s="90">
        <f>C116+C128</f>
        <v>4230445.4000000004</v>
      </c>
      <c r="D129" s="90">
        <f>D116+D128</f>
        <v>85500</v>
      </c>
      <c r="E129" s="90">
        <f>E116+E128</f>
        <v>726858.2</v>
      </c>
      <c r="F129" s="90">
        <f t="shared" ref="F129:G129" si="36">F116+F128</f>
        <v>39600</v>
      </c>
      <c r="G129" s="90">
        <f t="shared" si="36"/>
        <v>5082403.6000000006</v>
      </c>
      <c r="I129" s="175">
        <v>0.02</v>
      </c>
      <c r="J129" s="155">
        <f>G129*I129</f>
        <v>101648.07200000001</v>
      </c>
    </row>
    <row r="130" spans="1:10" x14ac:dyDescent="0.25">
      <c r="A130" s="93">
        <v>230</v>
      </c>
      <c r="B130" s="62" t="s">
        <v>104</v>
      </c>
      <c r="C130" s="61">
        <f>C129*0.2975</f>
        <v>1258557.5065000001</v>
      </c>
      <c r="D130" s="61">
        <f t="shared" ref="D130:F130" si="37">D129*0.2975</f>
        <v>25436.25</v>
      </c>
      <c r="E130" s="61">
        <f t="shared" si="37"/>
        <v>216240.31449999998</v>
      </c>
      <c r="F130" s="61">
        <f t="shared" si="37"/>
        <v>11781</v>
      </c>
      <c r="G130" s="61">
        <f>SUM(C130:F130)</f>
        <v>1512015.071</v>
      </c>
    </row>
    <row r="131" spans="1:10" x14ac:dyDescent="0.25">
      <c r="A131" s="64"/>
      <c r="B131" s="62" t="s">
        <v>105</v>
      </c>
      <c r="C131" s="14">
        <f>((C129-C103)*0.18)+(C103*0.04)</f>
        <v>742701.97199999995</v>
      </c>
      <c r="D131" s="14">
        <f>D129*0.17</f>
        <v>14535.000000000002</v>
      </c>
      <c r="E131" s="14">
        <f>E129*0.175</f>
        <v>127200.18499999998</v>
      </c>
      <c r="F131" s="14">
        <f>F129*0.14</f>
        <v>5544.0000000000009</v>
      </c>
      <c r="G131" s="61">
        <f t="shared" ref="G131:G135" si="38">SUM(C131:F131)</f>
        <v>889981.15699999989</v>
      </c>
      <c r="I131" s="176">
        <f>I129</f>
        <v>0.02</v>
      </c>
      <c r="J131" s="155">
        <f>G131*I131</f>
        <v>17799.62314</v>
      </c>
    </row>
    <row r="132" spans="1:10" x14ac:dyDescent="0.25">
      <c r="A132" s="59">
        <v>150</v>
      </c>
      <c r="B132" s="62" t="s">
        <v>106</v>
      </c>
      <c r="C132" s="11">
        <f>(125*C66)+(125*8)+((C42*2000)+(C43*1500)+(C44*1200)+(C45*1200)+(C46*1200)+(C47*1000)+(C48*1000)+(C49*300)+(C50*300)+(C51*300)+(C52*300)+(C53*300)+(C55*1000)+(C56*1000)+(C57*1000)+(C58*1000)+(C59*1000)+(C60*1000)+(C39*1000)+(1000*C54))*0.9</f>
        <v>91344</v>
      </c>
      <c r="D132" s="11">
        <f>(125*D66)+((D42*2000)+(D43*1500)+(D44*1200)+(D45*1200)+(D46*1200)+(D47*1000)+(D48*1000)+(D49*300)+(D50*300)+(D51*300)+(D52*300)+(D53*300)+(D55*1000)+(D56*1000)+(D57*1000)+(D58*1000)+(D59*1000)+(D60*1000)+(D39*1000)+(1000*D54))*0.9</f>
        <v>1815</v>
      </c>
      <c r="E132" s="11">
        <f>(125*E66)+((E42*2000)+(E43*1500)+(E44*1200)+(E45*1200)+(E46*1200)+(E47*1000)+(E48*1000)+(E49*300)+(E50*300)+(E51*300)+(E52*300)+(E53*300)+(E55*1000)+(E56*1000)+(E57*1000)+(E58*1000)+(E59*1000)+(E60*1000)+(E39*1000)+(1000*E54))*0.9</f>
        <v>13748.25</v>
      </c>
      <c r="F132" s="11">
        <f>(125*F66)+((F42*2000)+(F43*1500)+(F44*1200)+(F45*1200)+(F46*1200)+(F47*1000)+(F48*1000)+(F49*300)+(F50*300)+(F51*300)+(F52*300)+(F53*300)+(F55*1000)+(F56*1000)+(F57*1000)+(F58*1000)+(F59*1000)+(F60*1000)+(F39*1000)+(1000*F54))</f>
        <v>850</v>
      </c>
      <c r="G132" s="61">
        <f t="shared" si="38"/>
        <v>107757.25</v>
      </c>
    </row>
    <row r="133" spans="1:10" x14ac:dyDescent="0.25">
      <c r="A133" s="59">
        <v>150</v>
      </c>
      <c r="B133" s="62" t="s">
        <v>107</v>
      </c>
      <c r="C133" s="14">
        <v>10000</v>
      </c>
      <c r="D133" s="14"/>
      <c r="E133" s="14"/>
      <c r="F133" s="14"/>
      <c r="G133" s="61">
        <f t="shared" si="38"/>
        <v>10000</v>
      </c>
    </row>
    <row r="134" spans="1:10" x14ac:dyDescent="0.25">
      <c r="A134" s="59">
        <v>250</v>
      </c>
      <c r="B134" s="62" t="s">
        <v>108</v>
      </c>
      <c r="C134" s="7">
        <v>7500</v>
      </c>
      <c r="D134" s="7"/>
      <c r="E134" s="7"/>
      <c r="F134" s="7"/>
      <c r="G134" s="61">
        <f t="shared" si="38"/>
        <v>7500</v>
      </c>
    </row>
    <row r="135" spans="1:10" x14ac:dyDescent="0.25">
      <c r="A135" s="64"/>
      <c r="B135" s="62" t="s">
        <v>109</v>
      </c>
      <c r="C135" s="37">
        <f>(165*10*C39)-C127</f>
        <v>94089</v>
      </c>
      <c r="D135" s="37">
        <v>8000</v>
      </c>
      <c r="E135" s="37">
        <f t="shared" ref="E135:F135" si="39">(165*10*E39)-E127</f>
        <v>13200</v>
      </c>
      <c r="F135" s="37">
        <f t="shared" si="39"/>
        <v>0</v>
      </c>
      <c r="G135" s="61">
        <f t="shared" si="38"/>
        <v>115289</v>
      </c>
    </row>
    <row r="136" spans="1:10" ht="15.75" thickBot="1" x14ac:dyDescent="0.3">
      <c r="A136" s="72"/>
      <c r="B136" s="91" t="s">
        <v>110</v>
      </c>
      <c r="C136" s="87">
        <f>SUM(C130:C135)</f>
        <v>2204192.4785000002</v>
      </c>
      <c r="D136" s="87">
        <f>SUM(D130:D135)</f>
        <v>49786.25</v>
      </c>
      <c r="E136" s="87">
        <f>SUM(E130:E135)</f>
        <v>370388.74949999998</v>
      </c>
      <c r="F136" s="87">
        <f t="shared" ref="F136:G136" si="40">SUM(F130:F135)</f>
        <v>18175</v>
      </c>
      <c r="G136" s="87">
        <f t="shared" si="40"/>
        <v>2642542.4780000001</v>
      </c>
    </row>
    <row r="137" spans="1:10" ht="15.75" thickBot="1" x14ac:dyDescent="0.3">
      <c r="A137" s="88"/>
      <c r="B137" s="95" t="s">
        <v>111</v>
      </c>
      <c r="C137" s="90">
        <f>C129+C136</f>
        <v>6434637.8785000006</v>
      </c>
      <c r="D137" s="90">
        <f>D129+D136</f>
        <v>135286.25</v>
      </c>
      <c r="E137" s="90">
        <f>E129+E136</f>
        <v>1097246.9494999999</v>
      </c>
      <c r="F137" s="90">
        <f t="shared" ref="F137:G137" si="41">F129+F136</f>
        <v>57775</v>
      </c>
      <c r="G137" s="90">
        <f t="shared" si="41"/>
        <v>7724946.0780000007</v>
      </c>
    </row>
    <row r="138" spans="1:10" x14ac:dyDescent="0.25">
      <c r="A138" s="75"/>
      <c r="B138" s="97" t="s">
        <v>112</v>
      </c>
      <c r="C138" s="149" t="str">
        <f>C1</f>
        <v>Operating</v>
      </c>
      <c r="D138" s="149" t="str">
        <f>D1</f>
        <v>Weights</v>
      </c>
      <c r="E138" s="149" t="str">
        <f>E1</f>
        <v>SPED</v>
      </c>
      <c r="F138" s="149" t="str">
        <f t="shared" ref="F138:G138" si="42">F1</f>
        <v>NSLP</v>
      </c>
      <c r="G138" s="149" t="str">
        <f t="shared" si="42"/>
        <v>Sloan</v>
      </c>
    </row>
    <row r="139" spans="1:10" x14ac:dyDescent="0.25">
      <c r="A139" s="64"/>
      <c r="B139" s="98" t="s">
        <v>113</v>
      </c>
      <c r="C139" s="15">
        <f>C19*130</f>
        <v>228020</v>
      </c>
      <c r="D139" s="15"/>
      <c r="E139" s="15"/>
      <c r="F139" s="15"/>
      <c r="G139" s="15">
        <f t="shared" ref="G139:G148" si="43">SUM(C139:F139)</f>
        <v>228020</v>
      </c>
    </row>
    <row r="140" spans="1:10" x14ac:dyDescent="0.25">
      <c r="A140" s="59">
        <v>561</v>
      </c>
      <c r="B140" s="99" t="s">
        <v>114</v>
      </c>
      <c r="C140" s="7">
        <v>65000</v>
      </c>
      <c r="D140" s="7"/>
      <c r="E140" s="7"/>
      <c r="F140" s="7"/>
      <c r="G140" s="15">
        <f t="shared" si="43"/>
        <v>65000</v>
      </c>
      <c r="I140" t="s">
        <v>229</v>
      </c>
    </row>
    <row r="141" spans="1:10" x14ac:dyDescent="0.25">
      <c r="A141" s="64"/>
      <c r="B141" s="62" t="s">
        <v>115</v>
      </c>
      <c r="C141" s="11">
        <v>347500</v>
      </c>
      <c r="D141" s="11"/>
      <c r="E141" s="11"/>
      <c r="F141" s="11"/>
      <c r="G141" s="15">
        <f t="shared" si="43"/>
        <v>347500</v>
      </c>
    </row>
    <row r="142" spans="1:10" hidden="1" x14ac:dyDescent="0.25">
      <c r="A142" s="64"/>
      <c r="B142" s="62" t="s">
        <v>116</v>
      </c>
      <c r="C142" s="7">
        <v>0</v>
      </c>
      <c r="D142" s="7">
        <v>0</v>
      </c>
      <c r="E142" s="7"/>
      <c r="F142" s="7"/>
      <c r="G142" s="15">
        <f t="shared" si="43"/>
        <v>0</v>
      </c>
    </row>
    <row r="143" spans="1:10" x14ac:dyDescent="0.25">
      <c r="A143" s="59">
        <v>610</v>
      </c>
      <c r="B143" s="62" t="s">
        <v>117</v>
      </c>
      <c r="C143" s="7">
        <f>13*C19</f>
        <v>22802</v>
      </c>
      <c r="D143" s="7">
        <f t="shared" ref="D143" si="44">13*D19</f>
        <v>0</v>
      </c>
      <c r="E143" s="7"/>
      <c r="F143" s="7">
        <v>0</v>
      </c>
      <c r="G143" s="15">
        <f t="shared" si="43"/>
        <v>22802</v>
      </c>
    </row>
    <row r="144" spans="1:10" x14ac:dyDescent="0.25">
      <c r="A144" s="59">
        <v>610</v>
      </c>
      <c r="B144" s="62" t="s">
        <v>118</v>
      </c>
      <c r="C144" s="7">
        <f>(27*C19)</f>
        <v>47358</v>
      </c>
      <c r="D144" s="7">
        <v>0</v>
      </c>
      <c r="E144" s="7"/>
      <c r="F144" s="7"/>
      <c r="G144" s="15">
        <f t="shared" si="43"/>
        <v>47358</v>
      </c>
    </row>
    <row r="145" spans="1:7" x14ac:dyDescent="0.25">
      <c r="A145" s="59">
        <v>610</v>
      </c>
      <c r="B145" s="62" t="s">
        <v>119</v>
      </c>
      <c r="C145" s="7">
        <f>4*C19</f>
        <v>7016</v>
      </c>
      <c r="D145" s="7">
        <f t="shared" ref="D145" si="45">4*D19</f>
        <v>0</v>
      </c>
      <c r="E145" s="7"/>
      <c r="F145" s="7"/>
      <c r="G145" s="15">
        <f t="shared" si="43"/>
        <v>7016</v>
      </c>
    </row>
    <row r="146" spans="1:7" x14ac:dyDescent="0.25">
      <c r="A146" s="59">
        <v>610</v>
      </c>
      <c r="B146" s="62" t="s">
        <v>120</v>
      </c>
      <c r="C146" s="7">
        <f>3*C19</f>
        <v>5262</v>
      </c>
      <c r="D146" s="7">
        <f t="shared" ref="D146" si="46">3*D19</f>
        <v>0</v>
      </c>
      <c r="E146" s="7"/>
      <c r="F146" s="7"/>
      <c r="G146" s="15">
        <f t="shared" si="43"/>
        <v>5262</v>
      </c>
    </row>
    <row r="147" spans="1:7" x14ac:dyDescent="0.25">
      <c r="A147" s="59">
        <v>610</v>
      </c>
      <c r="B147" s="62" t="s">
        <v>121</v>
      </c>
      <c r="C147" s="7">
        <f>120*C22</f>
        <v>0</v>
      </c>
      <c r="D147" s="7">
        <f t="shared" ref="D147" si="47">120*D22</f>
        <v>0</v>
      </c>
      <c r="E147" s="7">
        <f>120*E22</f>
        <v>15960</v>
      </c>
      <c r="F147" s="7"/>
      <c r="G147" s="15">
        <f t="shared" si="43"/>
        <v>15960</v>
      </c>
    </row>
    <row r="148" spans="1:7" ht="15.75" thickBot="1" x14ac:dyDescent="0.3">
      <c r="A148" s="100"/>
      <c r="B148" s="62" t="s">
        <v>122</v>
      </c>
      <c r="C148" s="37">
        <v>30000</v>
      </c>
      <c r="D148" s="37">
        <v>0</v>
      </c>
      <c r="E148" s="37"/>
      <c r="F148" s="37"/>
      <c r="G148" s="15">
        <f t="shared" si="43"/>
        <v>30000</v>
      </c>
    </row>
    <row r="149" spans="1:7" ht="15.75" thickBot="1" x14ac:dyDescent="0.3">
      <c r="A149" s="88"/>
      <c r="B149" s="95" t="s">
        <v>123</v>
      </c>
      <c r="C149" s="92">
        <f>SUM(C139:C148)</f>
        <v>752958</v>
      </c>
      <c r="D149" s="92">
        <f>SUM(D139:D148)</f>
        <v>0</v>
      </c>
      <c r="E149" s="92">
        <f t="shared" ref="E149:G149" si="48">SUM(E139:E148)</f>
        <v>15960</v>
      </c>
      <c r="F149" s="92">
        <f t="shared" si="48"/>
        <v>0</v>
      </c>
      <c r="G149" s="92">
        <f t="shared" si="48"/>
        <v>768918</v>
      </c>
    </row>
    <row r="150" spans="1:7" x14ac:dyDescent="0.25">
      <c r="A150" s="75"/>
      <c r="B150" s="101" t="s">
        <v>124</v>
      </c>
      <c r="C150" s="149" t="str">
        <f>C1</f>
        <v>Operating</v>
      </c>
      <c r="D150" s="149" t="str">
        <f>D1</f>
        <v>Weights</v>
      </c>
      <c r="E150" s="149" t="str">
        <f>E1</f>
        <v>SPED</v>
      </c>
      <c r="F150" s="149" t="str">
        <f t="shared" ref="F150:G150" si="49">F1</f>
        <v>NSLP</v>
      </c>
      <c r="G150" s="149" t="str">
        <f t="shared" si="49"/>
        <v>Sloan</v>
      </c>
    </row>
    <row r="151" spans="1:7" x14ac:dyDescent="0.25">
      <c r="A151" s="93">
        <v>320</v>
      </c>
      <c r="B151" s="62" t="s">
        <v>125</v>
      </c>
      <c r="C151" s="80">
        <v>0</v>
      </c>
      <c r="D151" s="80">
        <v>18000</v>
      </c>
      <c r="E151" s="80"/>
      <c r="F151" s="80"/>
      <c r="G151" s="80">
        <f t="shared" ref="G151:G162" si="50">SUM(C151:F151)</f>
        <v>18000</v>
      </c>
    </row>
    <row r="152" spans="1:7" x14ac:dyDescent="0.25">
      <c r="A152" s="59">
        <v>300</v>
      </c>
      <c r="B152" s="62" t="s">
        <v>126</v>
      </c>
      <c r="C152" s="14">
        <v>0</v>
      </c>
      <c r="D152" s="142"/>
      <c r="E152" s="14">
        <f>100*$C$19</f>
        <v>175400</v>
      </c>
      <c r="F152" s="142"/>
      <c r="G152" s="80">
        <f t="shared" si="50"/>
        <v>175400</v>
      </c>
    </row>
    <row r="153" spans="1:7" x14ac:dyDescent="0.25">
      <c r="A153" s="59">
        <v>310</v>
      </c>
      <c r="B153" s="62" t="s">
        <v>127</v>
      </c>
      <c r="C153" s="11">
        <v>0</v>
      </c>
      <c r="D153" s="142"/>
      <c r="E153" s="14"/>
      <c r="F153" s="142"/>
      <c r="G153" s="80">
        <f t="shared" si="50"/>
        <v>0</v>
      </c>
    </row>
    <row r="154" spans="1:7" x14ac:dyDescent="0.25">
      <c r="A154" s="59">
        <v>310</v>
      </c>
      <c r="B154" s="62" t="s">
        <v>128</v>
      </c>
      <c r="C154" s="7">
        <f>(450*C19)</f>
        <v>789300</v>
      </c>
      <c r="D154" s="7"/>
      <c r="E154" s="7"/>
      <c r="F154" s="7"/>
      <c r="G154" s="80">
        <f t="shared" si="50"/>
        <v>789300</v>
      </c>
    </row>
    <row r="155" spans="1:7" x14ac:dyDescent="0.25">
      <c r="A155" s="59">
        <v>310</v>
      </c>
      <c r="B155" s="62" t="s">
        <v>129</v>
      </c>
      <c r="C155" s="7">
        <f>(240*C66)+2000</f>
        <v>23638.399999999998</v>
      </c>
      <c r="D155" s="7">
        <f>(240*D66)</f>
        <v>720</v>
      </c>
      <c r="E155" s="7">
        <f>(240*E66)</f>
        <v>4399.2</v>
      </c>
      <c r="F155" s="7">
        <f>(240*F66)</f>
        <v>480</v>
      </c>
      <c r="G155" s="80">
        <f t="shared" si="50"/>
        <v>29237.599999999999</v>
      </c>
    </row>
    <row r="156" spans="1:7" x14ac:dyDescent="0.25">
      <c r="A156" s="59">
        <v>340</v>
      </c>
      <c r="B156" s="62" t="s">
        <v>130</v>
      </c>
      <c r="C156" s="7">
        <v>11000</v>
      </c>
      <c r="D156" s="7"/>
      <c r="E156" s="7"/>
      <c r="F156" s="7"/>
      <c r="G156" s="80">
        <f t="shared" si="50"/>
        <v>11000</v>
      </c>
    </row>
    <row r="157" spans="1:7" x14ac:dyDescent="0.25">
      <c r="A157" s="59">
        <v>340</v>
      </c>
      <c r="B157" s="62" t="s">
        <v>131</v>
      </c>
      <c r="C157" s="7">
        <v>5500</v>
      </c>
      <c r="D157" s="7"/>
      <c r="E157" s="7"/>
      <c r="F157" s="7"/>
      <c r="G157" s="80">
        <f t="shared" si="50"/>
        <v>5500</v>
      </c>
    </row>
    <row r="158" spans="1:7" x14ac:dyDescent="0.25">
      <c r="A158" s="59">
        <v>352</v>
      </c>
      <c r="B158" s="62" t="s">
        <v>132</v>
      </c>
      <c r="C158" s="7">
        <f>42*C19</f>
        <v>73668</v>
      </c>
      <c r="D158" s="7"/>
      <c r="E158" s="7"/>
      <c r="F158" s="7"/>
      <c r="G158" s="80">
        <f t="shared" si="50"/>
        <v>73668</v>
      </c>
    </row>
    <row r="159" spans="1:7" x14ac:dyDescent="0.25">
      <c r="A159" s="59">
        <v>350</v>
      </c>
      <c r="B159" s="62" t="s">
        <v>133</v>
      </c>
      <c r="C159" s="7">
        <v>8000</v>
      </c>
      <c r="D159" s="7"/>
      <c r="E159" s="7"/>
      <c r="F159" s="7"/>
      <c r="G159" s="80">
        <f t="shared" si="50"/>
        <v>8000</v>
      </c>
    </row>
    <row r="160" spans="1:7" x14ac:dyDescent="0.25">
      <c r="A160" s="59">
        <v>591</v>
      </c>
      <c r="B160" s="62" t="s">
        <v>134</v>
      </c>
      <c r="C160" s="7">
        <f>(C87+C88)*0.0125</f>
        <v>157789.62075</v>
      </c>
      <c r="D160" s="7"/>
      <c r="E160" s="7"/>
      <c r="F160" s="7"/>
      <c r="G160" s="80">
        <f t="shared" si="50"/>
        <v>157789.62075</v>
      </c>
    </row>
    <row r="161" spans="1:7" x14ac:dyDescent="0.25">
      <c r="A161" s="59">
        <v>320</v>
      </c>
      <c r="B161" s="62" t="s">
        <v>135</v>
      </c>
      <c r="C161" s="7">
        <f>(C87+C88)*0.005</f>
        <v>63115.848300000005</v>
      </c>
      <c r="D161" s="7"/>
      <c r="E161" s="7"/>
      <c r="F161" s="7"/>
      <c r="G161" s="80">
        <f t="shared" si="50"/>
        <v>63115.848300000005</v>
      </c>
    </row>
    <row r="162" spans="1:7" ht="15.75" thickBot="1" x14ac:dyDescent="0.3">
      <c r="A162" s="59">
        <v>330</v>
      </c>
      <c r="B162" s="62" t="s">
        <v>136</v>
      </c>
      <c r="C162" s="7">
        <f>(C87+C88)*0.005</f>
        <v>63115.848300000005</v>
      </c>
      <c r="D162" s="7"/>
      <c r="E162" s="7"/>
      <c r="F162" s="7"/>
      <c r="G162" s="80">
        <f t="shared" si="50"/>
        <v>63115.848300000005</v>
      </c>
    </row>
    <row r="163" spans="1:7" ht="15.75" hidden="1" thickBot="1" x14ac:dyDescent="0.3">
      <c r="A163" s="59">
        <v>330</v>
      </c>
      <c r="B163" s="62" t="s">
        <v>137</v>
      </c>
      <c r="C163" s="81"/>
      <c r="D163" s="81"/>
      <c r="E163" s="81"/>
      <c r="F163" s="81"/>
      <c r="G163" s="81"/>
    </row>
    <row r="164" spans="1:7" ht="15.75" thickBot="1" x14ac:dyDescent="0.3">
      <c r="A164" s="88"/>
      <c r="B164" s="95" t="s">
        <v>138</v>
      </c>
      <c r="C164" s="92">
        <f>SUM(C151:C163)</f>
        <v>1195127.71735</v>
      </c>
      <c r="D164" s="92">
        <f>SUM(D151:D163)</f>
        <v>18720</v>
      </c>
      <c r="E164" s="92">
        <f>SUM(E151:E163)</f>
        <v>179799.2</v>
      </c>
      <c r="F164" s="92">
        <f t="shared" ref="F164:G164" si="51">SUM(F151:F163)</f>
        <v>480</v>
      </c>
      <c r="G164" s="92">
        <f t="shared" si="51"/>
        <v>1394126.91735</v>
      </c>
    </row>
    <row r="165" spans="1:7" x14ac:dyDescent="0.25">
      <c r="A165" s="75"/>
      <c r="B165" s="101" t="s">
        <v>139</v>
      </c>
      <c r="C165" s="149" t="str">
        <f>C150</f>
        <v>Operating</v>
      </c>
      <c r="D165" s="149" t="str">
        <f>D150</f>
        <v>Weights</v>
      </c>
      <c r="E165" s="149" t="str">
        <f>E150</f>
        <v>SPED</v>
      </c>
      <c r="F165" s="149" t="str">
        <f t="shared" ref="F165:G165" si="52">F150</f>
        <v>NSLP</v>
      </c>
      <c r="G165" s="149" t="str">
        <f t="shared" si="52"/>
        <v>Sloan</v>
      </c>
    </row>
    <row r="166" spans="1:7" x14ac:dyDescent="0.25">
      <c r="A166" s="59">
        <v>533</v>
      </c>
      <c r="B166" s="62" t="s">
        <v>140</v>
      </c>
      <c r="C166" s="7">
        <v>4500</v>
      </c>
      <c r="D166" s="7"/>
      <c r="E166" s="7"/>
      <c r="F166" s="7"/>
      <c r="G166" s="7">
        <f t="shared" ref="G166:G172" si="53">SUM(C166:F166)</f>
        <v>4500</v>
      </c>
    </row>
    <row r="167" spans="1:7" x14ac:dyDescent="0.25">
      <c r="A167" s="59">
        <v>535</v>
      </c>
      <c r="B167" s="62" t="s">
        <v>141</v>
      </c>
      <c r="C167" s="7">
        <v>19500</v>
      </c>
      <c r="D167" s="7"/>
      <c r="E167" s="7"/>
      <c r="F167" s="7"/>
      <c r="G167" s="7">
        <f t="shared" si="53"/>
        <v>19500</v>
      </c>
    </row>
    <row r="168" spans="1:7" x14ac:dyDescent="0.25">
      <c r="A168" s="59">
        <v>534</v>
      </c>
      <c r="B168" s="62" t="s">
        <v>142</v>
      </c>
      <c r="C168" s="7">
        <v>0</v>
      </c>
      <c r="D168" s="7"/>
      <c r="E168" s="7"/>
      <c r="F168" s="7"/>
      <c r="G168" s="7">
        <f t="shared" si="53"/>
        <v>0</v>
      </c>
    </row>
    <row r="169" spans="1:7" x14ac:dyDescent="0.25">
      <c r="A169" s="59">
        <v>531</v>
      </c>
      <c r="B169" s="62" t="s">
        <v>143</v>
      </c>
      <c r="C169" s="7">
        <v>1250</v>
      </c>
      <c r="D169" s="7"/>
      <c r="E169" s="7"/>
      <c r="F169" s="7"/>
      <c r="G169" s="7">
        <f t="shared" si="53"/>
        <v>1250</v>
      </c>
    </row>
    <row r="170" spans="1:7" x14ac:dyDescent="0.25">
      <c r="A170" s="59">
        <v>535</v>
      </c>
      <c r="B170" s="62" t="s">
        <v>144</v>
      </c>
      <c r="C170" s="7">
        <v>4200</v>
      </c>
      <c r="D170" s="7"/>
      <c r="E170" s="7"/>
      <c r="F170" s="7"/>
      <c r="G170" s="7">
        <f t="shared" si="53"/>
        <v>4200</v>
      </c>
    </row>
    <row r="171" spans="1:7" x14ac:dyDescent="0.25">
      <c r="A171" s="59">
        <v>443</v>
      </c>
      <c r="B171" s="62" t="s">
        <v>145</v>
      </c>
      <c r="C171" s="15">
        <v>57500</v>
      </c>
      <c r="D171" s="7"/>
      <c r="E171" s="7"/>
      <c r="F171" s="7"/>
      <c r="G171" s="7">
        <f t="shared" si="53"/>
        <v>57500</v>
      </c>
    </row>
    <row r="172" spans="1:7" ht="15.75" thickBot="1" x14ac:dyDescent="0.3">
      <c r="A172" s="59">
        <v>651</v>
      </c>
      <c r="B172" s="62" t="s">
        <v>146</v>
      </c>
      <c r="C172" s="7">
        <f>2500+(2*C20)</f>
        <v>2500</v>
      </c>
      <c r="D172" s="7"/>
      <c r="E172" s="7"/>
      <c r="F172" s="7"/>
      <c r="G172" s="7">
        <f t="shared" si="53"/>
        <v>2500</v>
      </c>
    </row>
    <row r="173" spans="1:7" ht="15.75" thickBot="1" x14ac:dyDescent="0.3">
      <c r="A173" s="88"/>
      <c r="B173" s="95" t="s">
        <v>147</v>
      </c>
      <c r="C173" s="92">
        <f>SUM(C166:C172)</f>
        <v>89450</v>
      </c>
      <c r="D173" s="92">
        <f>SUM(D166:D172)</f>
        <v>0</v>
      </c>
      <c r="E173" s="92">
        <f t="shared" ref="E173:G173" si="54">SUM(E166:E172)</f>
        <v>0</v>
      </c>
      <c r="F173" s="92">
        <f t="shared" si="54"/>
        <v>0</v>
      </c>
      <c r="G173" s="92">
        <f t="shared" si="54"/>
        <v>89450</v>
      </c>
    </row>
    <row r="174" spans="1:7" x14ac:dyDescent="0.25">
      <c r="A174" s="75"/>
      <c r="B174" s="101" t="s">
        <v>148</v>
      </c>
      <c r="C174" s="96"/>
      <c r="D174" s="96"/>
      <c r="E174" s="96"/>
      <c r="F174" s="96"/>
      <c r="G174" s="96"/>
    </row>
    <row r="175" spans="1:7" x14ac:dyDescent="0.25">
      <c r="A175" s="59">
        <v>521</v>
      </c>
      <c r="B175" s="62" t="s">
        <v>149</v>
      </c>
      <c r="C175" s="15">
        <f>15837.260650481*1.06</f>
        <v>16787.496289509862</v>
      </c>
      <c r="D175" s="15"/>
      <c r="E175" s="15"/>
      <c r="F175" s="15"/>
      <c r="G175" s="15">
        <f>SUM(C175:F175)</f>
        <v>16787.496289509862</v>
      </c>
    </row>
    <row r="176" spans="1:7" x14ac:dyDescent="0.25">
      <c r="A176" s="59">
        <v>522</v>
      </c>
      <c r="B176" s="62" t="s">
        <v>150</v>
      </c>
      <c r="C176" s="7">
        <f>11658.9097572148*1.06</f>
        <v>12358.444342647688</v>
      </c>
      <c r="D176" s="7"/>
      <c r="E176" s="7"/>
      <c r="F176" s="7"/>
      <c r="G176" s="15">
        <f>SUM(C176:F176)</f>
        <v>12358.444342647688</v>
      </c>
    </row>
    <row r="177" spans="1:7" ht="15.75" thickBot="1" x14ac:dyDescent="0.3">
      <c r="A177" s="59">
        <v>523</v>
      </c>
      <c r="B177" s="62" t="s">
        <v>151</v>
      </c>
      <c r="C177" s="7">
        <f>(24904.5350435181*1.06)+3600</f>
        <v>29998.807146129187</v>
      </c>
      <c r="D177" s="7"/>
      <c r="E177" s="7"/>
      <c r="F177" s="7"/>
      <c r="G177" s="15">
        <f>SUM(C177:F177)</f>
        <v>29998.807146129187</v>
      </c>
    </row>
    <row r="178" spans="1:7" ht="15.75" thickBot="1" x14ac:dyDescent="0.3">
      <c r="A178" s="88"/>
      <c r="B178" s="95" t="s">
        <v>152</v>
      </c>
      <c r="C178" s="92">
        <f>SUM(C175:C177)</f>
        <v>59144.747778286735</v>
      </c>
      <c r="D178" s="92">
        <f>SUM(D175:D177)</f>
        <v>0</v>
      </c>
      <c r="E178" s="92">
        <f t="shared" ref="E178:G178" si="55">SUM(E175:E177)</f>
        <v>0</v>
      </c>
      <c r="F178" s="92">
        <f t="shared" si="55"/>
        <v>0</v>
      </c>
      <c r="G178" s="92">
        <f t="shared" si="55"/>
        <v>59144.747778286735</v>
      </c>
    </row>
    <row r="179" spans="1:7" x14ac:dyDescent="0.25">
      <c r="A179" s="75"/>
      <c r="B179" s="101" t="s">
        <v>153</v>
      </c>
      <c r="C179" s="96" t="str">
        <f>C1</f>
        <v>Operating</v>
      </c>
      <c r="D179" s="96" t="str">
        <f>D1</f>
        <v>Weights</v>
      </c>
      <c r="E179" s="96" t="str">
        <f>E1</f>
        <v>SPED</v>
      </c>
      <c r="F179" s="96" t="str">
        <f t="shared" ref="F179:G179" si="56">F1</f>
        <v>NSLP</v>
      </c>
      <c r="G179" s="96" t="str">
        <f t="shared" si="56"/>
        <v>Sloan</v>
      </c>
    </row>
    <row r="180" spans="1:7" x14ac:dyDescent="0.25">
      <c r="A180" s="59">
        <v>570</v>
      </c>
      <c r="B180" s="62" t="s">
        <v>154</v>
      </c>
      <c r="C180" s="14">
        <f>(($C$19*C25)*3.56*180)</f>
        <v>0</v>
      </c>
      <c r="D180" s="142"/>
      <c r="E180" s="142"/>
      <c r="F180" s="14">
        <f>(($C$19*F25)*3.05*180)+1000</f>
        <v>174330.27999999997</v>
      </c>
      <c r="G180" s="14">
        <f t="shared" ref="G180:G188" si="57">SUM(C180:F180)</f>
        <v>174330.27999999997</v>
      </c>
    </row>
    <row r="181" spans="1:7" x14ac:dyDescent="0.25">
      <c r="A181" s="59">
        <v>540</v>
      </c>
      <c r="B181" s="62" t="s">
        <v>155</v>
      </c>
      <c r="C181" s="7">
        <v>3000</v>
      </c>
      <c r="D181" s="7"/>
      <c r="E181" s="7"/>
      <c r="F181" s="7"/>
      <c r="G181" s="14">
        <f t="shared" si="57"/>
        <v>3000</v>
      </c>
    </row>
    <row r="182" spans="1:7" x14ac:dyDescent="0.25">
      <c r="A182" s="59">
        <v>580</v>
      </c>
      <c r="B182" s="62" t="s">
        <v>156</v>
      </c>
      <c r="C182" s="7">
        <v>3000</v>
      </c>
      <c r="D182" s="7"/>
      <c r="E182" s="7"/>
      <c r="F182" s="7"/>
      <c r="G182" s="14">
        <f t="shared" si="57"/>
        <v>3000</v>
      </c>
    </row>
    <row r="183" spans="1:7" x14ac:dyDescent="0.25">
      <c r="A183" s="59">
        <v>340</v>
      </c>
      <c r="B183" s="62" t="s">
        <v>157</v>
      </c>
      <c r="C183" s="7">
        <f>60*25</f>
        <v>1500</v>
      </c>
      <c r="D183" s="7"/>
      <c r="E183" s="7"/>
      <c r="F183" s="7"/>
      <c r="G183" s="14">
        <f t="shared" si="57"/>
        <v>1500</v>
      </c>
    </row>
    <row r="184" spans="1:7" x14ac:dyDescent="0.25">
      <c r="A184" s="79">
        <v>810</v>
      </c>
      <c r="B184" s="62" t="s">
        <v>158</v>
      </c>
      <c r="C184" s="15">
        <f>10500+1200</f>
        <v>11700</v>
      </c>
      <c r="D184" s="15"/>
      <c r="E184" s="15"/>
      <c r="F184" s="15"/>
      <c r="G184" s="14">
        <f t="shared" si="57"/>
        <v>11700</v>
      </c>
    </row>
    <row r="185" spans="1:7" x14ac:dyDescent="0.25">
      <c r="A185" s="64"/>
      <c r="B185" s="62" t="s">
        <v>159</v>
      </c>
      <c r="C185" s="15">
        <v>0</v>
      </c>
      <c r="D185" s="148"/>
      <c r="E185" s="148"/>
      <c r="F185" s="148"/>
      <c r="G185" s="14">
        <f t="shared" si="57"/>
        <v>0</v>
      </c>
    </row>
    <row r="186" spans="1:7" x14ac:dyDescent="0.25">
      <c r="A186" s="64"/>
      <c r="B186" s="62" t="s">
        <v>160</v>
      </c>
      <c r="C186" s="15">
        <v>0</v>
      </c>
      <c r="D186" s="15"/>
      <c r="E186" s="15"/>
      <c r="F186" s="15"/>
      <c r="G186" s="14">
        <f t="shared" si="57"/>
        <v>0</v>
      </c>
    </row>
    <row r="187" spans="1:7" x14ac:dyDescent="0.25">
      <c r="A187" s="64"/>
      <c r="B187" s="62" t="s">
        <v>161</v>
      </c>
      <c r="C187" s="15">
        <v>0</v>
      </c>
      <c r="D187" s="15"/>
      <c r="E187" s="15"/>
      <c r="F187" s="15"/>
      <c r="G187" s="14">
        <f t="shared" si="57"/>
        <v>0</v>
      </c>
    </row>
    <row r="188" spans="1:7" ht="15.75" thickBot="1" x14ac:dyDescent="0.3">
      <c r="A188" s="59">
        <v>900</v>
      </c>
      <c r="B188" s="62" t="s">
        <v>162</v>
      </c>
      <c r="C188" s="7">
        <v>2250</v>
      </c>
      <c r="D188" s="7"/>
      <c r="E188" s="7"/>
      <c r="F188" s="7"/>
      <c r="G188" s="14">
        <f t="shared" si="57"/>
        <v>2250</v>
      </c>
    </row>
    <row r="189" spans="1:7" ht="15.75" thickBot="1" x14ac:dyDescent="0.3">
      <c r="A189" s="88"/>
      <c r="B189" s="95" t="s">
        <v>163</v>
      </c>
      <c r="C189" s="92">
        <f>SUM(C180:C188)</f>
        <v>21450</v>
      </c>
      <c r="D189" s="92">
        <f>SUM(D180:D188)</f>
        <v>0</v>
      </c>
      <c r="E189" s="92">
        <f t="shared" ref="E189:G189" si="58">SUM(E180:E188)</f>
        <v>0</v>
      </c>
      <c r="F189" s="92">
        <f t="shared" si="58"/>
        <v>174330.27999999997</v>
      </c>
      <c r="G189" s="92">
        <f t="shared" si="58"/>
        <v>195780.27999999997</v>
      </c>
    </row>
    <row r="190" spans="1:7" x14ac:dyDescent="0.25">
      <c r="A190" s="75"/>
      <c r="B190" s="101" t="s">
        <v>164</v>
      </c>
      <c r="C190" s="77" t="str">
        <f>C179</f>
        <v>Operating</v>
      </c>
      <c r="D190" s="77" t="str">
        <f>D179</f>
        <v>Weights</v>
      </c>
      <c r="E190" s="77" t="str">
        <f>E179</f>
        <v>SPED</v>
      </c>
      <c r="F190" s="77" t="str">
        <f t="shared" ref="F190:G190" si="59">F179</f>
        <v>NSLP</v>
      </c>
      <c r="G190" s="77" t="str">
        <f t="shared" si="59"/>
        <v>Sloan</v>
      </c>
    </row>
    <row r="191" spans="1:7" x14ac:dyDescent="0.25">
      <c r="A191" s="93">
        <v>622</v>
      </c>
      <c r="B191" s="62" t="s">
        <v>165</v>
      </c>
      <c r="C191" s="169">
        <v>172500</v>
      </c>
      <c r="D191" s="61"/>
      <c r="E191" s="61"/>
      <c r="F191" s="61"/>
      <c r="G191" s="61">
        <f t="shared" ref="G191:G201" si="60">SUM(C191:F191)</f>
        <v>172500</v>
      </c>
    </row>
    <row r="192" spans="1:7" x14ac:dyDescent="0.25">
      <c r="A192" s="59">
        <v>621</v>
      </c>
      <c r="B192" s="62" t="s">
        <v>166</v>
      </c>
      <c r="C192" s="142"/>
      <c r="D192" s="15"/>
      <c r="E192" s="15"/>
      <c r="F192" s="15"/>
      <c r="G192" s="61">
        <f t="shared" si="60"/>
        <v>0</v>
      </c>
    </row>
    <row r="193" spans="1:7" x14ac:dyDescent="0.25">
      <c r="A193" s="59">
        <v>411</v>
      </c>
      <c r="B193" s="62" t="s">
        <v>167</v>
      </c>
      <c r="C193" s="7">
        <f>14000+14500</f>
        <v>28500</v>
      </c>
      <c r="D193" s="7"/>
      <c r="E193" s="7"/>
      <c r="F193" s="7"/>
      <c r="G193" s="61">
        <f t="shared" si="60"/>
        <v>28500</v>
      </c>
    </row>
    <row r="194" spans="1:7" x14ac:dyDescent="0.25">
      <c r="A194" s="59">
        <v>422</v>
      </c>
      <c r="B194" s="62" t="s">
        <v>168</v>
      </c>
      <c r="C194" s="7">
        <f>3300*12+400</f>
        <v>40000</v>
      </c>
      <c r="D194" s="7"/>
      <c r="E194" s="7"/>
      <c r="F194" s="7"/>
      <c r="G194" s="61">
        <f t="shared" si="60"/>
        <v>40000</v>
      </c>
    </row>
    <row r="195" spans="1:7" x14ac:dyDescent="0.25">
      <c r="A195" s="59">
        <v>490</v>
      </c>
      <c r="B195" s="62" t="s">
        <v>169</v>
      </c>
      <c r="C195" s="7">
        <v>15500</v>
      </c>
      <c r="D195" s="7"/>
      <c r="E195" s="7"/>
      <c r="F195" s="7"/>
      <c r="G195" s="61">
        <f t="shared" si="60"/>
        <v>15500</v>
      </c>
    </row>
    <row r="196" spans="1:7" x14ac:dyDescent="0.25">
      <c r="A196" s="59">
        <v>422</v>
      </c>
      <c r="B196" s="62" t="s">
        <v>170</v>
      </c>
      <c r="C196" s="11">
        <f>16560*13</f>
        <v>215280</v>
      </c>
      <c r="D196" s="11"/>
      <c r="E196" s="11"/>
      <c r="F196" s="11"/>
      <c r="G196" s="61">
        <f t="shared" si="60"/>
        <v>215280</v>
      </c>
    </row>
    <row r="197" spans="1:7" x14ac:dyDescent="0.25">
      <c r="A197" s="59">
        <v>610</v>
      </c>
      <c r="B197" s="62" t="s">
        <v>171</v>
      </c>
      <c r="C197" s="15">
        <f>30*C19</f>
        <v>52620</v>
      </c>
      <c r="D197" s="7"/>
      <c r="E197" s="7"/>
      <c r="F197" s="7"/>
      <c r="G197" s="61">
        <f t="shared" si="60"/>
        <v>52620</v>
      </c>
    </row>
    <row r="198" spans="1:7" x14ac:dyDescent="0.25">
      <c r="A198" s="59" t="s">
        <v>172</v>
      </c>
      <c r="B198" s="62" t="s">
        <v>173</v>
      </c>
      <c r="C198" s="7">
        <v>50000</v>
      </c>
      <c r="D198" s="7"/>
      <c r="E198" s="7"/>
      <c r="F198" s="7">
        <v>0</v>
      </c>
      <c r="G198" s="61">
        <f t="shared" si="60"/>
        <v>50000</v>
      </c>
    </row>
    <row r="199" spans="1:7" x14ac:dyDescent="0.25">
      <c r="A199" s="59">
        <v>420</v>
      </c>
      <c r="B199" s="62" t="s">
        <v>174</v>
      </c>
      <c r="C199" s="7">
        <f>4100*4</f>
        <v>16400</v>
      </c>
      <c r="D199" s="11"/>
      <c r="E199" s="11"/>
      <c r="F199" s="11"/>
      <c r="G199" s="61">
        <f t="shared" si="60"/>
        <v>16400</v>
      </c>
    </row>
    <row r="200" spans="1:7" x14ac:dyDescent="0.25">
      <c r="A200" s="59">
        <v>420</v>
      </c>
      <c r="B200" s="62" t="s">
        <v>175</v>
      </c>
      <c r="C200" s="7"/>
      <c r="D200" s="7"/>
      <c r="E200" s="7"/>
      <c r="F200" s="7"/>
      <c r="G200" s="61">
        <f t="shared" si="60"/>
        <v>0</v>
      </c>
    </row>
    <row r="201" spans="1:7" ht="15.75" thickBot="1" x14ac:dyDescent="0.3">
      <c r="A201" s="63">
        <v>431</v>
      </c>
      <c r="B201" s="62" t="s">
        <v>176</v>
      </c>
      <c r="C201" s="37">
        <f>(1400*12)+4500</f>
        <v>21300</v>
      </c>
      <c r="D201" s="86"/>
      <c r="E201" s="86"/>
      <c r="F201" s="86"/>
      <c r="G201" s="61">
        <f t="shared" si="60"/>
        <v>21300</v>
      </c>
    </row>
    <row r="202" spans="1:7" ht="15.75" thickBot="1" x14ac:dyDescent="0.3">
      <c r="A202" s="88"/>
      <c r="B202" s="95" t="s">
        <v>177</v>
      </c>
      <c r="C202" s="90">
        <f>SUM(C191:C201)</f>
        <v>612100</v>
      </c>
      <c r="D202" s="90">
        <f>SUM(D191:D201)</f>
        <v>0</v>
      </c>
      <c r="E202" s="90">
        <f>SUM(E191:E201)</f>
        <v>0</v>
      </c>
      <c r="F202" s="90">
        <f t="shared" ref="F202:G202" si="61">SUM(F191:F201)</f>
        <v>0</v>
      </c>
      <c r="G202" s="90">
        <f t="shared" si="61"/>
        <v>612100</v>
      </c>
    </row>
    <row r="203" spans="1:7" ht="15.75" thickBot="1" x14ac:dyDescent="0.3">
      <c r="A203" s="69"/>
      <c r="B203" s="102"/>
      <c r="C203" s="103"/>
      <c r="D203" s="103"/>
      <c r="E203" s="103"/>
      <c r="F203" s="103"/>
      <c r="G203" s="103"/>
    </row>
    <row r="204" spans="1:7" ht="15.75" thickBot="1" x14ac:dyDescent="0.3">
      <c r="A204" s="69"/>
      <c r="B204" s="95" t="s">
        <v>178</v>
      </c>
      <c r="C204" s="104">
        <f>C137+C149+C164+C173+C178+C189+C202</f>
        <v>9164868.3436282873</v>
      </c>
      <c r="D204" s="104">
        <f>D137+D149+D164+D173+D178+D189+D202</f>
        <v>154006.25</v>
      </c>
      <c r="E204" s="104">
        <f>E137+E149+E164+E173+E178+E189+E202</f>
        <v>1293006.1494999998</v>
      </c>
      <c r="F204" s="104">
        <f t="shared" ref="F204" si="62">F137+F149+F164+F173+F178+F189+F202</f>
        <v>232585.27999999997</v>
      </c>
      <c r="G204" s="104">
        <f>G137+G149+G164+G173+G178+G189+G202</f>
        <v>10844466.023128288</v>
      </c>
    </row>
    <row r="205" spans="1:7" x14ac:dyDescent="0.25">
      <c r="A205" s="69"/>
      <c r="B205" s="105"/>
      <c r="C205" s="61"/>
      <c r="D205" s="61"/>
      <c r="E205" s="61"/>
      <c r="F205" s="61"/>
      <c r="G205" s="61"/>
    </row>
    <row r="206" spans="1:7" x14ac:dyDescent="0.25">
      <c r="A206" s="69"/>
      <c r="B206" s="106" t="s">
        <v>179</v>
      </c>
      <c r="C206" s="7">
        <v>0</v>
      </c>
      <c r="D206" s="7"/>
      <c r="E206" s="7"/>
      <c r="F206" s="7"/>
      <c r="G206" s="7">
        <f t="shared" ref="G206:G215" si="63">SUM(C206:F206)</f>
        <v>0</v>
      </c>
    </row>
    <row r="207" spans="1:7" x14ac:dyDescent="0.25">
      <c r="A207" s="69"/>
      <c r="B207" s="106" t="s">
        <v>180</v>
      </c>
      <c r="C207" s="7">
        <v>2136748</v>
      </c>
      <c r="D207" s="7">
        <v>0</v>
      </c>
      <c r="E207" s="7"/>
      <c r="F207" s="7"/>
      <c r="G207" s="7">
        <f t="shared" si="63"/>
        <v>2136748</v>
      </c>
    </row>
    <row r="208" spans="1:7" hidden="1" x14ac:dyDescent="0.25">
      <c r="A208" s="69"/>
      <c r="B208" s="106"/>
      <c r="C208" s="7"/>
      <c r="D208" s="7"/>
      <c r="E208" s="7"/>
      <c r="F208" s="7"/>
      <c r="G208" s="7">
        <f t="shared" si="63"/>
        <v>0</v>
      </c>
    </row>
    <row r="209" spans="1:7" hidden="1" x14ac:dyDescent="0.25">
      <c r="A209" s="69"/>
      <c r="B209" s="106"/>
      <c r="C209" s="7"/>
      <c r="D209" s="7"/>
      <c r="E209" s="7"/>
      <c r="F209" s="7"/>
      <c r="G209" s="7">
        <f t="shared" si="63"/>
        <v>0</v>
      </c>
    </row>
    <row r="210" spans="1:7" hidden="1" x14ac:dyDescent="0.25">
      <c r="A210" s="69"/>
      <c r="B210" s="106"/>
      <c r="C210" s="7"/>
      <c r="D210" s="7"/>
      <c r="E210" s="7"/>
      <c r="F210" s="7"/>
      <c r="G210" s="7">
        <f t="shared" si="63"/>
        <v>0</v>
      </c>
    </row>
    <row r="211" spans="1:7" hidden="1" x14ac:dyDescent="0.25">
      <c r="A211" s="69"/>
      <c r="B211" s="106"/>
      <c r="C211" s="7"/>
      <c r="D211" s="7"/>
      <c r="E211" s="7"/>
      <c r="F211" s="7"/>
      <c r="G211" s="7">
        <f t="shared" si="63"/>
        <v>0</v>
      </c>
    </row>
    <row r="212" spans="1:7" hidden="1" x14ac:dyDescent="0.25">
      <c r="A212" s="69"/>
      <c r="B212" s="106"/>
      <c r="C212" s="7"/>
      <c r="D212" s="7"/>
      <c r="E212" s="7"/>
      <c r="F212" s="7"/>
      <c r="G212" s="7">
        <f t="shared" si="63"/>
        <v>0</v>
      </c>
    </row>
    <row r="213" spans="1:7" hidden="1" x14ac:dyDescent="0.25">
      <c r="A213" s="69"/>
      <c r="B213" s="106" t="s">
        <v>180</v>
      </c>
      <c r="C213" s="7"/>
      <c r="D213" s="7"/>
      <c r="E213" s="7"/>
      <c r="F213" s="7"/>
      <c r="G213" s="7">
        <f t="shared" si="63"/>
        <v>0</v>
      </c>
    </row>
    <row r="214" spans="1:7" hidden="1" x14ac:dyDescent="0.25">
      <c r="A214" s="69"/>
      <c r="B214" s="107" t="s">
        <v>181</v>
      </c>
      <c r="C214" s="7">
        <v>0</v>
      </c>
      <c r="D214" s="7">
        <v>0</v>
      </c>
      <c r="E214" s="7"/>
      <c r="F214" s="7"/>
      <c r="G214" s="7">
        <f t="shared" si="63"/>
        <v>0</v>
      </c>
    </row>
    <row r="215" spans="1:7" x14ac:dyDescent="0.25">
      <c r="A215" s="69"/>
      <c r="B215" s="146"/>
      <c r="C215" s="7"/>
      <c r="D215" s="7"/>
      <c r="E215" s="7"/>
      <c r="F215" s="7"/>
      <c r="G215" s="7">
        <f t="shared" si="63"/>
        <v>0</v>
      </c>
    </row>
    <row r="216" spans="1:7" x14ac:dyDescent="0.25">
      <c r="A216" s="69"/>
      <c r="B216" s="147"/>
      <c r="C216" s="7"/>
      <c r="D216" s="7"/>
      <c r="E216" s="7"/>
      <c r="F216" s="7"/>
      <c r="G216" s="7"/>
    </row>
    <row r="217" spans="1:7" ht="15.75" thickBot="1" x14ac:dyDescent="0.3">
      <c r="A217" s="69"/>
      <c r="B217" s="144" t="s">
        <v>183</v>
      </c>
      <c r="C217" s="145">
        <f>C86-C204-C206-C207-C213-C214</f>
        <v>966496.62657171302</v>
      </c>
      <c r="D217" s="145">
        <f>D86-D204-D206-D207-D213-D214</f>
        <v>-13396.720000000001</v>
      </c>
      <c r="E217" s="145">
        <f>E86-E204-E206-E207-E213-E214</f>
        <v>-795841.94949999987</v>
      </c>
      <c r="F217" s="145">
        <f t="shared" ref="F217:G217" si="64">F86-F204-F206-F207-F213-F214</f>
        <v>-4786.8800000000047</v>
      </c>
      <c r="G217" s="145">
        <f t="shared" si="64"/>
        <v>152471.07707171142</v>
      </c>
    </row>
    <row r="218" spans="1:7" ht="15.75" thickBot="1" x14ac:dyDescent="0.3">
      <c r="A218" s="69"/>
      <c r="B218" s="108"/>
      <c r="C218" s="110">
        <f>C217/(C86-C76)</f>
        <v>7.8781197150645146E-2</v>
      </c>
      <c r="D218" s="110">
        <f t="shared" ref="D218" si="65">D217/(D86-D76)</f>
        <v>-9.5276045656364841E-2</v>
      </c>
      <c r="E218" s="110">
        <f>E217/(E86-E76)</f>
        <v>-1.6007627852126116</v>
      </c>
      <c r="F218" s="110">
        <f>F217/(F86)</f>
        <v>-2.1013668225940155E-2</v>
      </c>
      <c r="G218" s="110">
        <f>G217/(G86-G76)</f>
        <v>1.1813632807236811E-2</v>
      </c>
    </row>
    <row r="219" spans="1:7" x14ac:dyDescent="0.25">
      <c r="A219" s="5"/>
      <c r="C219" s="111"/>
      <c r="D219" s="111"/>
      <c r="E219" s="111"/>
      <c r="F219" s="111"/>
      <c r="G219" s="111"/>
    </row>
    <row r="220" spans="1:7" x14ac:dyDescent="0.25">
      <c r="A220" s="5"/>
      <c r="B220" s="112" t="str">
        <f>B1</f>
        <v xml:space="preserve">Sloan FY 22 </v>
      </c>
      <c r="C220" s="112" t="str">
        <f>C1</f>
        <v>Operating</v>
      </c>
      <c r="D220" s="112" t="str">
        <f>D1</f>
        <v>Weights</v>
      </c>
      <c r="E220" s="112" t="str">
        <f>E1</f>
        <v>SPED</v>
      </c>
      <c r="F220" s="112" t="str">
        <f t="shared" ref="F220:G220" si="66">F1</f>
        <v>NSLP</v>
      </c>
      <c r="G220" s="112" t="str">
        <f t="shared" si="66"/>
        <v>Sloan</v>
      </c>
    </row>
    <row r="221" spans="1:7" x14ac:dyDescent="0.25">
      <c r="A221" s="5"/>
      <c r="C221" s="109"/>
      <c r="D221" s="109"/>
      <c r="E221" s="109"/>
      <c r="F221" s="109"/>
      <c r="G221" s="109"/>
    </row>
    <row r="222" spans="1:7" x14ac:dyDescent="0.25">
      <c r="A222" s="4"/>
      <c r="C222" s="109"/>
      <c r="D222" s="109"/>
      <c r="E222" s="109"/>
      <c r="F222" s="109"/>
      <c r="G222" s="109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22"/>
  <sheetViews>
    <sheetView topLeftCell="A5" zoomScaleNormal="100" workbookViewId="0">
      <selection activeCell="C139" sqref="C139"/>
    </sheetView>
  </sheetViews>
  <sheetFormatPr defaultRowHeight="15" x14ac:dyDescent="0.25"/>
  <cols>
    <col min="1" max="1" width="10.42578125" customWidth="1"/>
    <col min="2" max="2" width="46.85546875" customWidth="1"/>
    <col min="3" max="3" width="16.42578125" customWidth="1"/>
    <col min="4" max="4" width="14.85546875" customWidth="1"/>
    <col min="5" max="5" width="16.42578125" customWidth="1"/>
    <col min="6" max="7" width="14.85546875" customWidth="1"/>
    <col min="8" max="8" width="11" bestFit="1" customWidth="1"/>
  </cols>
  <sheetData>
    <row r="1" spans="1:7" x14ac:dyDescent="0.25">
      <c r="A1" s="2"/>
      <c r="B1" s="1" t="s">
        <v>230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231</v>
      </c>
    </row>
    <row r="2" spans="1:7" x14ac:dyDescent="0.25">
      <c r="A2" s="4"/>
      <c r="B2" s="6" t="s">
        <v>7</v>
      </c>
      <c r="C2" s="7">
        <v>7196.79</v>
      </c>
      <c r="D2" s="7">
        <v>0</v>
      </c>
      <c r="E2" s="7">
        <v>0</v>
      </c>
      <c r="F2" s="7">
        <v>0</v>
      </c>
      <c r="G2" s="7">
        <f>SUM(C2:F2)</f>
        <v>7196.79</v>
      </c>
    </row>
    <row r="3" spans="1:7" x14ac:dyDescent="0.25">
      <c r="A3" s="4"/>
      <c r="B3" s="8"/>
      <c r="C3" s="7">
        <v>0</v>
      </c>
      <c r="D3" s="7">
        <v>0</v>
      </c>
      <c r="E3" s="7"/>
      <c r="F3" s="7">
        <v>0</v>
      </c>
      <c r="G3" s="7">
        <f>SUM(C3:F3)</f>
        <v>0</v>
      </c>
    </row>
    <row r="4" spans="1:7" x14ac:dyDescent="0.25">
      <c r="A4" s="4"/>
      <c r="B4" s="8"/>
      <c r="C4" s="139"/>
      <c r="D4" s="139"/>
      <c r="E4" s="139"/>
      <c r="F4" s="139"/>
      <c r="G4" s="153"/>
    </row>
    <row r="5" spans="1:7" x14ac:dyDescent="0.25">
      <c r="A5" s="4"/>
      <c r="B5" s="8" t="s">
        <v>8</v>
      </c>
      <c r="C5" s="9">
        <f>C6+C7+C8+C9+C10+C11+C12+C13+C14+C15+C16+C17+C18</f>
        <v>1199</v>
      </c>
      <c r="D5" s="9"/>
      <c r="E5" s="9"/>
      <c r="F5" s="9"/>
      <c r="G5" s="9">
        <f t="shared" ref="G5:G19" si="0">SUM(C5:F5)</f>
        <v>1199</v>
      </c>
    </row>
    <row r="6" spans="1:7" x14ac:dyDescent="0.25">
      <c r="A6" s="163">
        <v>5</v>
      </c>
      <c r="B6" s="10" t="s">
        <v>9</v>
      </c>
      <c r="C6" s="11">
        <f>25*5</f>
        <v>125</v>
      </c>
      <c r="D6" s="11"/>
      <c r="E6" s="11"/>
      <c r="F6" s="11"/>
      <c r="G6" s="9">
        <f t="shared" si="0"/>
        <v>125</v>
      </c>
    </row>
    <row r="7" spans="1:7" x14ac:dyDescent="0.25">
      <c r="A7" s="163">
        <v>5</v>
      </c>
      <c r="B7" s="12" t="s">
        <v>10</v>
      </c>
      <c r="C7" s="11">
        <f>25*5</f>
        <v>125</v>
      </c>
      <c r="D7" s="11"/>
      <c r="E7" s="11"/>
      <c r="F7" s="11"/>
      <c r="G7" s="9">
        <f t="shared" si="0"/>
        <v>125</v>
      </c>
    </row>
    <row r="8" spans="1:7" x14ac:dyDescent="0.25">
      <c r="A8" s="163">
        <v>6</v>
      </c>
      <c r="B8" s="12" t="s">
        <v>11</v>
      </c>
      <c r="C8" s="165">
        <f>25*6</f>
        <v>150</v>
      </c>
      <c r="D8" s="11"/>
      <c r="E8" s="11"/>
      <c r="F8" s="11"/>
      <c r="G8" s="9">
        <f t="shared" si="0"/>
        <v>150</v>
      </c>
    </row>
    <row r="9" spans="1:7" x14ac:dyDescent="0.25">
      <c r="A9" s="163">
        <v>6</v>
      </c>
      <c r="B9" s="13" t="s">
        <v>12</v>
      </c>
      <c r="C9" s="11">
        <f>26*6</f>
        <v>156</v>
      </c>
      <c r="D9" s="11"/>
      <c r="E9" s="11"/>
      <c r="F9" s="11"/>
      <c r="G9" s="9">
        <f t="shared" si="0"/>
        <v>156</v>
      </c>
    </row>
    <row r="10" spans="1:7" x14ac:dyDescent="0.25">
      <c r="A10" s="163">
        <v>6</v>
      </c>
      <c r="B10" s="13" t="s">
        <v>13</v>
      </c>
      <c r="C10" s="11">
        <f>26*6</f>
        <v>156</v>
      </c>
      <c r="D10" s="11"/>
      <c r="E10" s="11"/>
      <c r="F10" s="11"/>
      <c r="G10" s="9">
        <f t="shared" si="0"/>
        <v>156</v>
      </c>
    </row>
    <row r="11" spans="1:7" x14ac:dyDescent="0.25">
      <c r="A11" s="163">
        <v>5</v>
      </c>
      <c r="B11" s="13" t="s">
        <v>14</v>
      </c>
      <c r="C11" s="11">
        <f>25*5</f>
        <v>125</v>
      </c>
      <c r="D11" s="11"/>
      <c r="E11" s="11"/>
      <c r="F11" s="11"/>
      <c r="G11" s="9">
        <f t="shared" si="0"/>
        <v>125</v>
      </c>
    </row>
    <row r="12" spans="1:7" x14ac:dyDescent="0.25">
      <c r="A12" s="163">
        <v>4</v>
      </c>
      <c r="B12" s="13" t="s">
        <v>15</v>
      </c>
      <c r="C12" s="11">
        <v>121</v>
      </c>
      <c r="D12" s="7"/>
      <c r="E12" s="7"/>
      <c r="F12" s="7"/>
      <c r="G12" s="9">
        <f t="shared" si="0"/>
        <v>121</v>
      </c>
    </row>
    <row r="13" spans="1:7" x14ac:dyDescent="0.25">
      <c r="A13" s="163">
        <v>4</v>
      </c>
      <c r="B13" s="13" t="s">
        <v>16</v>
      </c>
      <c r="C13" s="11">
        <v>121</v>
      </c>
      <c r="D13" s="7"/>
      <c r="E13" s="7"/>
      <c r="F13" s="7"/>
      <c r="G13" s="9">
        <f t="shared" si="0"/>
        <v>121</v>
      </c>
    </row>
    <row r="14" spans="1:7" x14ac:dyDescent="0.25">
      <c r="A14" s="163">
        <v>4</v>
      </c>
      <c r="B14" s="13" t="s">
        <v>17</v>
      </c>
      <c r="C14" s="11">
        <v>120</v>
      </c>
      <c r="D14" s="7"/>
      <c r="E14" s="7"/>
      <c r="F14" s="7"/>
      <c r="G14" s="9">
        <f t="shared" si="0"/>
        <v>120</v>
      </c>
    </row>
    <row r="15" spans="1:7" x14ac:dyDescent="0.25">
      <c r="A15" s="151"/>
      <c r="B15" s="13" t="s">
        <v>18</v>
      </c>
      <c r="C15" s="15">
        <v>0</v>
      </c>
      <c r="D15" s="7"/>
      <c r="E15" s="7"/>
      <c r="F15" s="7"/>
      <c r="G15" s="9">
        <f t="shared" si="0"/>
        <v>0</v>
      </c>
    </row>
    <row r="16" spans="1:7" x14ac:dyDescent="0.25">
      <c r="A16" s="151"/>
      <c r="B16" s="13" t="s">
        <v>19</v>
      </c>
      <c r="C16" s="15">
        <v>0</v>
      </c>
      <c r="D16" s="7"/>
      <c r="E16" s="7"/>
      <c r="F16" s="7"/>
      <c r="G16" s="9">
        <f t="shared" si="0"/>
        <v>0</v>
      </c>
    </row>
    <row r="17" spans="1:9" x14ac:dyDescent="0.25">
      <c r="A17" s="151"/>
      <c r="B17" s="13" t="s">
        <v>20</v>
      </c>
      <c r="C17" s="7">
        <v>0</v>
      </c>
      <c r="D17" s="7"/>
      <c r="E17" s="7"/>
      <c r="F17" s="7"/>
      <c r="G17" s="9">
        <f t="shared" si="0"/>
        <v>0</v>
      </c>
    </row>
    <row r="18" spans="1:9" x14ac:dyDescent="0.25">
      <c r="A18" s="151"/>
      <c r="B18" s="13" t="s">
        <v>21</v>
      </c>
      <c r="C18" s="7">
        <v>0</v>
      </c>
      <c r="D18" s="7"/>
      <c r="E18" s="7"/>
      <c r="F18" s="7"/>
      <c r="G18" s="9">
        <f t="shared" si="0"/>
        <v>0</v>
      </c>
    </row>
    <row r="19" spans="1:9" x14ac:dyDescent="0.25">
      <c r="A19" s="151"/>
      <c r="B19" s="13" t="s">
        <v>8</v>
      </c>
      <c r="C19" s="9">
        <f>SUM(C6:C18)</f>
        <v>1199</v>
      </c>
      <c r="D19" s="9"/>
      <c r="E19" s="9"/>
      <c r="F19" s="9"/>
      <c r="G19" s="9">
        <f t="shared" si="0"/>
        <v>1199</v>
      </c>
      <c r="H19" s="138">
        <f>G87+G92+G94</f>
        <v>8671465.7799999993</v>
      </c>
      <c r="I19">
        <f>H19/G19</f>
        <v>7232.2483569641363</v>
      </c>
    </row>
    <row r="20" spans="1:9" x14ac:dyDescent="0.25">
      <c r="A20" s="4"/>
      <c r="B20" s="16"/>
      <c r="C20" s="7"/>
      <c r="D20" s="7"/>
      <c r="E20" s="7"/>
      <c r="F20" s="7"/>
      <c r="G20" s="7"/>
    </row>
    <row r="21" spans="1:9" x14ac:dyDescent="0.25">
      <c r="A21" s="4"/>
      <c r="B21" s="17" t="s">
        <v>22</v>
      </c>
      <c r="C21" s="18"/>
      <c r="D21" s="18"/>
      <c r="E21" s="18"/>
      <c r="F21" s="18"/>
      <c r="G21" s="18"/>
      <c r="I21" s="137"/>
    </row>
    <row r="22" spans="1:9" x14ac:dyDescent="0.25">
      <c r="A22" s="4"/>
      <c r="B22" s="140" t="s">
        <v>23</v>
      </c>
      <c r="C22" s="7"/>
      <c r="D22" s="7"/>
      <c r="E22" s="7">
        <v>102</v>
      </c>
      <c r="F22" s="7"/>
      <c r="G22" s="7">
        <f t="shared" ref="G22:G27" si="1">SUM(C22:F22)</f>
        <v>102</v>
      </c>
    </row>
    <row r="23" spans="1:9" x14ac:dyDescent="0.25">
      <c r="A23" s="4"/>
      <c r="B23" s="140" t="s">
        <v>24</v>
      </c>
      <c r="C23" s="7"/>
      <c r="D23" s="7">
        <v>7</v>
      </c>
      <c r="E23" s="7"/>
      <c r="F23" s="7"/>
      <c r="G23" s="7">
        <f t="shared" si="1"/>
        <v>7</v>
      </c>
    </row>
    <row r="24" spans="1:9" x14ac:dyDescent="0.25">
      <c r="A24" s="4"/>
      <c r="B24" s="140" t="s">
        <v>25</v>
      </c>
      <c r="C24" s="7"/>
      <c r="D24" s="7">
        <v>68</v>
      </c>
      <c r="E24" s="7"/>
      <c r="F24" s="7"/>
      <c r="G24" s="7">
        <f t="shared" si="1"/>
        <v>68</v>
      </c>
    </row>
    <row r="25" spans="1:9" x14ac:dyDescent="0.25">
      <c r="A25" s="4"/>
      <c r="B25" s="140" t="s">
        <v>26</v>
      </c>
      <c r="C25" s="19"/>
      <c r="D25" s="19"/>
      <c r="E25" s="19"/>
      <c r="F25" s="19">
        <v>0.125</v>
      </c>
      <c r="G25" s="19">
        <f t="shared" si="1"/>
        <v>0.125</v>
      </c>
    </row>
    <row r="26" spans="1:9" x14ac:dyDescent="0.25">
      <c r="A26" s="4"/>
      <c r="B26" s="140" t="s">
        <v>27</v>
      </c>
      <c r="C26" s="7"/>
      <c r="D26" s="7">
        <v>129</v>
      </c>
      <c r="E26" s="7"/>
      <c r="F26" s="7"/>
      <c r="G26" s="7">
        <f t="shared" si="1"/>
        <v>129</v>
      </c>
    </row>
    <row r="27" spans="1:9" x14ac:dyDescent="0.25">
      <c r="A27" s="4"/>
      <c r="B27" s="20"/>
      <c r="C27" s="7"/>
      <c r="D27" s="7"/>
      <c r="E27" s="7"/>
      <c r="F27" s="7"/>
      <c r="G27" s="7">
        <f t="shared" si="1"/>
        <v>0</v>
      </c>
    </row>
    <row r="28" spans="1:9" x14ac:dyDescent="0.25">
      <c r="A28" s="4"/>
      <c r="B28" s="17" t="s">
        <v>28</v>
      </c>
      <c r="C28" s="18"/>
      <c r="D28" s="18"/>
      <c r="E28" s="18"/>
      <c r="F28" s="18"/>
      <c r="G28" s="18"/>
    </row>
    <row r="29" spans="1:9" x14ac:dyDescent="0.25">
      <c r="A29" s="4"/>
      <c r="B29" s="21" t="s">
        <v>29</v>
      </c>
      <c r="C29" s="23">
        <v>45</v>
      </c>
      <c r="D29" s="23"/>
      <c r="E29" s="23"/>
      <c r="F29" s="23"/>
      <c r="G29" s="23">
        <f t="shared" ref="G29:G38" si="2">SUM(C29:F29)</f>
        <v>45</v>
      </c>
    </row>
    <row r="30" spans="1:9" x14ac:dyDescent="0.25">
      <c r="A30" s="25"/>
      <c r="B30" s="21" t="s">
        <v>30</v>
      </c>
      <c r="C30" s="26">
        <v>0</v>
      </c>
      <c r="D30" s="26"/>
      <c r="E30" s="26">
        <v>5</v>
      </c>
      <c r="F30" s="26"/>
      <c r="G30" s="23">
        <f t="shared" si="2"/>
        <v>5</v>
      </c>
    </row>
    <row r="31" spans="1:9" x14ac:dyDescent="0.25">
      <c r="A31" s="4"/>
      <c r="B31" s="21" t="s">
        <v>31</v>
      </c>
      <c r="C31" s="23">
        <v>1</v>
      </c>
      <c r="D31" s="23"/>
      <c r="E31" s="23"/>
      <c r="F31" s="23"/>
      <c r="G31" s="23">
        <f t="shared" si="2"/>
        <v>1</v>
      </c>
    </row>
    <row r="32" spans="1:9" x14ac:dyDescent="0.25">
      <c r="A32" s="4"/>
      <c r="B32" s="21" t="s">
        <v>32</v>
      </c>
      <c r="C32" s="23">
        <v>1</v>
      </c>
      <c r="D32" s="23"/>
      <c r="E32" s="23"/>
      <c r="F32" s="23"/>
      <c r="G32" s="23">
        <f t="shared" si="2"/>
        <v>1</v>
      </c>
    </row>
    <row r="33" spans="1:7" x14ac:dyDescent="0.25">
      <c r="A33" s="4"/>
      <c r="B33" s="21" t="s">
        <v>33</v>
      </c>
      <c r="C33" s="23">
        <v>1</v>
      </c>
      <c r="D33" s="23"/>
      <c r="E33" s="23"/>
      <c r="F33" s="23"/>
      <c r="G33" s="23">
        <f t="shared" si="2"/>
        <v>1</v>
      </c>
    </row>
    <row r="34" spans="1:7" x14ac:dyDescent="0.25">
      <c r="A34" s="4"/>
      <c r="B34" s="24" t="s">
        <v>34</v>
      </c>
      <c r="C34" s="23">
        <v>0</v>
      </c>
      <c r="D34" s="22"/>
      <c r="E34" s="22"/>
      <c r="F34" s="22"/>
      <c r="G34" s="23">
        <f t="shared" si="2"/>
        <v>0</v>
      </c>
    </row>
    <row r="35" spans="1:7" x14ac:dyDescent="0.25">
      <c r="A35" s="4"/>
      <c r="B35" s="27" t="s">
        <v>35</v>
      </c>
      <c r="C35" s="23">
        <v>1</v>
      </c>
      <c r="D35" s="23"/>
      <c r="E35" s="23"/>
      <c r="F35" s="23"/>
      <c r="G35" s="23">
        <f t="shared" si="2"/>
        <v>1</v>
      </c>
    </row>
    <row r="36" spans="1:7" x14ac:dyDescent="0.25">
      <c r="A36" s="4"/>
      <c r="B36" s="28" t="s">
        <v>36</v>
      </c>
      <c r="C36" s="23">
        <v>0</v>
      </c>
      <c r="D36" s="22"/>
      <c r="E36" s="22"/>
      <c r="F36" s="22"/>
      <c r="G36" s="23">
        <f t="shared" si="2"/>
        <v>0</v>
      </c>
    </row>
    <row r="37" spans="1:7" x14ac:dyDescent="0.25">
      <c r="A37" s="4"/>
      <c r="B37" s="27" t="s">
        <v>37</v>
      </c>
      <c r="C37" s="23">
        <v>1</v>
      </c>
      <c r="D37" s="23"/>
      <c r="E37" s="23"/>
      <c r="F37" s="23"/>
      <c r="G37" s="23">
        <f t="shared" si="2"/>
        <v>1</v>
      </c>
    </row>
    <row r="38" spans="1:7" x14ac:dyDescent="0.25">
      <c r="A38" s="4"/>
      <c r="B38" s="27" t="s">
        <v>38</v>
      </c>
      <c r="C38" s="23">
        <v>3</v>
      </c>
      <c r="D38" s="23"/>
      <c r="E38" s="23"/>
      <c r="F38" s="23"/>
      <c r="G38" s="23">
        <f t="shared" si="2"/>
        <v>3</v>
      </c>
    </row>
    <row r="39" spans="1:7" x14ac:dyDescent="0.25">
      <c r="A39" s="4"/>
      <c r="B39" s="29" t="s">
        <v>39</v>
      </c>
      <c r="C39" s="30">
        <f>SUM(C29:C38)</f>
        <v>53</v>
      </c>
      <c r="D39" s="30">
        <f>SUM(D29:D38)</f>
        <v>0</v>
      </c>
      <c r="E39" s="30">
        <f t="shared" ref="E39:G39" si="3">SUM(E29:E38)</f>
        <v>5</v>
      </c>
      <c r="F39" s="30">
        <f t="shared" si="3"/>
        <v>0</v>
      </c>
      <c r="G39" s="30">
        <f t="shared" si="3"/>
        <v>58</v>
      </c>
    </row>
    <row r="40" spans="1:7" x14ac:dyDescent="0.25">
      <c r="A40" s="4"/>
      <c r="B40" s="31"/>
      <c r="C40" s="23"/>
      <c r="D40" s="23"/>
      <c r="E40" s="23"/>
      <c r="F40" s="23"/>
      <c r="G40" s="23"/>
    </row>
    <row r="41" spans="1:7" x14ac:dyDescent="0.25">
      <c r="A41" s="4"/>
      <c r="B41" s="17" t="s">
        <v>40</v>
      </c>
      <c r="C41" s="32"/>
      <c r="D41" s="32"/>
      <c r="E41" s="32"/>
      <c r="F41" s="32"/>
      <c r="G41" s="32"/>
    </row>
    <row r="42" spans="1:7" x14ac:dyDescent="0.25">
      <c r="A42" s="4"/>
      <c r="B42" s="21" t="s">
        <v>41</v>
      </c>
      <c r="C42" s="23">
        <v>1</v>
      </c>
      <c r="D42" s="23"/>
      <c r="E42" s="23"/>
      <c r="F42" s="23"/>
      <c r="G42" s="23">
        <f>SUM(C42:F42)</f>
        <v>1</v>
      </c>
    </row>
    <row r="43" spans="1:7" x14ac:dyDescent="0.25">
      <c r="A43" s="4"/>
      <c r="B43" s="21" t="s">
        <v>42</v>
      </c>
      <c r="C43" s="26">
        <v>2</v>
      </c>
      <c r="D43" s="23"/>
      <c r="E43" s="23"/>
      <c r="F43" s="23"/>
      <c r="G43" s="23">
        <f t="shared" ref="G43:G61" si="4">SUM(C43:F43)</f>
        <v>2</v>
      </c>
    </row>
    <row r="44" spans="1:7" x14ac:dyDescent="0.25">
      <c r="A44" s="4"/>
      <c r="B44" s="34" t="s">
        <v>43</v>
      </c>
      <c r="C44" s="23">
        <v>0</v>
      </c>
      <c r="D44" s="23"/>
      <c r="E44" s="23"/>
      <c r="F44" s="23"/>
      <c r="G44" s="23">
        <f t="shared" si="4"/>
        <v>0</v>
      </c>
    </row>
    <row r="45" spans="1:7" x14ac:dyDescent="0.25">
      <c r="A45" s="4"/>
      <c r="B45" s="33" t="s">
        <v>44</v>
      </c>
      <c r="C45" s="23">
        <v>1</v>
      </c>
      <c r="D45" s="23"/>
      <c r="E45" s="23"/>
      <c r="F45" s="23"/>
      <c r="G45" s="23">
        <f t="shared" si="4"/>
        <v>1</v>
      </c>
    </row>
    <row r="46" spans="1:7" x14ac:dyDescent="0.25">
      <c r="A46" s="4"/>
      <c r="B46" s="33" t="s">
        <v>45</v>
      </c>
      <c r="C46" s="23">
        <v>2</v>
      </c>
      <c r="D46" s="23"/>
      <c r="E46" s="23"/>
      <c r="F46" s="23"/>
      <c r="G46" s="23">
        <f t="shared" si="4"/>
        <v>2</v>
      </c>
    </row>
    <row r="47" spans="1:7" x14ac:dyDescent="0.25">
      <c r="A47" s="4"/>
      <c r="B47" s="21" t="s">
        <v>200</v>
      </c>
      <c r="C47" s="23">
        <v>1</v>
      </c>
      <c r="D47" s="23"/>
      <c r="E47" s="23"/>
      <c r="F47" s="23"/>
      <c r="G47" s="23">
        <f t="shared" si="4"/>
        <v>1</v>
      </c>
    </row>
    <row r="48" spans="1:7" x14ac:dyDescent="0.25">
      <c r="A48" s="4"/>
      <c r="B48" s="21" t="s">
        <v>47</v>
      </c>
      <c r="C48" s="26">
        <v>1</v>
      </c>
      <c r="D48" s="26"/>
      <c r="E48" s="26"/>
      <c r="F48" s="26"/>
      <c r="G48" s="23">
        <f t="shared" si="4"/>
        <v>1</v>
      </c>
    </row>
    <row r="49" spans="1:7" x14ac:dyDescent="0.25">
      <c r="A49" s="4"/>
      <c r="B49" s="21" t="s">
        <v>48</v>
      </c>
      <c r="C49" s="26">
        <v>1</v>
      </c>
      <c r="D49" s="26"/>
      <c r="E49" s="26"/>
      <c r="F49" s="26"/>
      <c r="G49" s="23">
        <f t="shared" si="4"/>
        <v>1</v>
      </c>
    </row>
    <row r="50" spans="1:7" x14ac:dyDescent="0.25">
      <c r="A50" s="4"/>
      <c r="B50" s="21" t="s">
        <v>49</v>
      </c>
      <c r="C50" s="26">
        <v>1</v>
      </c>
      <c r="D50" s="26"/>
      <c r="E50" s="26"/>
      <c r="F50" s="26"/>
      <c r="G50" s="23">
        <f t="shared" si="4"/>
        <v>1</v>
      </c>
    </row>
    <row r="51" spans="1:7" x14ac:dyDescent="0.25">
      <c r="A51" s="4"/>
      <c r="B51" s="21" t="s">
        <v>50</v>
      </c>
      <c r="C51" s="152">
        <v>1.5</v>
      </c>
      <c r="D51" s="152">
        <v>2</v>
      </c>
      <c r="E51" s="152">
        <v>5</v>
      </c>
      <c r="F51" s="152">
        <v>0</v>
      </c>
      <c r="G51" s="23">
        <f t="shared" si="4"/>
        <v>8.5</v>
      </c>
    </row>
    <row r="52" spans="1:7" x14ac:dyDescent="0.25">
      <c r="A52" s="4"/>
      <c r="B52" s="21" t="s">
        <v>51</v>
      </c>
      <c r="C52" s="152">
        <v>2</v>
      </c>
      <c r="D52" s="152"/>
      <c r="E52" s="152"/>
      <c r="F52" s="152"/>
      <c r="G52" s="23">
        <f t="shared" si="4"/>
        <v>2</v>
      </c>
    </row>
    <row r="53" spans="1:7" x14ac:dyDescent="0.25">
      <c r="A53" s="4"/>
      <c r="B53" s="21" t="s">
        <v>52</v>
      </c>
      <c r="C53" s="152"/>
      <c r="D53" s="152"/>
      <c r="E53" s="152"/>
      <c r="F53" s="152">
        <v>1</v>
      </c>
      <c r="G53" s="23">
        <f t="shared" si="4"/>
        <v>1</v>
      </c>
    </row>
    <row r="54" spans="1:7" x14ac:dyDescent="0.25">
      <c r="A54" s="4"/>
      <c r="B54" s="21" t="s">
        <v>53</v>
      </c>
      <c r="C54" s="26">
        <v>0</v>
      </c>
      <c r="D54" s="26">
        <v>0</v>
      </c>
      <c r="E54" s="26"/>
      <c r="F54" s="26"/>
      <c r="G54" s="23">
        <f t="shared" si="4"/>
        <v>0</v>
      </c>
    </row>
    <row r="55" spans="1:7" x14ac:dyDescent="0.25">
      <c r="A55" s="4"/>
      <c r="B55" s="34" t="s">
        <v>54</v>
      </c>
      <c r="C55" s="23">
        <v>0</v>
      </c>
      <c r="D55" s="23"/>
      <c r="E55" s="23">
        <v>1</v>
      </c>
      <c r="F55" s="23"/>
      <c r="G55" s="23">
        <f t="shared" si="4"/>
        <v>1</v>
      </c>
    </row>
    <row r="56" spans="1:7" x14ac:dyDescent="0.25">
      <c r="A56" s="4"/>
      <c r="B56" s="34" t="s">
        <v>55</v>
      </c>
      <c r="C56" s="23">
        <v>0</v>
      </c>
      <c r="D56" s="23">
        <v>0</v>
      </c>
      <c r="E56" s="23">
        <v>1</v>
      </c>
      <c r="F56" s="23"/>
      <c r="G56" s="23">
        <f t="shared" si="4"/>
        <v>1</v>
      </c>
    </row>
    <row r="57" spans="1:7" x14ac:dyDescent="0.25">
      <c r="A57" s="4"/>
      <c r="B57" s="34" t="s">
        <v>56</v>
      </c>
      <c r="C57" s="23">
        <v>0</v>
      </c>
      <c r="D57" s="23">
        <v>0</v>
      </c>
      <c r="E57" s="23">
        <v>1</v>
      </c>
      <c r="F57" s="23"/>
      <c r="G57" s="23">
        <f t="shared" si="4"/>
        <v>1</v>
      </c>
    </row>
    <row r="58" spans="1:7" x14ac:dyDescent="0.25">
      <c r="A58" s="4"/>
      <c r="B58" s="34" t="s">
        <v>57</v>
      </c>
      <c r="C58" s="23">
        <v>0</v>
      </c>
      <c r="D58" s="23">
        <v>0</v>
      </c>
      <c r="E58" s="23">
        <v>0.34</v>
      </c>
      <c r="F58" s="23"/>
      <c r="G58" s="23">
        <f t="shared" si="4"/>
        <v>0.34</v>
      </c>
    </row>
    <row r="59" spans="1:7" x14ac:dyDescent="0.25">
      <c r="A59" s="4"/>
      <c r="B59" s="34" t="s">
        <v>58</v>
      </c>
      <c r="C59" s="23">
        <v>0</v>
      </c>
      <c r="D59" s="23">
        <v>0</v>
      </c>
      <c r="E59" s="23"/>
      <c r="F59" s="23"/>
      <c r="G59" s="23">
        <f t="shared" si="4"/>
        <v>0</v>
      </c>
    </row>
    <row r="60" spans="1:7" x14ac:dyDescent="0.25">
      <c r="A60" s="4"/>
      <c r="B60" s="34" t="s">
        <v>59</v>
      </c>
      <c r="C60" s="23">
        <v>0</v>
      </c>
      <c r="D60" s="23">
        <v>1</v>
      </c>
      <c r="E60" s="23"/>
      <c r="F60" s="23"/>
      <c r="G60" s="23">
        <f t="shared" si="4"/>
        <v>1</v>
      </c>
    </row>
    <row r="61" spans="1:7" x14ac:dyDescent="0.25">
      <c r="A61" s="4"/>
      <c r="B61" s="35"/>
      <c r="C61" s="23">
        <v>0</v>
      </c>
      <c r="D61" s="23">
        <v>0</v>
      </c>
      <c r="E61" s="23"/>
      <c r="F61" s="23"/>
      <c r="G61" s="23">
        <f t="shared" si="4"/>
        <v>0</v>
      </c>
    </row>
    <row r="62" spans="1:7" x14ac:dyDescent="0.25">
      <c r="A62" s="4"/>
      <c r="B62" s="29" t="s">
        <v>60</v>
      </c>
      <c r="C62" s="30">
        <f>SUM(C42:C61)</f>
        <v>13.5</v>
      </c>
      <c r="D62" s="30">
        <f t="shared" ref="D62:G62" si="5">SUM(D42:D61)</f>
        <v>3</v>
      </c>
      <c r="E62" s="30">
        <f t="shared" si="5"/>
        <v>8.34</v>
      </c>
      <c r="F62" s="30">
        <f t="shared" si="5"/>
        <v>1</v>
      </c>
      <c r="G62" s="30">
        <f t="shared" si="5"/>
        <v>25.84</v>
      </c>
    </row>
    <row r="63" spans="1:7" ht="15.75" thickBot="1" x14ac:dyDescent="0.3">
      <c r="A63" s="4"/>
      <c r="B63" s="36"/>
      <c r="C63" s="38"/>
      <c r="D63" s="38"/>
      <c r="E63" s="38"/>
      <c r="F63" s="38"/>
      <c r="G63" s="38"/>
    </row>
    <row r="64" spans="1:7" x14ac:dyDescent="0.25">
      <c r="A64" s="2"/>
      <c r="B64" s="40" t="s">
        <v>61</v>
      </c>
      <c r="C64" s="39">
        <f>C39</f>
        <v>53</v>
      </c>
      <c r="D64" s="39">
        <f>D39</f>
        <v>0</v>
      </c>
      <c r="E64" s="39">
        <f>E39</f>
        <v>5</v>
      </c>
      <c r="F64" s="39">
        <f t="shared" ref="F64" si="6">F39</f>
        <v>0</v>
      </c>
      <c r="G64" s="39">
        <f>G39</f>
        <v>58</v>
      </c>
    </row>
    <row r="65" spans="1:7" ht="15.75" thickBot="1" x14ac:dyDescent="0.3">
      <c r="A65" s="2"/>
      <c r="B65" s="42" t="s">
        <v>62</v>
      </c>
      <c r="C65" s="41">
        <f>C62</f>
        <v>13.5</v>
      </c>
      <c r="D65" s="41">
        <f>D62</f>
        <v>3</v>
      </c>
      <c r="E65" s="41">
        <f>E62</f>
        <v>8.34</v>
      </c>
      <c r="F65" s="41">
        <f t="shared" ref="F65:G65" si="7">F62</f>
        <v>1</v>
      </c>
      <c r="G65" s="41">
        <f t="shared" si="7"/>
        <v>25.84</v>
      </c>
    </row>
    <row r="66" spans="1:7" ht="15.75" thickBot="1" x14ac:dyDescent="0.3">
      <c r="A66" s="2"/>
      <c r="B66" s="44" t="s">
        <v>63</v>
      </c>
      <c r="C66" s="43">
        <f>SUM(C64:C65)</f>
        <v>66.5</v>
      </c>
      <c r="D66" s="43">
        <f>SUM(D64:D65)</f>
        <v>3</v>
      </c>
      <c r="E66" s="43">
        <f>SUM(E64:E65)</f>
        <v>13.34</v>
      </c>
      <c r="F66" s="43">
        <f t="shared" ref="F66:G66" si="8">SUM(F64:F65)</f>
        <v>1</v>
      </c>
      <c r="G66" s="43">
        <f t="shared" si="8"/>
        <v>83.84</v>
      </c>
    </row>
    <row r="67" spans="1:7" ht="15.75" thickBot="1" x14ac:dyDescent="0.3">
      <c r="A67" s="4"/>
      <c r="B67" s="34"/>
      <c r="C67" s="45"/>
      <c r="D67" s="45"/>
      <c r="E67" s="45"/>
      <c r="F67" s="45"/>
      <c r="G67" s="45"/>
    </row>
    <row r="68" spans="1:7" x14ac:dyDescent="0.25">
      <c r="A68" s="4"/>
      <c r="B68" s="47" t="s">
        <v>64</v>
      </c>
      <c r="C68" s="46"/>
      <c r="D68" s="46"/>
      <c r="E68" s="46"/>
      <c r="F68" s="46"/>
      <c r="G68" s="46">
        <f t="shared" ref="G68" si="9">G137/(SUM(G204:G214))</f>
        <v>0.64436366434248615</v>
      </c>
    </row>
    <row r="69" spans="1:7" x14ac:dyDescent="0.25">
      <c r="A69" s="4"/>
      <c r="B69" s="49" t="s">
        <v>65</v>
      </c>
      <c r="C69" s="48"/>
      <c r="D69" s="48"/>
      <c r="E69" s="48"/>
      <c r="F69" s="48"/>
      <c r="G69" s="48">
        <f t="shared" ref="G69" si="10">(G108+G109+G110+G113)/G129</f>
        <v>0.76412127085131099</v>
      </c>
    </row>
    <row r="70" spans="1:7" x14ac:dyDescent="0.25">
      <c r="A70" s="4"/>
      <c r="B70" s="51" t="s">
        <v>66</v>
      </c>
      <c r="C70" s="48"/>
      <c r="D70" s="48"/>
      <c r="E70" s="48"/>
      <c r="F70" s="48"/>
      <c r="G70" s="48">
        <f t="shared" ref="G70" si="11">(G103+G104+G106+G107+G111+G112+G114+G115+G118+G119+G120+G121+G122+G105+G123+G124+G125+G126+G127)/G129</f>
        <v>0.23587872914868901</v>
      </c>
    </row>
    <row r="71" spans="1:7" ht="15.75" thickBot="1" x14ac:dyDescent="0.3">
      <c r="A71" s="4"/>
      <c r="B71" s="53" t="s">
        <v>67</v>
      </c>
      <c r="C71" s="52"/>
      <c r="D71" s="52"/>
      <c r="E71" s="52"/>
      <c r="F71" s="52"/>
      <c r="G71" s="52">
        <f t="shared" ref="G71" si="12">SUM(G206:G214)/G86</f>
        <v>0.12601183026378815</v>
      </c>
    </row>
    <row r="72" spans="1:7" x14ac:dyDescent="0.25">
      <c r="A72" s="50"/>
      <c r="B72" s="54"/>
      <c r="C72" s="55"/>
      <c r="D72" s="55"/>
      <c r="E72" s="55"/>
      <c r="F72" s="55"/>
      <c r="G72" s="55"/>
    </row>
    <row r="73" spans="1:7" x14ac:dyDescent="0.25">
      <c r="A73" s="56"/>
      <c r="B73" s="57" t="s">
        <v>68</v>
      </c>
      <c r="C73" s="58" t="str">
        <f>C1</f>
        <v>Operating</v>
      </c>
      <c r="D73" s="58" t="str">
        <f>D1</f>
        <v>Weights</v>
      </c>
      <c r="E73" s="58" t="s">
        <v>3</v>
      </c>
      <c r="F73" s="58" t="str">
        <f t="shared" ref="F73" si="13">F1</f>
        <v>NSLP</v>
      </c>
      <c r="G73" s="58" t="str">
        <f>G1</f>
        <v>Inspirada</v>
      </c>
    </row>
    <row r="74" spans="1:7" x14ac:dyDescent="0.25">
      <c r="A74" s="59">
        <v>3110</v>
      </c>
      <c r="B74" s="60" t="s">
        <v>69</v>
      </c>
      <c r="C74" s="7">
        <f>(C2*C5)*0.97</f>
        <v>8370082.6736999992</v>
      </c>
      <c r="D74" s="7">
        <f t="shared" ref="D74" si="14">(D2*D5)*0.95</f>
        <v>0</v>
      </c>
      <c r="E74" s="7"/>
      <c r="F74" s="7"/>
      <c r="G74" s="7">
        <f t="shared" ref="G74:G85" si="15">SUM(C74:F74)</f>
        <v>8370082.6736999992</v>
      </c>
    </row>
    <row r="75" spans="1:7" x14ac:dyDescent="0.25">
      <c r="A75" s="59"/>
      <c r="B75" s="62" t="s">
        <v>70</v>
      </c>
      <c r="C75" s="7">
        <f>(C3*C5)*0.95</f>
        <v>0</v>
      </c>
      <c r="D75" s="7">
        <f t="shared" ref="D75" si="16">(D3*D5)*0.95</f>
        <v>0</v>
      </c>
      <c r="E75" s="7">
        <f>SPED!D9</f>
        <v>0</v>
      </c>
      <c r="F75" s="7"/>
      <c r="G75" s="7">
        <f t="shared" si="15"/>
        <v>0</v>
      </c>
    </row>
    <row r="76" spans="1:7" x14ac:dyDescent="0.25">
      <c r="A76" s="59">
        <v>4500</v>
      </c>
      <c r="B76" s="62" t="s">
        <v>71</v>
      </c>
      <c r="C76" s="7">
        <f>($C$19*C25)*3.15*180</f>
        <v>0</v>
      </c>
      <c r="D76" s="7">
        <f t="shared" ref="D76" si="17">($C$19*D25)*3.15*180</f>
        <v>0</v>
      </c>
      <c r="E76" s="7"/>
      <c r="F76" s="7">
        <f>(($C$19*F25)*4*180)</f>
        <v>107910</v>
      </c>
      <c r="G76" s="7">
        <f t="shared" si="15"/>
        <v>107910</v>
      </c>
    </row>
    <row r="77" spans="1:7" x14ac:dyDescent="0.25">
      <c r="A77" s="59">
        <v>4500</v>
      </c>
      <c r="B77" s="62" t="s">
        <v>72</v>
      </c>
      <c r="C77" s="7">
        <f>950*C22</f>
        <v>0</v>
      </c>
      <c r="D77" s="7">
        <f t="shared" ref="D77" si="18">950*D22</f>
        <v>0</v>
      </c>
      <c r="E77" s="7">
        <f>950*E22</f>
        <v>96900</v>
      </c>
      <c r="F77" s="7"/>
      <c r="G77" s="7">
        <f t="shared" si="15"/>
        <v>96900</v>
      </c>
    </row>
    <row r="78" spans="1:7" x14ac:dyDescent="0.25">
      <c r="A78" s="143">
        <v>3115</v>
      </c>
      <c r="B78" s="141" t="s">
        <v>73</v>
      </c>
      <c r="C78" s="37">
        <f>3200*C22</f>
        <v>0</v>
      </c>
      <c r="D78" s="37">
        <f t="shared" ref="D78" si="19">3200*D22</f>
        <v>0</v>
      </c>
      <c r="E78" s="37">
        <f>2755*E22</f>
        <v>281010</v>
      </c>
      <c r="F78" s="37"/>
      <c r="G78" s="7">
        <f t="shared" si="15"/>
        <v>281010</v>
      </c>
    </row>
    <row r="79" spans="1:7" x14ac:dyDescent="0.25">
      <c r="A79" s="63"/>
      <c r="B79" s="62" t="s">
        <v>74</v>
      </c>
      <c r="C79" s="37">
        <f>1400*C23</f>
        <v>0</v>
      </c>
      <c r="D79" s="37">
        <f>1634.62*D23</f>
        <v>11442.34</v>
      </c>
      <c r="E79" s="37"/>
      <c r="F79" s="37"/>
      <c r="G79" s="7">
        <f t="shared" si="15"/>
        <v>11442.34</v>
      </c>
    </row>
    <row r="80" spans="1:7" x14ac:dyDescent="0.25">
      <c r="A80" s="59">
        <v>3200</v>
      </c>
      <c r="B80" s="62" t="s">
        <v>75</v>
      </c>
      <c r="C80" s="7">
        <f>830*C24</f>
        <v>0</v>
      </c>
      <c r="D80" s="7">
        <f>837.64*D24</f>
        <v>56959.519999999997</v>
      </c>
      <c r="E80" s="7"/>
      <c r="F80" s="7"/>
      <c r="G80" s="7">
        <f t="shared" si="15"/>
        <v>56959.519999999997</v>
      </c>
    </row>
    <row r="81" spans="1:7" x14ac:dyDescent="0.25">
      <c r="A81" s="59"/>
      <c r="B81" s="62" t="s">
        <v>76</v>
      </c>
      <c r="C81" s="7">
        <f>240*C26</f>
        <v>0</v>
      </c>
      <c r="D81" s="7">
        <f>240.87*D26</f>
        <v>31072.23</v>
      </c>
      <c r="E81" s="7"/>
      <c r="F81" s="7"/>
      <c r="G81" s="7">
        <f t="shared" si="15"/>
        <v>31072.23</v>
      </c>
    </row>
    <row r="82" spans="1:7" x14ac:dyDescent="0.25">
      <c r="A82" s="64"/>
      <c r="B82" s="62" t="s">
        <v>77</v>
      </c>
      <c r="C82" s="7"/>
      <c r="D82" s="7"/>
      <c r="E82" s="7"/>
      <c r="F82" s="7"/>
      <c r="G82" s="7">
        <f t="shared" si="15"/>
        <v>0</v>
      </c>
    </row>
    <row r="83" spans="1:7" x14ac:dyDescent="0.25">
      <c r="A83" s="59">
        <v>1510</v>
      </c>
      <c r="B83" s="154" t="s">
        <v>78</v>
      </c>
      <c r="C83" s="7">
        <v>0</v>
      </c>
      <c r="D83" s="7"/>
      <c r="E83" s="7"/>
      <c r="F83" s="7"/>
      <c r="G83" s="7">
        <f t="shared" si="15"/>
        <v>0</v>
      </c>
    </row>
    <row r="84" spans="1:7" x14ac:dyDescent="0.25">
      <c r="A84" s="59"/>
      <c r="B84" s="62" t="s">
        <v>77</v>
      </c>
      <c r="C84" s="7"/>
      <c r="D84" s="7"/>
      <c r="E84" s="7"/>
      <c r="F84" s="7"/>
      <c r="G84" s="7">
        <f t="shared" si="15"/>
        <v>0</v>
      </c>
    </row>
    <row r="85" spans="1:7" ht="15.75" thickBot="1" x14ac:dyDescent="0.3">
      <c r="A85" s="63"/>
      <c r="B85" s="65" t="s">
        <v>79</v>
      </c>
      <c r="C85" s="37">
        <f>C155</f>
        <v>17960</v>
      </c>
      <c r="D85" s="37">
        <f t="shared" ref="D85:F85" si="20">D155</f>
        <v>720</v>
      </c>
      <c r="E85" s="37">
        <f t="shared" si="20"/>
        <v>3201.6</v>
      </c>
      <c r="F85" s="37">
        <f t="shared" si="20"/>
        <v>240</v>
      </c>
      <c r="G85" s="7">
        <f t="shared" si="15"/>
        <v>22121.599999999999</v>
      </c>
    </row>
    <row r="86" spans="1:7" ht="15.75" thickBot="1" x14ac:dyDescent="0.3">
      <c r="A86" s="66"/>
      <c r="B86" s="67" t="s">
        <v>80</v>
      </c>
      <c r="C86" s="68">
        <f>SUM(C74:C85)</f>
        <v>8388042.6736999992</v>
      </c>
      <c r="D86" s="68">
        <f>SUM(D74:D85)</f>
        <v>100194.09</v>
      </c>
      <c r="E86" s="68">
        <f>SUM(E74:E85)</f>
        <v>381111.6</v>
      </c>
      <c r="F86" s="68">
        <f t="shared" ref="F86:G86" si="21">SUM(F74:F85)</f>
        <v>108150</v>
      </c>
      <c r="G86" s="68">
        <f t="shared" si="21"/>
        <v>8977498.3636999987</v>
      </c>
    </row>
    <row r="87" spans="1:7" hidden="1" x14ac:dyDescent="0.25">
      <c r="A87" s="59">
        <f>A74</f>
        <v>3110</v>
      </c>
      <c r="B87" s="60" t="s">
        <v>69</v>
      </c>
      <c r="C87" s="61">
        <f>C2*C5</f>
        <v>8628951.209999999</v>
      </c>
      <c r="D87" s="61">
        <f>D2*D5</f>
        <v>0</v>
      </c>
      <c r="E87" s="61">
        <f>E2*E5</f>
        <v>0</v>
      </c>
      <c r="F87" s="61">
        <f t="shared" ref="F87:G87" si="22">F2*F5</f>
        <v>0</v>
      </c>
      <c r="G87" s="61">
        <f t="shared" si="22"/>
        <v>8628951.209999999</v>
      </c>
    </row>
    <row r="88" spans="1:7" hidden="1" x14ac:dyDescent="0.25">
      <c r="A88" s="59"/>
      <c r="B88" s="62" t="s">
        <v>201</v>
      </c>
      <c r="C88" s="61">
        <f>C3*C5</f>
        <v>0</v>
      </c>
      <c r="D88" s="61">
        <f>D3*D5</f>
        <v>0</v>
      </c>
      <c r="E88" s="61">
        <f>E3*E5</f>
        <v>0</v>
      </c>
      <c r="F88" s="61">
        <f t="shared" ref="F88:G88" si="23">F3*F5</f>
        <v>0</v>
      </c>
      <c r="G88" s="61">
        <f t="shared" si="23"/>
        <v>0</v>
      </c>
    </row>
    <row r="89" spans="1:7" hidden="1" x14ac:dyDescent="0.25">
      <c r="A89" s="59">
        <f t="shared" ref="A89:A91" si="24">A76</f>
        <v>4500</v>
      </c>
      <c r="B89" s="62" t="s">
        <v>71</v>
      </c>
      <c r="C89" s="61">
        <f t="shared" ref="C89:G98" si="25">C76</f>
        <v>0</v>
      </c>
      <c r="D89" s="61">
        <f t="shared" si="25"/>
        <v>0</v>
      </c>
      <c r="E89" s="61">
        <f t="shared" si="25"/>
        <v>0</v>
      </c>
      <c r="F89" s="61">
        <f t="shared" si="25"/>
        <v>107910</v>
      </c>
      <c r="G89" s="61">
        <f t="shared" si="25"/>
        <v>107910</v>
      </c>
    </row>
    <row r="90" spans="1:7" hidden="1" x14ac:dyDescent="0.25">
      <c r="A90" s="59">
        <f t="shared" si="24"/>
        <v>4500</v>
      </c>
      <c r="B90" s="62" t="s">
        <v>72</v>
      </c>
      <c r="C90" s="61">
        <f t="shared" si="25"/>
        <v>0</v>
      </c>
      <c r="D90" s="61">
        <f t="shared" si="25"/>
        <v>0</v>
      </c>
      <c r="E90" s="61">
        <f t="shared" si="25"/>
        <v>96900</v>
      </c>
      <c r="F90" s="61">
        <f t="shared" si="25"/>
        <v>0</v>
      </c>
      <c r="G90" s="61">
        <f t="shared" si="25"/>
        <v>96900</v>
      </c>
    </row>
    <row r="91" spans="1:7" hidden="1" x14ac:dyDescent="0.25">
      <c r="A91" s="59">
        <f t="shared" si="24"/>
        <v>3115</v>
      </c>
      <c r="B91" s="141" t="s">
        <v>73</v>
      </c>
      <c r="C91" s="61">
        <f t="shared" si="25"/>
        <v>0</v>
      </c>
      <c r="D91" s="61">
        <f t="shared" si="25"/>
        <v>0</v>
      </c>
      <c r="E91" s="61">
        <f t="shared" si="25"/>
        <v>281010</v>
      </c>
      <c r="F91" s="61">
        <f t="shared" si="25"/>
        <v>0</v>
      </c>
      <c r="G91" s="61">
        <f t="shared" si="25"/>
        <v>281010</v>
      </c>
    </row>
    <row r="92" spans="1:7" hidden="1" x14ac:dyDescent="0.25">
      <c r="A92" s="59"/>
      <c r="B92" s="62" t="s">
        <v>74</v>
      </c>
      <c r="C92" s="61">
        <f t="shared" si="25"/>
        <v>0</v>
      </c>
      <c r="D92" s="61">
        <f t="shared" si="25"/>
        <v>11442.34</v>
      </c>
      <c r="E92" s="61">
        <f t="shared" si="25"/>
        <v>0</v>
      </c>
      <c r="F92" s="61">
        <f t="shared" si="25"/>
        <v>0</v>
      </c>
      <c r="G92" s="61">
        <f t="shared" si="25"/>
        <v>11442.34</v>
      </c>
    </row>
    <row r="93" spans="1:7" hidden="1" x14ac:dyDescent="0.25">
      <c r="A93" s="59">
        <f t="shared" ref="A93" si="26">A80</f>
        <v>3200</v>
      </c>
      <c r="B93" s="62" t="s">
        <v>75</v>
      </c>
      <c r="C93" s="61">
        <f t="shared" si="25"/>
        <v>0</v>
      </c>
      <c r="D93" s="61">
        <f t="shared" si="25"/>
        <v>56959.519999999997</v>
      </c>
      <c r="E93" s="61">
        <f t="shared" si="25"/>
        <v>0</v>
      </c>
      <c r="F93" s="61">
        <f t="shared" si="25"/>
        <v>0</v>
      </c>
      <c r="G93" s="61">
        <f t="shared" si="25"/>
        <v>56959.519999999997</v>
      </c>
    </row>
    <row r="94" spans="1:7" hidden="1" x14ac:dyDescent="0.25">
      <c r="A94" s="59"/>
      <c r="B94" s="62" t="s">
        <v>76</v>
      </c>
      <c r="C94" s="61">
        <f t="shared" si="25"/>
        <v>0</v>
      </c>
      <c r="D94" s="61">
        <f t="shared" si="25"/>
        <v>31072.23</v>
      </c>
      <c r="E94" s="61">
        <f t="shared" si="25"/>
        <v>0</v>
      </c>
      <c r="F94" s="61">
        <f t="shared" si="25"/>
        <v>0</v>
      </c>
      <c r="G94" s="61">
        <f t="shared" si="25"/>
        <v>31072.23</v>
      </c>
    </row>
    <row r="95" spans="1:7" hidden="1" x14ac:dyDescent="0.25">
      <c r="A95" s="64"/>
      <c r="B95" s="62" t="s">
        <v>202</v>
      </c>
      <c r="C95" s="61">
        <f t="shared" si="25"/>
        <v>0</v>
      </c>
      <c r="D95" s="61">
        <f t="shared" si="25"/>
        <v>0</v>
      </c>
      <c r="E95" s="61">
        <f t="shared" si="25"/>
        <v>0</v>
      </c>
      <c r="F95" s="61">
        <f t="shared" si="25"/>
        <v>0</v>
      </c>
      <c r="G95" s="61">
        <f t="shared" si="25"/>
        <v>0</v>
      </c>
    </row>
    <row r="96" spans="1:7" hidden="1" x14ac:dyDescent="0.25">
      <c r="A96" s="59">
        <f t="shared" ref="A96" si="27">A83</f>
        <v>1510</v>
      </c>
      <c r="B96" s="62" t="s">
        <v>203</v>
      </c>
      <c r="C96" s="61">
        <f t="shared" si="25"/>
        <v>0</v>
      </c>
      <c r="D96" s="61">
        <f t="shared" si="25"/>
        <v>0</v>
      </c>
      <c r="E96" s="61">
        <f t="shared" si="25"/>
        <v>0</v>
      </c>
      <c r="F96" s="61">
        <f t="shared" si="25"/>
        <v>0</v>
      </c>
      <c r="G96" s="61">
        <f t="shared" si="25"/>
        <v>0</v>
      </c>
    </row>
    <row r="97" spans="1:8" hidden="1" x14ac:dyDescent="0.25">
      <c r="A97" s="59"/>
      <c r="B97" s="62" t="s">
        <v>77</v>
      </c>
      <c r="C97" s="61">
        <f t="shared" si="25"/>
        <v>0</v>
      </c>
      <c r="D97" s="61">
        <f t="shared" si="25"/>
        <v>0</v>
      </c>
      <c r="E97" s="61">
        <f t="shared" si="25"/>
        <v>0</v>
      </c>
      <c r="F97" s="61">
        <f t="shared" si="25"/>
        <v>0</v>
      </c>
      <c r="G97" s="61">
        <f t="shared" si="25"/>
        <v>0</v>
      </c>
    </row>
    <row r="98" spans="1:8" ht="15.75" hidden="1" thickBot="1" x14ac:dyDescent="0.3">
      <c r="A98" s="59"/>
      <c r="B98" s="65" t="s">
        <v>204</v>
      </c>
      <c r="C98" s="61">
        <f t="shared" si="25"/>
        <v>17960</v>
      </c>
      <c r="D98" s="61">
        <f t="shared" si="25"/>
        <v>720</v>
      </c>
      <c r="E98" s="61">
        <f t="shared" si="25"/>
        <v>3201.6</v>
      </c>
      <c r="F98" s="61">
        <f t="shared" si="25"/>
        <v>240</v>
      </c>
      <c r="G98" s="61">
        <f t="shared" si="25"/>
        <v>22121.599999999999</v>
      </c>
    </row>
    <row r="99" spans="1:8" ht="15.75" hidden="1" thickBot="1" x14ac:dyDescent="0.3">
      <c r="A99" s="66"/>
      <c r="B99" s="67" t="s">
        <v>81</v>
      </c>
      <c r="C99" s="68">
        <f>SUM(C87:C98)</f>
        <v>8646911.209999999</v>
      </c>
      <c r="D99" s="68">
        <f>SUM(D87:D98)</f>
        <v>100194.09</v>
      </c>
      <c r="E99" s="68"/>
      <c r="F99" s="68">
        <f t="shared" ref="F99:G99" si="28">SUM(F87:F98)</f>
        <v>108150</v>
      </c>
      <c r="G99" s="68">
        <f t="shared" si="28"/>
        <v>9236366.8999999985</v>
      </c>
    </row>
    <row r="100" spans="1:8" x14ac:dyDescent="0.25">
      <c r="A100" s="50"/>
      <c r="B100" s="70"/>
      <c r="C100" s="55"/>
      <c r="D100" s="55"/>
      <c r="E100" s="55"/>
      <c r="F100" s="55"/>
      <c r="G100" s="55"/>
    </row>
    <row r="101" spans="1:8" ht="15.75" thickBot="1" x14ac:dyDescent="0.3">
      <c r="A101" s="72"/>
      <c r="B101" s="73" t="s">
        <v>82</v>
      </c>
      <c r="C101" s="74" t="str">
        <f>C1</f>
        <v>Operating</v>
      </c>
      <c r="D101" s="74" t="str">
        <f>D1</f>
        <v>Weights</v>
      </c>
      <c r="E101" s="74" t="str">
        <f>E1</f>
        <v>SPED</v>
      </c>
      <c r="F101" s="74" t="str">
        <f t="shared" ref="F101:G101" si="29">F1</f>
        <v>NSLP</v>
      </c>
      <c r="G101" s="74" t="str">
        <f t="shared" si="29"/>
        <v>Inspirada</v>
      </c>
    </row>
    <row r="102" spans="1:8" x14ac:dyDescent="0.25">
      <c r="A102" s="78"/>
      <c r="B102" s="76" t="s">
        <v>83</v>
      </c>
      <c r="C102" s="77"/>
      <c r="D102" s="77"/>
      <c r="E102" s="77"/>
      <c r="F102" s="77"/>
      <c r="G102" s="77"/>
    </row>
    <row r="103" spans="1:8" x14ac:dyDescent="0.25">
      <c r="A103" s="59">
        <v>104</v>
      </c>
      <c r="B103" s="62" t="s">
        <v>41</v>
      </c>
      <c r="C103" s="15">
        <f>(135000*1.015*1.02)+8680</f>
        <v>148445.5</v>
      </c>
      <c r="D103" s="7"/>
      <c r="E103" s="7"/>
      <c r="F103" s="7"/>
      <c r="G103" s="7">
        <f t="shared" ref="G103:G115" si="30">SUM(C103:F103)</f>
        <v>148445.5</v>
      </c>
    </row>
    <row r="104" spans="1:8" x14ac:dyDescent="0.25">
      <c r="A104" s="59">
        <v>104</v>
      </c>
      <c r="B104" s="62" t="s">
        <v>84</v>
      </c>
      <c r="C104" s="15">
        <f>(98205+72000)*1.02</f>
        <v>173609.1</v>
      </c>
      <c r="D104" s="7"/>
      <c r="E104" s="7"/>
      <c r="F104" s="7"/>
      <c r="G104" s="7">
        <f t="shared" si="30"/>
        <v>173609.1</v>
      </c>
    </row>
    <row r="105" spans="1:8" x14ac:dyDescent="0.25">
      <c r="A105" s="59">
        <v>105</v>
      </c>
      <c r="B105" s="62" t="s">
        <v>45</v>
      </c>
      <c r="C105" s="15">
        <f>72000*1.02</f>
        <v>73440</v>
      </c>
      <c r="D105" s="7"/>
      <c r="E105" s="7"/>
      <c r="F105" s="7"/>
      <c r="G105" s="7">
        <f t="shared" si="30"/>
        <v>73440</v>
      </c>
    </row>
    <row r="106" spans="1:8" x14ac:dyDescent="0.25">
      <c r="A106" s="59">
        <v>105</v>
      </c>
      <c r="B106" s="62" t="s">
        <v>210</v>
      </c>
      <c r="C106" s="15"/>
      <c r="D106" s="7"/>
      <c r="E106" s="7"/>
      <c r="F106" s="7"/>
      <c r="G106" s="7">
        <f t="shared" si="30"/>
        <v>0</v>
      </c>
      <c r="H106" s="181">
        <v>55000</v>
      </c>
    </row>
    <row r="107" spans="1:8" x14ac:dyDescent="0.25">
      <c r="A107" s="59" t="s">
        <v>86</v>
      </c>
      <c r="B107" s="62" t="s">
        <v>87</v>
      </c>
      <c r="C107" s="7">
        <f>62000*1.02</f>
        <v>63240</v>
      </c>
      <c r="D107" s="7"/>
      <c r="E107" s="7"/>
      <c r="F107" s="7"/>
      <c r="G107" s="7">
        <f t="shared" si="30"/>
        <v>63240</v>
      </c>
    </row>
    <row r="108" spans="1:8" x14ac:dyDescent="0.25">
      <c r="A108" s="59" t="s">
        <v>88</v>
      </c>
      <c r="B108" s="62" t="s">
        <v>89</v>
      </c>
      <c r="C108" s="7">
        <f>46725*C39</f>
        <v>2476425</v>
      </c>
      <c r="D108" s="7"/>
      <c r="E108" s="7"/>
      <c r="F108" s="7"/>
      <c r="G108" s="7">
        <f t="shared" si="30"/>
        <v>2476425</v>
      </c>
    </row>
    <row r="109" spans="1:8" hidden="1" x14ac:dyDescent="0.25">
      <c r="A109" s="4">
        <v>101</v>
      </c>
      <c r="B109" s="62" t="s">
        <v>90</v>
      </c>
      <c r="C109" s="14">
        <v>0</v>
      </c>
      <c r="D109" s="14"/>
      <c r="E109" s="14"/>
      <c r="F109" s="14"/>
      <c r="G109" s="7">
        <f t="shared" si="30"/>
        <v>0</v>
      </c>
    </row>
    <row r="110" spans="1:8" x14ac:dyDescent="0.25">
      <c r="A110" s="59">
        <v>101</v>
      </c>
      <c r="B110" s="62" t="s">
        <v>30</v>
      </c>
      <c r="C110" s="7">
        <v>0</v>
      </c>
      <c r="D110" s="7"/>
      <c r="E110" s="7">
        <f>46725*E30</f>
        <v>233625</v>
      </c>
      <c r="F110" s="7"/>
      <c r="G110" s="7">
        <f t="shared" si="30"/>
        <v>233625</v>
      </c>
    </row>
    <row r="111" spans="1:8" x14ac:dyDescent="0.25">
      <c r="A111" s="59">
        <v>107</v>
      </c>
      <c r="B111" s="62" t="s">
        <v>91</v>
      </c>
      <c r="C111" s="7">
        <f>(49200+38500)*1.015*1.02</f>
        <v>90795.809999999983</v>
      </c>
      <c r="D111" s="7"/>
      <c r="E111" s="7"/>
      <c r="F111" s="7"/>
      <c r="G111" s="7">
        <f t="shared" si="30"/>
        <v>90795.809999999983</v>
      </c>
    </row>
    <row r="112" spans="1:8" x14ac:dyDescent="0.25">
      <c r="A112" s="59">
        <v>107</v>
      </c>
      <c r="B112" s="62" t="s">
        <v>92</v>
      </c>
      <c r="C112" s="7">
        <f>(14.5*8*190)*(C49+C50)</f>
        <v>44080</v>
      </c>
      <c r="D112" s="7"/>
      <c r="E112" s="7"/>
      <c r="F112" s="7"/>
      <c r="G112" s="7">
        <f t="shared" si="30"/>
        <v>44080</v>
      </c>
    </row>
    <row r="113" spans="1:8" x14ac:dyDescent="0.25">
      <c r="A113" s="59">
        <v>102</v>
      </c>
      <c r="B113" s="62" t="s">
        <v>93</v>
      </c>
      <c r="C113" s="7">
        <f>(13.75*8*180)*C51</f>
        <v>29700</v>
      </c>
      <c r="D113" s="7">
        <f>(13.75*8*180)*D51</f>
        <v>39600</v>
      </c>
      <c r="E113" s="7">
        <f>(13.75*8*180)*E51</f>
        <v>99000</v>
      </c>
      <c r="F113" s="7">
        <f>(14.5*8*180)*F51</f>
        <v>0</v>
      </c>
      <c r="G113" s="7">
        <f t="shared" si="30"/>
        <v>168300</v>
      </c>
    </row>
    <row r="114" spans="1:8" x14ac:dyDescent="0.25">
      <c r="A114" s="59">
        <v>107</v>
      </c>
      <c r="B114" s="62" t="s">
        <v>94</v>
      </c>
      <c r="C114" s="7">
        <f>(13.75*8*240)*C52</f>
        <v>52800</v>
      </c>
      <c r="D114" s="7"/>
      <c r="E114" s="7"/>
      <c r="F114" s="7"/>
      <c r="G114" s="7">
        <f t="shared" si="30"/>
        <v>52800</v>
      </c>
    </row>
    <row r="115" spans="1:8" x14ac:dyDescent="0.25">
      <c r="A115" s="59">
        <v>107</v>
      </c>
      <c r="B115" s="62" t="s">
        <v>53</v>
      </c>
      <c r="C115" s="7">
        <f>(13*8*180)*C54</f>
        <v>0</v>
      </c>
      <c r="D115" s="7">
        <f>(12.75*8*180)*D54</f>
        <v>0</v>
      </c>
      <c r="E115" s="7"/>
      <c r="F115" s="7"/>
      <c r="G115" s="7">
        <f t="shared" si="30"/>
        <v>0</v>
      </c>
    </row>
    <row r="116" spans="1:8" ht="15.75" thickBot="1" x14ac:dyDescent="0.3">
      <c r="A116" s="72"/>
      <c r="B116" s="82" t="s">
        <v>95</v>
      </c>
      <c r="C116" s="83">
        <f>SUM(C103:C115)</f>
        <v>3152535.41</v>
      </c>
      <c r="D116" s="83">
        <f>SUM(D103:D115)</f>
        <v>39600</v>
      </c>
      <c r="E116" s="83">
        <f t="shared" ref="E116:G116" si="31">SUM(E103:E115)</f>
        <v>332625</v>
      </c>
      <c r="F116" s="83">
        <f t="shared" si="31"/>
        <v>0</v>
      </c>
      <c r="G116" s="83">
        <f t="shared" si="31"/>
        <v>3524760.41</v>
      </c>
    </row>
    <row r="117" spans="1:8" x14ac:dyDescent="0.25">
      <c r="A117" s="75"/>
      <c r="B117" s="84" t="s">
        <v>96</v>
      </c>
      <c r="C117" s="150" t="str">
        <f>C1</f>
        <v>Operating</v>
      </c>
      <c r="D117" s="150" t="str">
        <f>D1</f>
        <v>Weights</v>
      </c>
      <c r="E117" s="150" t="str">
        <f>E1</f>
        <v>SPED</v>
      </c>
      <c r="F117" s="150" t="str">
        <f t="shared" ref="F117:G117" si="32">F1</f>
        <v>NSLP</v>
      </c>
      <c r="G117" s="150" t="str">
        <f t="shared" si="32"/>
        <v>Inspirada</v>
      </c>
    </row>
    <row r="118" spans="1:8" x14ac:dyDescent="0.25">
      <c r="A118" s="5"/>
      <c r="B118" s="62"/>
      <c r="C118" s="7"/>
      <c r="D118" s="7"/>
      <c r="E118" s="7"/>
      <c r="F118" s="7"/>
      <c r="G118" s="7">
        <f t="shared" ref="G118:G127" si="33">SUM(C118:F118)</f>
        <v>0</v>
      </c>
    </row>
    <row r="119" spans="1:8" x14ac:dyDescent="0.25">
      <c r="A119" s="85"/>
      <c r="B119" s="62" t="s">
        <v>54</v>
      </c>
      <c r="C119" s="7"/>
      <c r="D119" s="7"/>
      <c r="E119" s="7">
        <f>(63000*0.5)*1.02</f>
        <v>32130</v>
      </c>
      <c r="F119" s="7"/>
      <c r="G119" s="7">
        <f t="shared" si="33"/>
        <v>32130</v>
      </c>
      <c r="H119" t="s">
        <v>226</v>
      </c>
    </row>
    <row r="120" spans="1:8" x14ac:dyDescent="0.25">
      <c r="A120" s="59"/>
      <c r="B120" s="62" t="s">
        <v>55</v>
      </c>
      <c r="C120" s="7"/>
      <c r="D120" s="7"/>
      <c r="E120" s="15">
        <f>41000*1.015*1.02</f>
        <v>42447.299999999996</v>
      </c>
      <c r="F120" s="7"/>
      <c r="G120" s="7">
        <f t="shared" si="33"/>
        <v>42447.299999999996</v>
      </c>
    </row>
    <row r="121" spans="1:8" x14ac:dyDescent="0.25">
      <c r="A121" s="59"/>
      <c r="B121" s="62" t="s">
        <v>56</v>
      </c>
      <c r="C121" s="7"/>
      <c r="D121" s="7"/>
      <c r="E121" s="7">
        <f>33500*1.02</f>
        <v>34170</v>
      </c>
      <c r="F121" s="7"/>
      <c r="G121" s="7">
        <f t="shared" si="33"/>
        <v>34170</v>
      </c>
      <c r="H121" t="s">
        <v>232</v>
      </c>
    </row>
    <row r="122" spans="1:8" x14ac:dyDescent="0.25">
      <c r="A122" s="59"/>
      <c r="B122" s="62" t="s">
        <v>97</v>
      </c>
      <c r="C122" s="7"/>
      <c r="D122" s="7"/>
      <c r="E122" s="15">
        <f>16334*1.015*1.02</f>
        <v>16910.590199999999</v>
      </c>
      <c r="F122" s="7"/>
      <c r="G122" s="7">
        <f t="shared" si="33"/>
        <v>16910.590199999999</v>
      </c>
      <c r="H122" t="s">
        <v>233</v>
      </c>
    </row>
    <row r="123" spans="1:8" x14ac:dyDescent="0.25">
      <c r="A123" s="59"/>
      <c r="B123" s="62" t="s">
        <v>58</v>
      </c>
      <c r="C123" s="7"/>
      <c r="D123" s="7"/>
      <c r="E123" s="7">
        <f>32500*1.02</f>
        <v>33150</v>
      </c>
      <c r="F123" s="7"/>
      <c r="G123" s="7">
        <f t="shared" si="33"/>
        <v>33150</v>
      </c>
      <c r="H123" t="s">
        <v>234</v>
      </c>
    </row>
    <row r="124" spans="1:8" x14ac:dyDescent="0.25">
      <c r="A124" s="59"/>
      <c r="B124" s="62" t="s">
        <v>98</v>
      </c>
      <c r="C124" s="7">
        <v>0</v>
      </c>
      <c r="D124" s="15">
        <f>42000*1.015*1.02</f>
        <v>43482.599999999991</v>
      </c>
      <c r="E124" s="7"/>
      <c r="F124" s="7"/>
      <c r="G124" s="7">
        <f t="shared" si="33"/>
        <v>43482.599999999991</v>
      </c>
    </row>
    <row r="125" spans="1:8" x14ac:dyDescent="0.25">
      <c r="A125" s="59"/>
      <c r="B125" s="62" t="s">
        <v>99</v>
      </c>
      <c r="C125" s="7">
        <v>0</v>
      </c>
      <c r="D125" s="7">
        <v>0</v>
      </c>
      <c r="E125" s="7"/>
      <c r="F125" s="7">
        <v>0</v>
      </c>
      <c r="G125" s="7">
        <f t="shared" si="33"/>
        <v>0</v>
      </c>
    </row>
    <row r="126" spans="1:8" x14ac:dyDescent="0.25">
      <c r="A126" s="59">
        <v>107</v>
      </c>
      <c r="B126" s="62" t="s">
        <v>100</v>
      </c>
      <c r="C126" s="146"/>
      <c r="D126" s="7">
        <f t="shared" ref="D126" si="34">(12.5*6*185)*D53</f>
        <v>0</v>
      </c>
      <c r="E126" s="146"/>
      <c r="F126" s="7">
        <f>(13.75*7*180)*F53</f>
        <v>17325</v>
      </c>
      <c r="G126" s="7">
        <f t="shared" si="33"/>
        <v>17325</v>
      </c>
    </row>
    <row r="127" spans="1:8" x14ac:dyDescent="0.25">
      <c r="A127" s="59"/>
      <c r="B127" s="62" t="s">
        <v>101</v>
      </c>
      <c r="C127" s="37">
        <f>125*180</f>
        <v>22500</v>
      </c>
      <c r="D127" s="37"/>
      <c r="E127" s="37"/>
      <c r="F127" s="37"/>
      <c r="G127" s="7">
        <f t="shared" si="33"/>
        <v>22500</v>
      </c>
    </row>
    <row r="128" spans="1:8" ht="15.75" thickBot="1" x14ac:dyDescent="0.3">
      <c r="A128" s="72"/>
      <c r="B128" s="82" t="s">
        <v>102</v>
      </c>
      <c r="C128" s="87">
        <f>SUM(C118:C127)</f>
        <v>22500</v>
      </c>
      <c r="D128" s="87">
        <f>SUM(D118:D127)</f>
        <v>43482.599999999991</v>
      </c>
      <c r="E128" s="87">
        <f>SUM(E118:E127)</f>
        <v>158807.89019999999</v>
      </c>
      <c r="F128" s="87">
        <f t="shared" ref="F128:G128" si="35">SUM(F118:F127)</f>
        <v>17325</v>
      </c>
      <c r="G128" s="87">
        <f t="shared" si="35"/>
        <v>242115.4902</v>
      </c>
    </row>
    <row r="129" spans="1:7" ht="15.75" thickBot="1" x14ac:dyDescent="0.3">
      <c r="A129" s="88"/>
      <c r="B129" s="89" t="s">
        <v>103</v>
      </c>
      <c r="C129" s="90">
        <f>C116+C128</f>
        <v>3175035.41</v>
      </c>
      <c r="D129" s="90">
        <f>D116+D128</f>
        <v>83082.599999999991</v>
      </c>
      <c r="E129" s="90">
        <f>E116+E128</f>
        <v>491432.89020000002</v>
      </c>
      <c r="F129" s="90">
        <f t="shared" ref="F129:G129" si="36">F116+F128</f>
        <v>17325</v>
      </c>
      <c r="G129" s="90">
        <f t="shared" si="36"/>
        <v>3766875.9002</v>
      </c>
    </row>
    <row r="130" spans="1:7" x14ac:dyDescent="0.25">
      <c r="A130" s="93">
        <v>230</v>
      </c>
      <c r="B130" s="62" t="s">
        <v>104</v>
      </c>
      <c r="C130" s="61">
        <f>C129*0.2975</f>
        <v>944573.03447499999</v>
      </c>
      <c r="D130" s="61">
        <f t="shared" ref="D130:F130" si="37">D129*0.2975</f>
        <v>24717.073499999995</v>
      </c>
      <c r="E130" s="61">
        <f t="shared" si="37"/>
        <v>146201.28483449999</v>
      </c>
      <c r="F130" s="61">
        <f t="shared" si="37"/>
        <v>5154.1875</v>
      </c>
      <c r="G130" s="61">
        <f>SUM(C130:F130)</f>
        <v>1120645.5803095</v>
      </c>
    </row>
    <row r="131" spans="1:7" x14ac:dyDescent="0.25">
      <c r="A131" s="64"/>
      <c r="B131" s="62" t="s">
        <v>105</v>
      </c>
      <c r="C131" s="14">
        <f>((C129-C103)*0.18)+(C103*0.04)</f>
        <v>550724.00379999995</v>
      </c>
      <c r="D131" s="14">
        <f>D129*0.17</f>
        <v>14124.041999999999</v>
      </c>
      <c r="E131" s="14">
        <f>E129*0.175</f>
        <v>86000.755785000001</v>
      </c>
      <c r="F131" s="14">
        <f>F129*0.14</f>
        <v>2425.5000000000005</v>
      </c>
      <c r="G131" s="61">
        <f t="shared" ref="G131:G135" si="38">SUM(C131:F131)</f>
        <v>653274.30158500001</v>
      </c>
    </row>
    <row r="132" spans="1:7" x14ac:dyDescent="0.25">
      <c r="A132" s="59">
        <v>150</v>
      </c>
      <c r="B132" s="62" t="s">
        <v>106</v>
      </c>
      <c r="C132" s="11">
        <f>(125*C66)+(125*8)+((C42*2000)+(C43*1500)+(C44*1200)+(C45*1200)+(C46*1200)+(C47*1000)+(C48*1000)+(C49*300)+(C50*300)+(C51*300)+(C52*300)+(C53*300)+(C55*1000)+(C56*1000)+(C57*1000)+(C58*1000)+(C59*1000)+(C60*1000)+(C39*1000)+(1000*C54))*0.95</f>
        <v>71300</v>
      </c>
      <c r="D132" s="11">
        <f>(125*D66)+((D42*2000)+(D43*1500)+(D44*1200)+(D45*1200)+(D46*1200)+(D47*1000)+(D48*1000)+(D49*300)+(D50*300)+(D51*300)+(D52*300)+(D53*300)+(D55*1000)+(D56*1000)+(D57*1000)+(D58*1000)+(D59*1000)+(D60*1000)+(D39*1000)+(1000*D54))*0.95</f>
        <v>1895</v>
      </c>
      <c r="E132" s="11">
        <f>(125*E66)+((E42*2000)+(E43*1500)+(E44*1200)+(E45*1200)+(E46*1200)+(E47*1000)+(E48*1000)+(E49*300)+(E50*300)+(E51*300)+(E52*300)+(E53*300)+(E55*1000)+(E56*1000)+(E57*1000)+(E58*1000)+(E59*1000)+(E60*1000)+(E39*1000)+(1000*E54))*0.95</f>
        <v>11015.5</v>
      </c>
      <c r="F132" s="11">
        <f>(125*F66)+((F42*2000)+(F43*1500)+(F44*1200)+(F45*1200)+(F46*1200)+(F47*1000)+(F48*1000)+(F49*300)+(F50*300)+(F51*300)+(F52*300)+(F53*300)+(F55*1000)+(F56*1000)+(F57*1000)+(F58*1000)+(F59*1000)+(F60*1000)+(F39*1000)+(1000*F54))</f>
        <v>425</v>
      </c>
      <c r="G132" s="61">
        <f t="shared" si="38"/>
        <v>84635.5</v>
      </c>
    </row>
    <row r="133" spans="1:7" x14ac:dyDescent="0.25">
      <c r="A133" s="59">
        <v>150</v>
      </c>
      <c r="B133" s="62" t="s">
        <v>107</v>
      </c>
      <c r="C133" s="14"/>
      <c r="D133" s="14"/>
      <c r="E133" s="14"/>
      <c r="F133" s="14"/>
      <c r="G133" s="61">
        <f t="shared" si="38"/>
        <v>0</v>
      </c>
    </row>
    <row r="134" spans="1:7" x14ac:dyDescent="0.25">
      <c r="A134" s="59">
        <v>250</v>
      </c>
      <c r="B134" s="62" t="s">
        <v>108</v>
      </c>
      <c r="C134" s="7">
        <v>7500</v>
      </c>
      <c r="D134" s="7"/>
      <c r="E134" s="7"/>
      <c r="F134" s="7"/>
      <c r="G134" s="61">
        <f t="shared" si="38"/>
        <v>7500</v>
      </c>
    </row>
    <row r="135" spans="1:7" x14ac:dyDescent="0.25">
      <c r="A135" s="64"/>
      <c r="B135" s="62" t="s">
        <v>109</v>
      </c>
      <c r="C135" s="37">
        <f>(165*10*C39)-C127</f>
        <v>64950</v>
      </c>
      <c r="D135" s="37">
        <v>8000</v>
      </c>
      <c r="E135" s="37">
        <f t="shared" ref="E135:F135" si="39">(165*10*E39)-E127</f>
        <v>8250</v>
      </c>
      <c r="F135" s="37">
        <f t="shared" si="39"/>
        <v>0</v>
      </c>
      <c r="G135" s="61">
        <f t="shared" si="38"/>
        <v>81200</v>
      </c>
    </row>
    <row r="136" spans="1:7" ht="15.75" thickBot="1" x14ac:dyDescent="0.3">
      <c r="A136" s="72"/>
      <c r="B136" s="91" t="s">
        <v>110</v>
      </c>
      <c r="C136" s="87">
        <f>SUM(C130:C135)</f>
        <v>1639047.0382749999</v>
      </c>
      <c r="D136" s="87">
        <f>SUM(D130:D135)</f>
        <v>48736.115499999993</v>
      </c>
      <c r="E136" s="87">
        <f>SUM(E130:E135)</f>
        <v>251467.54061949998</v>
      </c>
      <c r="F136" s="87">
        <f t="shared" ref="F136:G136" si="40">SUM(F130:F135)</f>
        <v>8004.6875</v>
      </c>
      <c r="G136" s="87">
        <f t="shared" si="40"/>
        <v>1947255.3818945</v>
      </c>
    </row>
    <row r="137" spans="1:7" ht="15.75" thickBot="1" x14ac:dyDescent="0.3">
      <c r="A137" s="88"/>
      <c r="B137" s="95" t="s">
        <v>111</v>
      </c>
      <c r="C137" s="90">
        <f>C129+C136</f>
        <v>4814082.4482749999</v>
      </c>
      <c r="D137" s="90">
        <f>D129+D136</f>
        <v>131818.71549999999</v>
      </c>
      <c r="E137" s="90">
        <f>E129+E136</f>
        <v>742900.4308195</v>
      </c>
      <c r="F137" s="90">
        <f t="shared" ref="F137:G137" si="41">F129+F136</f>
        <v>25329.6875</v>
      </c>
      <c r="G137" s="90">
        <f t="shared" si="41"/>
        <v>5714131.2820945</v>
      </c>
    </row>
    <row r="138" spans="1:7" x14ac:dyDescent="0.25">
      <c r="A138" s="75"/>
      <c r="B138" s="97" t="s">
        <v>112</v>
      </c>
      <c r="C138" s="149" t="str">
        <f>C1</f>
        <v>Operating</v>
      </c>
      <c r="D138" s="149" t="str">
        <f>D1</f>
        <v>Weights</v>
      </c>
      <c r="E138" s="149" t="str">
        <f>E1</f>
        <v>SPED</v>
      </c>
      <c r="F138" s="149" t="str">
        <f t="shared" ref="F138:G138" si="42">F1</f>
        <v>NSLP</v>
      </c>
      <c r="G138" s="149" t="str">
        <f t="shared" si="42"/>
        <v>Inspirada</v>
      </c>
    </row>
    <row r="139" spans="1:7" x14ac:dyDescent="0.25">
      <c r="A139" s="64"/>
      <c r="B139" s="98" t="s">
        <v>113</v>
      </c>
      <c r="C139" s="15">
        <f>C19*130</f>
        <v>155870</v>
      </c>
      <c r="D139" s="15"/>
      <c r="E139" s="15"/>
      <c r="F139" s="15"/>
      <c r="G139" s="15">
        <f t="shared" ref="G139:G147" si="43">SUM(C139:F139)</f>
        <v>155870</v>
      </c>
    </row>
    <row r="140" spans="1:7" x14ac:dyDescent="0.25">
      <c r="A140" s="59">
        <v>561</v>
      </c>
      <c r="B140" s="99" t="s">
        <v>114</v>
      </c>
      <c r="C140" s="7">
        <v>0</v>
      </c>
      <c r="D140" s="7"/>
      <c r="E140" s="7"/>
      <c r="F140" s="7"/>
      <c r="G140" s="15">
        <f t="shared" si="43"/>
        <v>0</v>
      </c>
    </row>
    <row r="141" spans="1:7" x14ac:dyDescent="0.25">
      <c r="A141" s="64"/>
      <c r="B141" s="62" t="s">
        <v>115</v>
      </c>
      <c r="C141" s="11">
        <v>245000</v>
      </c>
      <c r="D141" s="11"/>
      <c r="E141" s="11"/>
      <c r="F141" s="11"/>
      <c r="G141" s="15">
        <f t="shared" si="43"/>
        <v>245000</v>
      </c>
    </row>
    <row r="142" spans="1:7" hidden="1" x14ac:dyDescent="0.25">
      <c r="A142" s="64"/>
      <c r="B142" s="62" t="s">
        <v>116</v>
      </c>
      <c r="C142" s="7">
        <v>0</v>
      </c>
      <c r="D142" s="7">
        <v>0</v>
      </c>
      <c r="E142" s="7"/>
      <c r="F142" s="7"/>
      <c r="G142" s="15">
        <f t="shared" si="43"/>
        <v>0</v>
      </c>
    </row>
    <row r="143" spans="1:7" x14ac:dyDescent="0.25">
      <c r="A143" s="59">
        <v>610</v>
      </c>
      <c r="B143" s="62" t="s">
        <v>117</v>
      </c>
      <c r="C143" s="7">
        <f>13*C19</f>
        <v>15587</v>
      </c>
      <c r="D143" s="7">
        <f t="shared" ref="D143" si="44">13*D19</f>
        <v>0</v>
      </c>
      <c r="E143" s="7"/>
      <c r="F143" s="7">
        <v>0</v>
      </c>
      <c r="G143" s="15">
        <f t="shared" si="43"/>
        <v>15587</v>
      </c>
    </row>
    <row r="144" spans="1:7" x14ac:dyDescent="0.25">
      <c r="A144" s="59">
        <v>610</v>
      </c>
      <c r="B144" s="62" t="s">
        <v>118</v>
      </c>
      <c r="C144" s="7">
        <f>(27*C19)</f>
        <v>32373</v>
      </c>
      <c r="D144" s="7">
        <v>0</v>
      </c>
      <c r="E144" s="7"/>
      <c r="F144" s="7"/>
      <c r="G144" s="15">
        <f t="shared" si="43"/>
        <v>32373</v>
      </c>
    </row>
    <row r="145" spans="1:8" x14ac:dyDescent="0.25">
      <c r="A145" s="59">
        <v>610</v>
      </c>
      <c r="B145" s="62" t="s">
        <v>119</v>
      </c>
      <c r="C145" s="7">
        <f>4*C19</f>
        <v>4796</v>
      </c>
      <c r="D145" s="7">
        <f t="shared" ref="D145" si="45">4*D19</f>
        <v>0</v>
      </c>
      <c r="E145" s="7"/>
      <c r="F145" s="7"/>
      <c r="G145" s="15">
        <f t="shared" si="43"/>
        <v>4796</v>
      </c>
    </row>
    <row r="146" spans="1:8" x14ac:dyDescent="0.25">
      <c r="A146" s="59">
        <v>610</v>
      </c>
      <c r="B146" s="62" t="s">
        <v>120</v>
      </c>
      <c r="C146" s="7">
        <f>3*C19</f>
        <v>3597</v>
      </c>
      <c r="D146" s="7">
        <f t="shared" ref="D146" si="46">3*D19</f>
        <v>0</v>
      </c>
      <c r="E146" s="7"/>
      <c r="F146" s="7"/>
      <c r="G146" s="15">
        <f t="shared" si="43"/>
        <v>3597</v>
      </c>
    </row>
    <row r="147" spans="1:8" x14ac:dyDescent="0.25">
      <c r="A147" s="59">
        <v>610</v>
      </c>
      <c r="B147" s="62" t="s">
        <v>121</v>
      </c>
      <c r="C147" s="7">
        <f>120*C22</f>
        <v>0</v>
      </c>
      <c r="D147" s="7">
        <f t="shared" ref="D147" si="47">120*D22</f>
        <v>0</v>
      </c>
      <c r="E147" s="7">
        <f>120*E22</f>
        <v>12240</v>
      </c>
      <c r="F147" s="7"/>
      <c r="G147" s="15">
        <f t="shared" si="43"/>
        <v>12240</v>
      </c>
    </row>
    <row r="148" spans="1:8" ht="15.75" thickBot="1" x14ac:dyDescent="0.3">
      <c r="A148" s="100"/>
      <c r="B148" s="62" t="s">
        <v>122</v>
      </c>
      <c r="C148" s="37">
        <v>0</v>
      </c>
      <c r="D148" s="37">
        <v>0</v>
      </c>
      <c r="E148" s="37"/>
      <c r="F148" s="37"/>
      <c r="G148" s="37">
        <v>0</v>
      </c>
    </row>
    <row r="149" spans="1:8" ht="15.75" thickBot="1" x14ac:dyDescent="0.3">
      <c r="A149" s="88"/>
      <c r="B149" s="95" t="s">
        <v>123</v>
      </c>
      <c r="C149" s="92">
        <f>SUM(C139:C148)</f>
        <v>457223</v>
      </c>
      <c r="D149" s="92">
        <f>SUM(D139:D148)</f>
        <v>0</v>
      </c>
      <c r="E149" s="92">
        <f t="shared" ref="E149:G149" si="48">SUM(E139:E148)</f>
        <v>12240</v>
      </c>
      <c r="F149" s="92">
        <f t="shared" si="48"/>
        <v>0</v>
      </c>
      <c r="G149" s="92">
        <f t="shared" si="48"/>
        <v>469463</v>
      </c>
    </row>
    <row r="150" spans="1:8" x14ac:dyDescent="0.25">
      <c r="A150" s="75"/>
      <c r="B150" s="101" t="s">
        <v>124</v>
      </c>
      <c r="C150" s="149" t="str">
        <f>C1</f>
        <v>Operating</v>
      </c>
      <c r="D150" s="149" t="str">
        <f>D1</f>
        <v>Weights</v>
      </c>
      <c r="E150" s="149" t="str">
        <f>E1</f>
        <v>SPED</v>
      </c>
      <c r="F150" s="149" t="str">
        <f t="shared" ref="F150:G150" si="49">F1</f>
        <v>NSLP</v>
      </c>
      <c r="G150" s="149" t="str">
        <f t="shared" si="49"/>
        <v>Inspirada</v>
      </c>
    </row>
    <row r="151" spans="1:8" x14ac:dyDescent="0.25">
      <c r="A151" s="93">
        <v>320</v>
      </c>
      <c r="B151" s="62" t="s">
        <v>125</v>
      </c>
      <c r="C151" s="80">
        <v>0</v>
      </c>
      <c r="D151" s="80">
        <v>12000</v>
      </c>
      <c r="E151" s="80"/>
      <c r="F151" s="80"/>
      <c r="G151" s="80">
        <f t="shared" ref="G151:G162" si="50">SUM(C151:F151)</f>
        <v>12000</v>
      </c>
    </row>
    <row r="152" spans="1:8" x14ac:dyDescent="0.25">
      <c r="A152" s="59">
        <v>300</v>
      </c>
      <c r="B152" s="62" t="s">
        <v>126</v>
      </c>
      <c r="C152" s="14">
        <v>0</v>
      </c>
      <c r="D152" s="142"/>
      <c r="E152" s="14">
        <f>(80*$C$19)+47775</f>
        <v>143695</v>
      </c>
      <c r="F152" s="142"/>
      <c r="G152" s="80">
        <f t="shared" si="50"/>
        <v>143695</v>
      </c>
      <c r="H152" s="171">
        <v>80</v>
      </c>
    </row>
    <row r="153" spans="1:8" x14ac:dyDescent="0.25">
      <c r="A153" s="59">
        <v>310</v>
      </c>
      <c r="B153" s="62" t="s">
        <v>127</v>
      </c>
      <c r="C153" s="11">
        <v>0</v>
      </c>
      <c r="D153" s="142"/>
      <c r="E153" s="14"/>
      <c r="F153" s="142"/>
      <c r="G153" s="80">
        <f t="shared" si="50"/>
        <v>0</v>
      </c>
    </row>
    <row r="154" spans="1:8" x14ac:dyDescent="0.25">
      <c r="A154" s="59">
        <v>310</v>
      </c>
      <c r="B154" s="62" t="s">
        <v>128</v>
      </c>
      <c r="C154" s="7">
        <f>(450*C19)</f>
        <v>539550</v>
      </c>
      <c r="D154" s="7"/>
      <c r="E154" s="7"/>
      <c r="F154" s="7"/>
      <c r="G154" s="80">
        <f t="shared" si="50"/>
        <v>539550</v>
      </c>
    </row>
    <row r="155" spans="1:8" x14ac:dyDescent="0.25">
      <c r="A155" s="59">
        <v>310</v>
      </c>
      <c r="B155" s="62" t="s">
        <v>129</v>
      </c>
      <c r="C155" s="7">
        <f>(240*C66)+2000</f>
        <v>17960</v>
      </c>
      <c r="D155" s="7">
        <f>(240*D66)</f>
        <v>720</v>
      </c>
      <c r="E155" s="7">
        <f>(240*E66)</f>
        <v>3201.6</v>
      </c>
      <c r="F155" s="7">
        <f>(240*F66)</f>
        <v>240</v>
      </c>
      <c r="G155" s="80">
        <f t="shared" si="50"/>
        <v>22121.599999999999</v>
      </c>
    </row>
    <row r="156" spans="1:8" x14ac:dyDescent="0.25">
      <c r="A156" s="59">
        <v>340</v>
      </c>
      <c r="B156" s="62" t="s">
        <v>130</v>
      </c>
      <c r="C156" s="7">
        <v>11000</v>
      </c>
      <c r="D156" s="7"/>
      <c r="E156" s="7"/>
      <c r="F156" s="7"/>
      <c r="G156" s="80">
        <f t="shared" si="50"/>
        <v>11000</v>
      </c>
    </row>
    <row r="157" spans="1:8" x14ac:dyDescent="0.25">
      <c r="A157" s="59">
        <v>340</v>
      </c>
      <c r="B157" s="62" t="s">
        <v>131</v>
      </c>
      <c r="C157" s="7">
        <v>5500</v>
      </c>
      <c r="D157" s="7"/>
      <c r="E157" s="7"/>
      <c r="F157" s="7"/>
      <c r="G157" s="80">
        <f t="shared" si="50"/>
        <v>5500</v>
      </c>
    </row>
    <row r="158" spans="1:8" x14ac:dyDescent="0.25">
      <c r="A158" s="59">
        <v>352</v>
      </c>
      <c r="B158" s="62" t="s">
        <v>132</v>
      </c>
      <c r="C158" s="7">
        <f>42*C19</f>
        <v>50358</v>
      </c>
      <c r="D158" s="7"/>
      <c r="E158" s="7"/>
      <c r="F158" s="7"/>
      <c r="G158" s="80">
        <f t="shared" si="50"/>
        <v>50358</v>
      </c>
    </row>
    <row r="159" spans="1:8" x14ac:dyDescent="0.25">
      <c r="A159" s="59">
        <v>350</v>
      </c>
      <c r="B159" s="62" t="s">
        <v>133</v>
      </c>
      <c r="C159" s="7">
        <v>7500</v>
      </c>
      <c r="D159" s="7"/>
      <c r="E159" s="7"/>
      <c r="F159" s="7"/>
      <c r="G159" s="80">
        <f t="shared" si="50"/>
        <v>7500</v>
      </c>
    </row>
    <row r="160" spans="1:8" x14ac:dyDescent="0.25">
      <c r="A160" s="59">
        <v>591</v>
      </c>
      <c r="B160" s="62" t="s">
        <v>134</v>
      </c>
      <c r="C160" s="7">
        <f>(C87+C88)*0.0125</f>
        <v>107861.89012499999</v>
      </c>
      <c r="D160" s="7"/>
      <c r="E160" s="7"/>
      <c r="F160" s="7"/>
      <c r="G160" s="80">
        <f t="shared" si="50"/>
        <v>107861.89012499999</v>
      </c>
    </row>
    <row r="161" spans="1:7" x14ac:dyDescent="0.25">
      <c r="A161" s="59">
        <v>320</v>
      </c>
      <c r="B161" s="62" t="s">
        <v>135</v>
      </c>
      <c r="C161" s="7">
        <f>(C87+C88)*0.005</f>
        <v>43144.756049999996</v>
      </c>
      <c r="D161" s="7"/>
      <c r="E161" s="7"/>
      <c r="F161" s="7"/>
      <c r="G161" s="80">
        <f t="shared" si="50"/>
        <v>43144.756049999996</v>
      </c>
    </row>
    <row r="162" spans="1:7" ht="15.75" thickBot="1" x14ac:dyDescent="0.3">
      <c r="A162" s="59">
        <v>330</v>
      </c>
      <c r="B162" s="62" t="s">
        <v>136</v>
      </c>
      <c r="C162" s="7">
        <f>(C87+C88)*0.005</f>
        <v>43144.756049999996</v>
      </c>
      <c r="D162" s="7"/>
      <c r="E162" s="7"/>
      <c r="F162" s="7"/>
      <c r="G162" s="80">
        <f t="shared" si="50"/>
        <v>43144.756049999996</v>
      </c>
    </row>
    <row r="163" spans="1:7" ht="15.75" hidden="1" thickBot="1" x14ac:dyDescent="0.3">
      <c r="A163" s="59">
        <v>330</v>
      </c>
      <c r="B163" s="62" t="s">
        <v>137</v>
      </c>
      <c r="C163" s="81"/>
      <c r="D163" s="81"/>
      <c r="E163" s="81"/>
      <c r="F163" s="81"/>
      <c r="G163" s="81"/>
    </row>
    <row r="164" spans="1:7" ht="15.75" thickBot="1" x14ac:dyDescent="0.3">
      <c r="A164" s="88"/>
      <c r="B164" s="95" t="s">
        <v>138</v>
      </c>
      <c r="C164" s="92">
        <f>SUM(C151:C163)</f>
        <v>826019.40222499997</v>
      </c>
      <c r="D164" s="92">
        <f>SUM(D151:D163)</f>
        <v>12720</v>
      </c>
      <c r="E164" s="92">
        <f>SUM(E151:E163)</f>
        <v>146896.6</v>
      </c>
      <c r="F164" s="92">
        <f t="shared" ref="F164:G164" si="51">SUM(F151:F163)</f>
        <v>240</v>
      </c>
      <c r="G164" s="92">
        <f t="shared" si="51"/>
        <v>985876.00222499995</v>
      </c>
    </row>
    <row r="165" spans="1:7" x14ac:dyDescent="0.25">
      <c r="A165" s="75"/>
      <c r="B165" s="101" t="s">
        <v>139</v>
      </c>
      <c r="C165" s="149" t="str">
        <f>C150</f>
        <v>Operating</v>
      </c>
      <c r="D165" s="149" t="str">
        <f>D150</f>
        <v>Weights</v>
      </c>
      <c r="E165" s="149" t="str">
        <f>E150</f>
        <v>SPED</v>
      </c>
      <c r="F165" s="149" t="str">
        <f t="shared" ref="F165:G165" si="52">F150</f>
        <v>NSLP</v>
      </c>
      <c r="G165" s="149" t="str">
        <f t="shared" si="52"/>
        <v>Inspirada</v>
      </c>
    </row>
    <row r="166" spans="1:7" x14ac:dyDescent="0.25">
      <c r="A166" s="59">
        <v>533</v>
      </c>
      <c r="B166" s="62" t="s">
        <v>140</v>
      </c>
      <c r="C166" s="7">
        <v>4100</v>
      </c>
      <c r="D166" s="7"/>
      <c r="E166" s="7"/>
      <c r="F166" s="7"/>
      <c r="G166" s="7">
        <f t="shared" ref="G166:G172" si="53">SUM(C166:F166)</f>
        <v>4100</v>
      </c>
    </row>
    <row r="167" spans="1:7" x14ac:dyDescent="0.25">
      <c r="A167" s="59">
        <v>535</v>
      </c>
      <c r="B167" s="62" t="s">
        <v>141</v>
      </c>
      <c r="C167" s="7">
        <v>18500</v>
      </c>
      <c r="D167" s="7"/>
      <c r="E167" s="7"/>
      <c r="F167" s="7"/>
      <c r="G167" s="7">
        <f t="shared" si="53"/>
        <v>18500</v>
      </c>
    </row>
    <row r="168" spans="1:7" x14ac:dyDescent="0.25">
      <c r="A168" s="59">
        <v>534</v>
      </c>
      <c r="B168" s="62" t="s">
        <v>142</v>
      </c>
      <c r="C168" s="7">
        <v>0</v>
      </c>
      <c r="D168" s="7"/>
      <c r="E168" s="7"/>
      <c r="F168" s="7"/>
      <c r="G168" s="7">
        <f t="shared" si="53"/>
        <v>0</v>
      </c>
    </row>
    <row r="169" spans="1:7" x14ac:dyDescent="0.25">
      <c r="A169" s="59">
        <v>531</v>
      </c>
      <c r="B169" s="62" t="s">
        <v>143</v>
      </c>
      <c r="C169" s="7">
        <v>1100</v>
      </c>
      <c r="D169" s="7"/>
      <c r="E169" s="7"/>
      <c r="F169" s="7"/>
      <c r="G169" s="7">
        <f t="shared" si="53"/>
        <v>1100</v>
      </c>
    </row>
    <row r="170" spans="1:7" x14ac:dyDescent="0.25">
      <c r="A170" s="59">
        <v>535</v>
      </c>
      <c r="B170" s="62" t="s">
        <v>144</v>
      </c>
      <c r="C170" s="7">
        <v>4200</v>
      </c>
      <c r="D170" s="7"/>
      <c r="E170" s="7"/>
      <c r="F170" s="7"/>
      <c r="G170" s="7">
        <f t="shared" si="53"/>
        <v>4200</v>
      </c>
    </row>
    <row r="171" spans="1:7" x14ac:dyDescent="0.25">
      <c r="A171" s="59">
        <v>443</v>
      </c>
      <c r="B171" s="62" t="s">
        <v>145</v>
      </c>
      <c r="C171" s="7">
        <v>32000</v>
      </c>
      <c r="D171" s="7"/>
      <c r="E171" s="7"/>
      <c r="F171" s="7"/>
      <c r="G171" s="7">
        <f t="shared" si="53"/>
        <v>32000</v>
      </c>
    </row>
    <row r="172" spans="1:7" ht="15.75" thickBot="1" x14ac:dyDescent="0.3">
      <c r="A172" s="59">
        <v>651</v>
      </c>
      <c r="B172" s="62" t="s">
        <v>146</v>
      </c>
      <c r="C172" s="7">
        <f>2500+(2*C20)</f>
        <v>2500</v>
      </c>
      <c r="D172" s="7"/>
      <c r="E172" s="7"/>
      <c r="F172" s="7"/>
      <c r="G172" s="7">
        <f t="shared" si="53"/>
        <v>2500</v>
      </c>
    </row>
    <row r="173" spans="1:7" ht="15.75" thickBot="1" x14ac:dyDescent="0.3">
      <c r="A173" s="88"/>
      <c r="B173" s="95" t="s">
        <v>147</v>
      </c>
      <c r="C173" s="92">
        <f>SUM(C166:C172)</f>
        <v>62400</v>
      </c>
      <c r="D173" s="92">
        <f>SUM(D166:D172)</f>
        <v>0</v>
      </c>
      <c r="E173" s="92">
        <f t="shared" ref="E173:G173" si="54">SUM(E166:E172)</f>
        <v>0</v>
      </c>
      <c r="F173" s="92">
        <f t="shared" si="54"/>
        <v>0</v>
      </c>
      <c r="G173" s="92">
        <f t="shared" si="54"/>
        <v>62400</v>
      </c>
    </row>
    <row r="174" spans="1:7" x14ac:dyDescent="0.25">
      <c r="A174" s="75"/>
      <c r="B174" s="101" t="s">
        <v>148</v>
      </c>
      <c r="C174" s="96"/>
      <c r="D174" s="96"/>
      <c r="E174" s="96"/>
      <c r="F174" s="96"/>
      <c r="G174" s="96"/>
    </row>
    <row r="175" spans="1:7" x14ac:dyDescent="0.25">
      <c r="A175" s="59">
        <v>521</v>
      </c>
      <c r="B175" s="62" t="s">
        <v>149</v>
      </c>
      <c r="C175" s="15">
        <f>12566.750648954*1.06</f>
        <v>13320.75568789124</v>
      </c>
      <c r="D175" s="15"/>
      <c r="E175" s="15"/>
      <c r="F175" s="15"/>
      <c r="G175" s="15">
        <f>SUM(C175:F175)</f>
        <v>13320.75568789124</v>
      </c>
    </row>
    <row r="176" spans="1:7" x14ac:dyDescent="0.25">
      <c r="A176" s="59">
        <v>522</v>
      </c>
      <c r="B176" s="62" t="s">
        <v>150</v>
      </c>
      <c r="C176" s="7">
        <f>9251.25973431058*1.06</f>
        <v>9806.3353183692161</v>
      </c>
      <c r="D176" s="7"/>
      <c r="E176" s="7"/>
      <c r="F176" s="7"/>
      <c r="G176" s="15">
        <f>SUM(C176:F176)</f>
        <v>9806.3353183692161</v>
      </c>
    </row>
    <row r="177" spans="1:7" ht="15.75" thickBot="1" x14ac:dyDescent="0.3">
      <c r="A177" s="59">
        <v>523</v>
      </c>
      <c r="B177" s="62" t="s">
        <v>151</v>
      </c>
      <c r="C177" s="7">
        <f>(19761.5666513972*1.06)+2425</f>
        <v>23372.260650481032</v>
      </c>
      <c r="D177" s="7"/>
      <c r="E177" s="7"/>
      <c r="F177" s="7"/>
      <c r="G177" s="15">
        <f>SUM(C177:F177)</f>
        <v>23372.260650481032</v>
      </c>
    </row>
    <row r="178" spans="1:7" ht="15.75" thickBot="1" x14ac:dyDescent="0.3">
      <c r="A178" s="88"/>
      <c r="B178" s="95" t="s">
        <v>152</v>
      </c>
      <c r="C178" s="92">
        <f>SUM(C175:C177)</f>
        <v>46499.351656741492</v>
      </c>
      <c r="D178" s="92">
        <f>SUM(D175:D177)</f>
        <v>0</v>
      </c>
      <c r="E178" s="92">
        <f t="shared" ref="E178:G178" si="55">SUM(E175:E177)</f>
        <v>0</v>
      </c>
      <c r="F178" s="92">
        <f t="shared" si="55"/>
        <v>0</v>
      </c>
      <c r="G178" s="92">
        <f t="shared" si="55"/>
        <v>46499.351656741492</v>
      </c>
    </row>
    <row r="179" spans="1:7" x14ac:dyDescent="0.25">
      <c r="A179" s="75"/>
      <c r="B179" s="101" t="s">
        <v>153</v>
      </c>
      <c r="C179" s="96" t="str">
        <f>C1</f>
        <v>Operating</v>
      </c>
      <c r="D179" s="96" t="str">
        <f>D1</f>
        <v>Weights</v>
      </c>
      <c r="E179" s="96" t="str">
        <f>E1</f>
        <v>SPED</v>
      </c>
      <c r="F179" s="96" t="str">
        <f t="shared" ref="F179:G179" si="56">F1</f>
        <v>NSLP</v>
      </c>
      <c r="G179" s="96" t="str">
        <f t="shared" si="56"/>
        <v>Inspirada</v>
      </c>
    </row>
    <row r="180" spans="1:7" x14ac:dyDescent="0.25">
      <c r="A180" s="59">
        <v>570</v>
      </c>
      <c r="B180" s="62" t="s">
        <v>154</v>
      </c>
      <c r="C180" s="14">
        <f>(($C$19*C25)*3.56*180)</f>
        <v>0</v>
      </c>
      <c r="D180" s="142"/>
      <c r="E180" s="142"/>
      <c r="F180" s="14">
        <f>(($C$19*F25)*3.05*180)+1000</f>
        <v>83281.375</v>
      </c>
      <c r="G180" s="14">
        <f t="shared" ref="G180:G188" si="57">SUM(C180:F180)</f>
        <v>83281.375</v>
      </c>
    </row>
    <row r="181" spans="1:7" x14ac:dyDescent="0.25">
      <c r="A181" s="59">
        <v>540</v>
      </c>
      <c r="B181" s="62" t="s">
        <v>155</v>
      </c>
      <c r="C181" s="7">
        <v>3000</v>
      </c>
      <c r="D181" s="7"/>
      <c r="E181" s="7"/>
      <c r="F181" s="7"/>
      <c r="G181" s="14">
        <f t="shared" si="57"/>
        <v>3000</v>
      </c>
    </row>
    <row r="182" spans="1:7" x14ac:dyDescent="0.25">
      <c r="A182" s="59">
        <v>580</v>
      </c>
      <c r="B182" s="62" t="s">
        <v>156</v>
      </c>
      <c r="C182" s="7">
        <v>2600</v>
      </c>
      <c r="D182" s="7"/>
      <c r="E182" s="7"/>
      <c r="F182" s="7"/>
      <c r="G182" s="14">
        <f t="shared" si="57"/>
        <v>2600</v>
      </c>
    </row>
    <row r="183" spans="1:7" x14ac:dyDescent="0.25">
      <c r="A183" s="59">
        <v>340</v>
      </c>
      <c r="B183" s="62" t="s">
        <v>157</v>
      </c>
      <c r="C183" s="7">
        <f>60*17</f>
        <v>1020</v>
      </c>
      <c r="D183" s="7"/>
      <c r="E183" s="7"/>
      <c r="F183" s="7"/>
      <c r="G183" s="14">
        <f t="shared" si="57"/>
        <v>1020</v>
      </c>
    </row>
    <row r="184" spans="1:7" x14ac:dyDescent="0.25">
      <c r="A184" s="79">
        <v>810</v>
      </c>
      <c r="B184" s="62" t="s">
        <v>158</v>
      </c>
      <c r="C184" s="15">
        <f>10500+1200</f>
        <v>11700</v>
      </c>
      <c r="D184" s="15"/>
      <c r="E184" s="15"/>
      <c r="F184" s="15"/>
      <c r="G184" s="14">
        <f t="shared" si="57"/>
        <v>11700</v>
      </c>
    </row>
    <row r="185" spans="1:7" x14ac:dyDescent="0.25">
      <c r="A185" s="64"/>
      <c r="B185" s="62" t="s">
        <v>159</v>
      </c>
      <c r="C185" s="15">
        <v>0</v>
      </c>
      <c r="D185" s="148"/>
      <c r="E185" s="148"/>
      <c r="F185" s="148"/>
      <c r="G185" s="14">
        <f t="shared" si="57"/>
        <v>0</v>
      </c>
    </row>
    <row r="186" spans="1:7" x14ac:dyDescent="0.25">
      <c r="A186" s="64"/>
      <c r="B186" s="62" t="s">
        <v>160</v>
      </c>
      <c r="C186" s="15">
        <v>0</v>
      </c>
      <c r="D186" s="15"/>
      <c r="E186" s="15"/>
      <c r="F186" s="15"/>
      <c r="G186" s="14">
        <f t="shared" si="57"/>
        <v>0</v>
      </c>
    </row>
    <row r="187" spans="1:7" x14ac:dyDescent="0.25">
      <c r="A187" s="64"/>
      <c r="B187" s="62" t="s">
        <v>161</v>
      </c>
      <c r="C187" s="15">
        <v>0</v>
      </c>
      <c r="D187" s="15"/>
      <c r="E187" s="15"/>
      <c r="F187" s="15"/>
      <c r="G187" s="14">
        <f t="shared" si="57"/>
        <v>0</v>
      </c>
    </row>
    <row r="188" spans="1:7" ht="15.75" thickBot="1" x14ac:dyDescent="0.3">
      <c r="A188" s="59">
        <v>900</v>
      </c>
      <c r="B188" s="62" t="s">
        <v>162</v>
      </c>
      <c r="C188" s="7">
        <v>1750</v>
      </c>
      <c r="D188" s="7"/>
      <c r="E188" s="7"/>
      <c r="F188" s="7"/>
      <c r="G188" s="14">
        <f t="shared" si="57"/>
        <v>1750</v>
      </c>
    </row>
    <row r="189" spans="1:7" ht="15.75" thickBot="1" x14ac:dyDescent="0.3">
      <c r="A189" s="88"/>
      <c r="B189" s="95" t="s">
        <v>163</v>
      </c>
      <c r="C189" s="92">
        <f>SUM(C180:C188)</f>
        <v>20070</v>
      </c>
      <c r="D189" s="92">
        <f>SUM(D180:D188)</f>
        <v>0</v>
      </c>
      <c r="E189" s="92">
        <f t="shared" ref="E189:G189" si="58">SUM(E180:E188)</f>
        <v>0</v>
      </c>
      <c r="F189" s="92">
        <f t="shared" si="58"/>
        <v>83281.375</v>
      </c>
      <c r="G189" s="92">
        <f t="shared" si="58"/>
        <v>103351.375</v>
      </c>
    </row>
    <row r="190" spans="1:7" x14ac:dyDescent="0.25">
      <c r="A190" s="75"/>
      <c r="B190" s="101" t="s">
        <v>164</v>
      </c>
      <c r="C190" s="77" t="str">
        <f>C179</f>
        <v>Operating</v>
      </c>
      <c r="D190" s="77" t="str">
        <f>D179</f>
        <v>Weights</v>
      </c>
      <c r="E190" s="77" t="str">
        <f>E179</f>
        <v>SPED</v>
      </c>
      <c r="F190" s="77" t="str">
        <f t="shared" ref="F190:G190" si="59">F179</f>
        <v>NSLP</v>
      </c>
      <c r="G190" s="77" t="str">
        <f t="shared" si="59"/>
        <v>Inspirada</v>
      </c>
    </row>
    <row r="191" spans="1:7" x14ac:dyDescent="0.25">
      <c r="A191" s="93">
        <v>622</v>
      </c>
      <c r="B191" s="62" t="s">
        <v>165</v>
      </c>
      <c r="C191" s="61">
        <v>82500</v>
      </c>
      <c r="D191" s="61"/>
      <c r="E191" s="61"/>
      <c r="F191" s="61"/>
      <c r="G191" s="61">
        <f t="shared" ref="G191:G201" si="60">SUM(C191:F191)</f>
        <v>82500</v>
      </c>
    </row>
    <row r="192" spans="1:7" x14ac:dyDescent="0.25">
      <c r="A192" s="59">
        <v>621</v>
      </c>
      <c r="B192" s="62" t="s">
        <v>166</v>
      </c>
      <c r="C192" s="7">
        <v>0</v>
      </c>
      <c r="D192" s="15"/>
      <c r="E192" s="15"/>
      <c r="F192" s="15"/>
      <c r="G192" s="61">
        <f t="shared" si="60"/>
        <v>0</v>
      </c>
    </row>
    <row r="193" spans="1:7" x14ac:dyDescent="0.25">
      <c r="A193" s="59">
        <v>411</v>
      </c>
      <c r="B193" s="62" t="s">
        <v>167</v>
      </c>
      <c r="C193" s="7">
        <v>18000</v>
      </c>
      <c r="D193" s="7"/>
      <c r="E193" s="7"/>
      <c r="F193" s="7"/>
      <c r="G193" s="61">
        <f t="shared" si="60"/>
        <v>18000</v>
      </c>
    </row>
    <row r="194" spans="1:7" x14ac:dyDescent="0.25">
      <c r="A194" s="59">
        <v>422</v>
      </c>
      <c r="B194" s="62" t="s">
        <v>168</v>
      </c>
      <c r="C194" s="7">
        <v>20000</v>
      </c>
      <c r="D194" s="7"/>
      <c r="E194" s="7"/>
      <c r="F194" s="7"/>
      <c r="G194" s="61">
        <f t="shared" si="60"/>
        <v>20000</v>
      </c>
    </row>
    <row r="195" spans="1:7" x14ac:dyDescent="0.25">
      <c r="A195" s="59">
        <v>490</v>
      </c>
      <c r="B195" s="62" t="s">
        <v>169</v>
      </c>
      <c r="C195" s="7">
        <v>6500</v>
      </c>
      <c r="D195" s="7"/>
      <c r="E195" s="7"/>
      <c r="F195" s="7"/>
      <c r="G195" s="61">
        <f t="shared" si="60"/>
        <v>6500</v>
      </c>
    </row>
    <row r="196" spans="1:7" x14ac:dyDescent="0.25">
      <c r="A196" s="59">
        <v>422</v>
      </c>
      <c r="B196" s="62" t="s">
        <v>170</v>
      </c>
      <c r="C196" s="11">
        <f>8385*13</f>
        <v>109005</v>
      </c>
      <c r="D196" s="11"/>
      <c r="E196" s="11"/>
      <c r="F196" s="11"/>
      <c r="G196" s="61">
        <f t="shared" si="60"/>
        <v>109005</v>
      </c>
    </row>
    <row r="197" spans="1:7" x14ac:dyDescent="0.25">
      <c r="A197" s="59">
        <v>610</v>
      </c>
      <c r="B197" s="62" t="s">
        <v>171</v>
      </c>
      <c r="C197" s="15">
        <f>30*C19</f>
        <v>35970</v>
      </c>
      <c r="D197" s="7"/>
      <c r="E197" s="7"/>
      <c r="F197" s="7"/>
      <c r="G197" s="61">
        <f t="shared" si="60"/>
        <v>35970</v>
      </c>
    </row>
    <row r="198" spans="1:7" x14ac:dyDescent="0.25">
      <c r="A198" s="59" t="s">
        <v>172</v>
      </c>
      <c r="B198" s="62" t="s">
        <v>173</v>
      </c>
      <c r="C198" s="7">
        <v>55000</v>
      </c>
      <c r="D198" s="7"/>
      <c r="E198" s="7"/>
      <c r="F198" s="7">
        <v>0</v>
      </c>
      <c r="G198" s="61">
        <f t="shared" si="60"/>
        <v>55000</v>
      </c>
    </row>
    <row r="199" spans="1:7" x14ac:dyDescent="0.25">
      <c r="A199" s="59">
        <v>420</v>
      </c>
      <c r="B199" s="62" t="s">
        <v>174</v>
      </c>
      <c r="C199" s="7">
        <f>(625*12)+3200</f>
        <v>10700</v>
      </c>
      <c r="D199" s="11"/>
      <c r="E199" s="11"/>
      <c r="F199" s="11"/>
      <c r="G199" s="61">
        <f t="shared" si="60"/>
        <v>10700</v>
      </c>
    </row>
    <row r="200" spans="1:7" x14ac:dyDescent="0.25">
      <c r="A200" s="59">
        <v>420</v>
      </c>
      <c r="B200" s="62" t="s">
        <v>175</v>
      </c>
      <c r="C200" s="7"/>
      <c r="D200" s="7"/>
      <c r="E200" s="7"/>
      <c r="F200" s="7"/>
      <c r="G200" s="61">
        <f t="shared" si="60"/>
        <v>0</v>
      </c>
    </row>
    <row r="201" spans="1:7" ht="15.75" thickBot="1" x14ac:dyDescent="0.3">
      <c r="A201" s="63">
        <v>431</v>
      </c>
      <c r="B201" s="62" t="s">
        <v>176</v>
      </c>
      <c r="C201" s="37">
        <f>(1100*12)+4000</f>
        <v>17200</v>
      </c>
      <c r="D201" s="86"/>
      <c r="E201" s="86"/>
      <c r="F201" s="86"/>
      <c r="G201" s="61">
        <f t="shared" si="60"/>
        <v>17200</v>
      </c>
    </row>
    <row r="202" spans="1:7" ht="15.75" thickBot="1" x14ac:dyDescent="0.3">
      <c r="A202" s="88"/>
      <c r="B202" s="95" t="s">
        <v>177</v>
      </c>
      <c r="C202" s="90">
        <f>SUM(C191:C201)</f>
        <v>354875</v>
      </c>
      <c r="D202" s="90">
        <f>SUM(D191:D201)</f>
        <v>0</v>
      </c>
      <c r="E202" s="90">
        <f>SUM(E191:E201)</f>
        <v>0</v>
      </c>
      <c r="F202" s="90">
        <f t="shared" ref="F202:G202" si="61">SUM(F191:F201)</f>
        <v>0</v>
      </c>
      <c r="G202" s="90">
        <f t="shared" si="61"/>
        <v>354875</v>
      </c>
    </row>
    <row r="203" spans="1:7" ht="15.75" thickBot="1" x14ac:dyDescent="0.3">
      <c r="A203" s="69"/>
      <c r="B203" s="102"/>
      <c r="C203" s="103"/>
      <c r="D203" s="103"/>
      <c r="E203" s="103"/>
      <c r="F203" s="103"/>
      <c r="G203" s="103"/>
    </row>
    <row r="204" spans="1:7" ht="15.75" thickBot="1" x14ac:dyDescent="0.3">
      <c r="A204" s="69"/>
      <c r="B204" s="95" t="s">
        <v>178</v>
      </c>
      <c r="C204" s="104">
        <f>C137+C149+C164+C173+C178+C189+C202</f>
        <v>6581169.2021567412</v>
      </c>
      <c r="D204" s="104">
        <f>D137+D149+D164+D173+D178+D189+D202</f>
        <v>144538.71549999999</v>
      </c>
      <c r="E204" s="104">
        <f>E137+E149+E164+E173+E178+E189+E202</f>
        <v>902037.03081949998</v>
      </c>
      <c r="F204" s="104">
        <f t="shared" ref="F204" si="62">F137+F149+F164+F173+F178+F189+F202</f>
        <v>108851.0625</v>
      </c>
      <c r="G204" s="104">
        <f>G137+G149+G164+G173+G178+G189+G202</f>
        <v>7736596.010976241</v>
      </c>
    </row>
    <row r="205" spans="1:7" x14ac:dyDescent="0.25">
      <c r="A205" s="69"/>
      <c r="B205" s="105"/>
      <c r="C205" s="61"/>
      <c r="D205" s="61"/>
      <c r="E205" s="61"/>
      <c r="F205" s="61"/>
      <c r="G205" s="61"/>
    </row>
    <row r="206" spans="1:7" x14ac:dyDescent="0.25">
      <c r="A206" s="69"/>
      <c r="B206" s="106" t="s">
        <v>179</v>
      </c>
      <c r="C206" s="7">
        <v>0</v>
      </c>
      <c r="D206" s="7"/>
      <c r="E206" s="7"/>
      <c r="F206" s="7"/>
      <c r="G206" s="7">
        <f t="shared" ref="G206:G215" si="63">SUM(C206:F206)</f>
        <v>0</v>
      </c>
    </row>
    <row r="207" spans="1:7" x14ac:dyDescent="0.25">
      <c r="A207" s="69"/>
      <c r="B207" s="106" t="s">
        <v>180</v>
      </c>
      <c r="C207" s="7">
        <v>1131271</v>
      </c>
      <c r="D207" s="7">
        <v>0</v>
      </c>
      <c r="E207" s="7"/>
      <c r="F207" s="7"/>
      <c r="G207" s="7">
        <f t="shared" si="63"/>
        <v>1131271</v>
      </c>
    </row>
    <row r="208" spans="1:7" hidden="1" x14ac:dyDescent="0.25">
      <c r="A208" s="69"/>
      <c r="B208" s="106" t="s">
        <v>180</v>
      </c>
      <c r="C208" s="7"/>
      <c r="D208" s="7"/>
      <c r="E208" s="7"/>
      <c r="F208" s="7"/>
      <c r="G208" s="7">
        <f t="shared" si="63"/>
        <v>0</v>
      </c>
    </row>
    <row r="209" spans="1:7" hidden="1" x14ac:dyDescent="0.25">
      <c r="A209" s="69"/>
      <c r="B209" s="106" t="s">
        <v>180</v>
      </c>
      <c r="C209" s="7"/>
      <c r="D209" s="7"/>
      <c r="E209" s="7"/>
      <c r="F209" s="7"/>
      <c r="G209" s="7">
        <f t="shared" si="63"/>
        <v>0</v>
      </c>
    </row>
    <row r="210" spans="1:7" hidden="1" x14ac:dyDescent="0.25">
      <c r="A210" s="69"/>
      <c r="B210" s="106" t="s">
        <v>180</v>
      </c>
      <c r="C210" s="7"/>
      <c r="D210" s="7"/>
      <c r="E210" s="7"/>
      <c r="F210" s="7"/>
      <c r="G210" s="7">
        <f t="shared" si="63"/>
        <v>0</v>
      </c>
    </row>
    <row r="211" spans="1:7" hidden="1" x14ac:dyDescent="0.25">
      <c r="A211" s="69"/>
      <c r="B211" s="106" t="s">
        <v>180</v>
      </c>
      <c r="C211" s="7"/>
      <c r="D211" s="7"/>
      <c r="E211" s="7"/>
      <c r="F211" s="7"/>
      <c r="G211" s="7">
        <f t="shared" si="63"/>
        <v>0</v>
      </c>
    </row>
    <row r="212" spans="1:7" hidden="1" x14ac:dyDescent="0.25">
      <c r="A212" s="69"/>
      <c r="B212" s="106" t="s">
        <v>180</v>
      </c>
      <c r="C212" s="7"/>
      <c r="D212" s="7"/>
      <c r="E212" s="7"/>
      <c r="F212" s="7"/>
      <c r="G212" s="7">
        <f t="shared" si="63"/>
        <v>0</v>
      </c>
    </row>
    <row r="213" spans="1:7" hidden="1" x14ac:dyDescent="0.25">
      <c r="A213" s="69"/>
      <c r="B213" s="106" t="s">
        <v>180</v>
      </c>
      <c r="C213" s="7"/>
      <c r="D213" s="7"/>
      <c r="E213" s="7"/>
      <c r="F213" s="7"/>
      <c r="G213" s="7">
        <f t="shared" si="63"/>
        <v>0</v>
      </c>
    </row>
    <row r="214" spans="1:7" hidden="1" x14ac:dyDescent="0.25">
      <c r="A214" s="69"/>
      <c r="B214" s="106" t="s">
        <v>180</v>
      </c>
      <c r="C214" s="7">
        <v>0</v>
      </c>
      <c r="D214" s="7">
        <v>0</v>
      </c>
      <c r="E214" s="7"/>
      <c r="F214" s="7"/>
      <c r="G214" s="7">
        <f t="shared" si="63"/>
        <v>0</v>
      </c>
    </row>
    <row r="215" spans="1:7" x14ac:dyDescent="0.25">
      <c r="A215" s="69"/>
      <c r="B215" s="106" t="s">
        <v>182</v>
      </c>
      <c r="C215" s="7">
        <v>0</v>
      </c>
      <c r="D215" s="7"/>
      <c r="E215" s="7"/>
      <c r="F215" s="7"/>
      <c r="G215" s="7">
        <f t="shared" si="63"/>
        <v>0</v>
      </c>
    </row>
    <row r="216" spans="1:7" x14ac:dyDescent="0.25">
      <c r="A216" s="69"/>
      <c r="B216" s="147"/>
      <c r="C216" s="7"/>
      <c r="D216" s="7"/>
      <c r="E216" s="7"/>
      <c r="F216" s="7"/>
      <c r="G216" s="7"/>
    </row>
    <row r="217" spans="1:7" ht="15.75" thickBot="1" x14ac:dyDescent="0.3">
      <c r="A217" s="69"/>
      <c r="B217" s="144" t="s">
        <v>183</v>
      </c>
      <c r="C217" s="145">
        <f>C86-C204-C206-C207-C213-C214</f>
        <v>675602.47154325806</v>
      </c>
      <c r="D217" s="145">
        <f>D86-D204-D206-D207-D213-D214</f>
        <v>-44344.625499999995</v>
      </c>
      <c r="E217" s="145">
        <f>E86-E204-E206-E207-E213-E214</f>
        <v>-520925.4308195</v>
      </c>
      <c r="F217" s="145">
        <f t="shared" ref="F217:G217" si="64">F86-F204-F206-F207-F213-F214</f>
        <v>-701.0625</v>
      </c>
      <c r="G217" s="145">
        <f t="shared" si="64"/>
        <v>109631.35272375774</v>
      </c>
    </row>
    <row r="218" spans="1:7" ht="15.75" thickBot="1" x14ac:dyDescent="0.3">
      <c r="A218" s="69"/>
      <c r="B218" s="108"/>
      <c r="C218" s="110">
        <f>C217/(C86-C76)</f>
        <v>8.0543518652039361E-2</v>
      </c>
      <c r="D218" s="110">
        <f t="shared" ref="D218" si="65">D217/(D86-D76)</f>
        <v>-0.44258723743087036</v>
      </c>
      <c r="E218" s="110">
        <f>E217/(E86-E76)</f>
        <v>-1.3668579776094458</v>
      </c>
      <c r="F218" s="110">
        <f>F217/(F86)</f>
        <v>-6.4823162274618585E-3</v>
      </c>
      <c r="G218" s="110">
        <f>G217/(G86-G76)</f>
        <v>1.236036535499652E-2</v>
      </c>
    </row>
    <row r="219" spans="1:7" x14ac:dyDescent="0.25">
      <c r="A219" s="5"/>
      <c r="C219" s="111"/>
      <c r="D219" s="111"/>
      <c r="E219" s="111"/>
      <c r="F219" s="111"/>
      <c r="G219" s="111"/>
    </row>
    <row r="220" spans="1:7" x14ac:dyDescent="0.25">
      <c r="A220" s="5"/>
      <c r="B220" s="112" t="str">
        <f>B1</f>
        <v xml:space="preserve">Inspirada FY 22 </v>
      </c>
      <c r="C220" s="112" t="str">
        <f>C1</f>
        <v>Operating</v>
      </c>
      <c r="D220" s="112" t="str">
        <f>D1</f>
        <v>Weights</v>
      </c>
      <c r="E220" s="112" t="str">
        <f>E1</f>
        <v>SPED</v>
      </c>
      <c r="F220" s="112" t="str">
        <f t="shared" ref="F220:G220" si="66">F1</f>
        <v>NSLP</v>
      </c>
      <c r="G220" s="112" t="str">
        <f t="shared" si="66"/>
        <v>Inspirada</v>
      </c>
    </row>
    <row r="221" spans="1:7" x14ac:dyDescent="0.25">
      <c r="A221" s="5"/>
      <c r="C221" s="109"/>
      <c r="D221" s="109"/>
      <c r="E221" s="109"/>
      <c r="F221" s="109"/>
      <c r="G221" s="109"/>
    </row>
    <row r="222" spans="1:7" x14ac:dyDescent="0.25">
      <c r="A222" s="5"/>
      <c r="B222" s="112"/>
      <c r="C222" s="71"/>
      <c r="D222" s="71"/>
      <c r="E222" s="71"/>
      <c r="F222" s="71"/>
      <c r="G222" s="71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64"/>
  <sheetViews>
    <sheetView topLeftCell="A82" workbookViewId="0">
      <selection activeCell="C112" sqref="C112"/>
    </sheetView>
  </sheetViews>
  <sheetFormatPr defaultRowHeight="15" x14ac:dyDescent="0.25"/>
  <cols>
    <col min="1" max="1" width="10.42578125" customWidth="1"/>
    <col min="2" max="2" width="46.85546875" customWidth="1"/>
    <col min="3" max="3" width="16.42578125" customWidth="1"/>
    <col min="4" max="4" width="14.85546875" customWidth="1"/>
    <col min="5" max="5" width="16.42578125" customWidth="1"/>
    <col min="6" max="7" width="14.85546875" customWidth="1"/>
    <col min="8" max="8" width="11" bestFit="1" customWidth="1"/>
  </cols>
  <sheetData>
    <row r="1" spans="1:7" x14ac:dyDescent="0.25">
      <c r="A1" s="2"/>
      <c r="B1" s="1" t="s">
        <v>235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236</v>
      </c>
    </row>
    <row r="2" spans="1:7" x14ac:dyDescent="0.25">
      <c r="A2" s="4"/>
      <c r="B2" s="6" t="s">
        <v>7</v>
      </c>
      <c r="C2" s="7">
        <v>7197</v>
      </c>
      <c r="D2" s="7">
        <v>0</v>
      </c>
      <c r="E2" s="7">
        <v>0</v>
      </c>
      <c r="F2" s="7">
        <v>0</v>
      </c>
      <c r="G2" s="7">
        <f>SUM(C2:F2)</f>
        <v>7197</v>
      </c>
    </row>
    <row r="3" spans="1:7" x14ac:dyDescent="0.25">
      <c r="A3" s="4"/>
      <c r="B3" s="8"/>
      <c r="C3" s="7">
        <v>0</v>
      </c>
      <c r="D3" s="7">
        <v>0</v>
      </c>
      <c r="E3" s="7"/>
      <c r="F3" s="7">
        <v>0</v>
      </c>
      <c r="G3" s="7">
        <f>SUM(C3:F3)</f>
        <v>0</v>
      </c>
    </row>
    <row r="4" spans="1:7" x14ac:dyDescent="0.25">
      <c r="A4" s="4"/>
      <c r="B4" s="8"/>
      <c r="C4" s="139"/>
      <c r="D4" s="139"/>
      <c r="E4" s="139"/>
      <c r="F4" s="139"/>
      <c r="G4" s="153"/>
    </row>
    <row r="5" spans="1:7" x14ac:dyDescent="0.25">
      <c r="A5" s="4"/>
      <c r="B5" s="8" t="s">
        <v>8</v>
      </c>
      <c r="C5" s="9">
        <f>C6+C7+C8+C9+C10+C11+C12+C13+C14+C15+C16+C17+C18</f>
        <v>0</v>
      </c>
      <c r="D5" s="9"/>
      <c r="E5" s="9"/>
      <c r="F5" s="9"/>
      <c r="G5" s="9">
        <f t="shared" ref="G5:G19" si="0">SUM(C5:F5)</f>
        <v>0</v>
      </c>
    </row>
    <row r="6" spans="1:7" x14ac:dyDescent="0.25">
      <c r="A6" s="163"/>
      <c r="B6" s="10" t="s">
        <v>9</v>
      </c>
      <c r="C6" s="11"/>
      <c r="D6" s="11"/>
      <c r="E6" s="11"/>
      <c r="F6" s="11"/>
      <c r="G6" s="9">
        <f t="shared" si="0"/>
        <v>0</v>
      </c>
    </row>
    <row r="7" spans="1:7" x14ac:dyDescent="0.25">
      <c r="A7" s="163"/>
      <c r="B7" s="12" t="s">
        <v>10</v>
      </c>
      <c r="C7" s="11"/>
      <c r="D7" s="11"/>
      <c r="E7" s="11"/>
      <c r="F7" s="11"/>
      <c r="G7" s="9">
        <f t="shared" si="0"/>
        <v>0</v>
      </c>
    </row>
    <row r="8" spans="1:7" x14ac:dyDescent="0.25">
      <c r="A8" s="163"/>
      <c r="B8" s="12" t="s">
        <v>11</v>
      </c>
      <c r="C8" s="11"/>
      <c r="D8" s="11"/>
      <c r="E8" s="11"/>
      <c r="F8" s="11"/>
      <c r="G8" s="9">
        <f t="shared" si="0"/>
        <v>0</v>
      </c>
    </row>
    <row r="9" spans="1:7" x14ac:dyDescent="0.25">
      <c r="A9" s="163"/>
      <c r="B9" s="13" t="s">
        <v>12</v>
      </c>
      <c r="C9" s="11"/>
      <c r="D9" s="11"/>
      <c r="E9" s="11"/>
      <c r="F9" s="11"/>
      <c r="G9" s="9">
        <f t="shared" si="0"/>
        <v>0</v>
      </c>
    </row>
    <row r="10" spans="1:7" x14ac:dyDescent="0.25">
      <c r="A10" s="163"/>
      <c r="B10" s="13" t="s">
        <v>13</v>
      </c>
      <c r="C10" s="11"/>
      <c r="D10" s="11"/>
      <c r="E10" s="11"/>
      <c r="F10" s="11"/>
      <c r="G10" s="9">
        <f t="shared" si="0"/>
        <v>0</v>
      </c>
    </row>
    <row r="11" spans="1:7" x14ac:dyDescent="0.25">
      <c r="A11" s="163"/>
      <c r="B11" s="13" t="s">
        <v>14</v>
      </c>
      <c r="C11" s="11"/>
      <c r="D11" s="11"/>
      <c r="E11" s="11"/>
      <c r="F11" s="11"/>
      <c r="G11" s="9">
        <f t="shared" si="0"/>
        <v>0</v>
      </c>
    </row>
    <row r="12" spans="1:7" x14ac:dyDescent="0.25">
      <c r="A12" s="163"/>
      <c r="B12" s="13" t="s">
        <v>15</v>
      </c>
      <c r="C12" s="11"/>
      <c r="D12" s="7"/>
      <c r="E12" s="7"/>
      <c r="F12" s="7"/>
      <c r="G12" s="9">
        <f t="shared" si="0"/>
        <v>0</v>
      </c>
    </row>
    <row r="13" spans="1:7" x14ac:dyDescent="0.25">
      <c r="A13" s="163"/>
      <c r="B13" s="13" t="s">
        <v>16</v>
      </c>
      <c r="C13" s="11"/>
      <c r="D13" s="7"/>
      <c r="E13" s="7"/>
      <c r="F13" s="7"/>
      <c r="G13" s="9">
        <f t="shared" si="0"/>
        <v>0</v>
      </c>
    </row>
    <row r="14" spans="1:7" x14ac:dyDescent="0.25">
      <c r="A14" s="163"/>
      <c r="B14" s="13" t="s">
        <v>17</v>
      </c>
      <c r="C14" s="11"/>
      <c r="D14" s="7"/>
      <c r="E14" s="7"/>
      <c r="F14" s="7"/>
      <c r="G14" s="9">
        <f t="shared" si="0"/>
        <v>0</v>
      </c>
    </row>
    <row r="15" spans="1:7" x14ac:dyDescent="0.25">
      <c r="A15" s="151"/>
      <c r="B15" s="13" t="s">
        <v>18</v>
      </c>
      <c r="C15" s="15"/>
      <c r="D15" s="7"/>
      <c r="E15" s="7"/>
      <c r="F15" s="7"/>
      <c r="G15" s="9">
        <f t="shared" si="0"/>
        <v>0</v>
      </c>
    </row>
    <row r="16" spans="1:7" x14ac:dyDescent="0.25">
      <c r="A16" s="151"/>
      <c r="B16" s="13" t="s">
        <v>19</v>
      </c>
      <c r="C16" s="15"/>
      <c r="D16" s="7"/>
      <c r="E16" s="7"/>
      <c r="F16" s="7"/>
      <c r="G16" s="9">
        <f t="shared" si="0"/>
        <v>0</v>
      </c>
    </row>
    <row r="17" spans="1:9" x14ac:dyDescent="0.25">
      <c r="A17" s="151"/>
      <c r="B17" s="13" t="s">
        <v>20</v>
      </c>
      <c r="C17" s="7"/>
      <c r="D17" s="7"/>
      <c r="E17" s="7"/>
      <c r="F17" s="7"/>
      <c r="G17" s="9">
        <f t="shared" si="0"/>
        <v>0</v>
      </c>
    </row>
    <row r="18" spans="1:9" x14ac:dyDescent="0.25">
      <c r="A18" s="151"/>
      <c r="B18" s="13" t="s">
        <v>21</v>
      </c>
      <c r="C18" s="7">
        <v>0</v>
      </c>
      <c r="D18" s="7"/>
      <c r="E18" s="7"/>
      <c r="F18" s="7"/>
      <c r="G18" s="9">
        <f t="shared" si="0"/>
        <v>0</v>
      </c>
    </row>
    <row r="19" spans="1:9" x14ac:dyDescent="0.25">
      <c r="A19" s="151"/>
      <c r="B19" s="13" t="s">
        <v>8</v>
      </c>
      <c r="C19" s="9">
        <f>SUM(C6:C18)</f>
        <v>0</v>
      </c>
      <c r="D19" s="9"/>
      <c r="E19" s="9"/>
      <c r="F19" s="9"/>
      <c r="G19" s="9">
        <f t="shared" si="0"/>
        <v>0</v>
      </c>
      <c r="H19" s="138">
        <f>G87+G92+G94</f>
        <v>0</v>
      </c>
      <c r="I19" t="e">
        <f>H19/G19</f>
        <v>#DIV/0!</v>
      </c>
    </row>
    <row r="20" spans="1:9" x14ac:dyDescent="0.25">
      <c r="A20" s="4"/>
      <c r="B20" s="16"/>
      <c r="C20" s="7"/>
      <c r="D20" s="7"/>
      <c r="E20" s="7"/>
      <c r="F20" s="7"/>
      <c r="G20" s="7"/>
    </row>
    <row r="21" spans="1:9" x14ac:dyDescent="0.25">
      <c r="A21" s="4"/>
      <c r="B21" s="17" t="s">
        <v>22</v>
      </c>
      <c r="C21" s="18"/>
      <c r="D21" s="18"/>
      <c r="E21" s="18"/>
      <c r="F21" s="18"/>
      <c r="G21" s="18"/>
      <c r="I21" s="137"/>
    </row>
    <row r="22" spans="1:9" x14ac:dyDescent="0.25">
      <c r="A22" s="4"/>
      <c r="B22" s="140" t="s">
        <v>23</v>
      </c>
      <c r="C22" s="7"/>
      <c r="D22" s="7"/>
      <c r="E22" s="7"/>
      <c r="F22" s="7"/>
      <c r="G22" s="7">
        <f t="shared" ref="G22:G27" si="1">SUM(C22:F22)</f>
        <v>0</v>
      </c>
    </row>
    <row r="23" spans="1:9" x14ac:dyDescent="0.25">
      <c r="A23" s="4"/>
      <c r="B23" s="140" t="s">
        <v>24</v>
      </c>
      <c r="C23" s="7"/>
      <c r="D23" s="7"/>
      <c r="E23" s="7"/>
      <c r="F23" s="7"/>
      <c r="G23" s="7">
        <f t="shared" si="1"/>
        <v>0</v>
      </c>
    </row>
    <row r="24" spans="1:9" x14ac:dyDescent="0.25">
      <c r="A24" s="4"/>
      <c r="B24" s="140" t="s">
        <v>25</v>
      </c>
      <c r="C24" s="7"/>
      <c r="D24" s="7"/>
      <c r="E24" s="7"/>
      <c r="F24" s="7"/>
      <c r="G24" s="7">
        <f t="shared" si="1"/>
        <v>0</v>
      </c>
    </row>
    <row r="25" spans="1:9" x14ac:dyDescent="0.25">
      <c r="A25" s="4"/>
      <c r="B25" s="140" t="s">
        <v>26</v>
      </c>
      <c r="C25" s="19"/>
      <c r="D25" s="19"/>
      <c r="E25" s="19"/>
      <c r="F25" s="19"/>
      <c r="G25" s="19">
        <f t="shared" si="1"/>
        <v>0</v>
      </c>
    </row>
    <row r="26" spans="1:9" x14ac:dyDescent="0.25">
      <c r="A26" s="4"/>
      <c r="B26" s="140" t="s">
        <v>27</v>
      </c>
      <c r="C26" s="7"/>
      <c r="D26" s="7"/>
      <c r="E26" s="7"/>
      <c r="F26" s="7"/>
      <c r="G26" s="7">
        <f t="shared" si="1"/>
        <v>0</v>
      </c>
    </row>
    <row r="27" spans="1:9" x14ac:dyDescent="0.25">
      <c r="A27" s="4"/>
      <c r="B27" s="20"/>
      <c r="C27" s="7"/>
      <c r="D27" s="7"/>
      <c r="E27" s="7"/>
      <c r="F27" s="7"/>
      <c r="G27" s="7">
        <f t="shared" si="1"/>
        <v>0</v>
      </c>
    </row>
    <row r="28" spans="1:9" x14ac:dyDescent="0.25">
      <c r="A28" s="4"/>
      <c r="B28" s="17" t="s">
        <v>28</v>
      </c>
      <c r="C28" s="18"/>
      <c r="D28" s="18"/>
      <c r="E28" s="18"/>
      <c r="F28" s="18"/>
      <c r="G28" s="18"/>
    </row>
    <row r="29" spans="1:9" x14ac:dyDescent="0.25">
      <c r="A29" s="4"/>
      <c r="B29" s="21" t="s">
        <v>29</v>
      </c>
      <c r="C29" s="23"/>
      <c r="D29" s="23"/>
      <c r="E29" s="23"/>
      <c r="F29" s="23"/>
      <c r="G29" s="23">
        <f t="shared" ref="G29:G38" si="2">SUM(C29:F29)</f>
        <v>0</v>
      </c>
    </row>
    <row r="30" spans="1:9" x14ac:dyDescent="0.25">
      <c r="A30" s="25"/>
      <c r="B30" s="21" t="s">
        <v>30</v>
      </c>
      <c r="C30" s="26"/>
      <c r="D30" s="26"/>
      <c r="E30" s="26"/>
      <c r="F30" s="26"/>
      <c r="G30" s="23">
        <f t="shared" si="2"/>
        <v>0</v>
      </c>
    </row>
    <row r="31" spans="1:9" x14ac:dyDescent="0.25">
      <c r="A31" s="4"/>
      <c r="B31" s="21" t="s">
        <v>31</v>
      </c>
      <c r="C31" s="23"/>
      <c r="D31" s="23"/>
      <c r="E31" s="23"/>
      <c r="F31" s="23"/>
      <c r="G31" s="23">
        <f t="shared" si="2"/>
        <v>0</v>
      </c>
    </row>
    <row r="32" spans="1:9" x14ac:dyDescent="0.25">
      <c r="A32" s="4"/>
      <c r="B32" s="21" t="s">
        <v>32</v>
      </c>
      <c r="C32" s="23"/>
      <c r="D32" s="23"/>
      <c r="E32" s="23"/>
      <c r="F32" s="23"/>
      <c r="G32" s="23">
        <f t="shared" si="2"/>
        <v>0</v>
      </c>
    </row>
    <row r="33" spans="1:7" x14ac:dyDescent="0.25">
      <c r="A33" s="4"/>
      <c r="B33" s="21" t="s">
        <v>33</v>
      </c>
      <c r="C33" s="23"/>
      <c r="D33" s="23"/>
      <c r="E33" s="23"/>
      <c r="F33" s="23"/>
      <c r="G33" s="23">
        <f t="shared" si="2"/>
        <v>0</v>
      </c>
    </row>
    <row r="34" spans="1:7" x14ac:dyDescent="0.25">
      <c r="A34" s="4"/>
      <c r="B34" s="24" t="s">
        <v>34</v>
      </c>
      <c r="C34" s="23"/>
      <c r="D34" s="22"/>
      <c r="E34" s="22"/>
      <c r="F34" s="22"/>
      <c r="G34" s="23">
        <f t="shared" si="2"/>
        <v>0</v>
      </c>
    </row>
    <row r="35" spans="1:7" x14ac:dyDescent="0.25">
      <c r="A35" s="4"/>
      <c r="B35" s="27" t="s">
        <v>35</v>
      </c>
      <c r="C35" s="23"/>
      <c r="D35" s="23"/>
      <c r="E35" s="23"/>
      <c r="F35" s="23"/>
      <c r="G35" s="23">
        <f t="shared" si="2"/>
        <v>0</v>
      </c>
    </row>
    <row r="36" spans="1:7" x14ac:dyDescent="0.25">
      <c r="A36" s="4"/>
      <c r="B36" s="28" t="s">
        <v>36</v>
      </c>
      <c r="C36" s="23"/>
      <c r="D36" s="22"/>
      <c r="E36" s="22"/>
      <c r="F36" s="22"/>
      <c r="G36" s="23">
        <f t="shared" si="2"/>
        <v>0</v>
      </c>
    </row>
    <row r="37" spans="1:7" x14ac:dyDescent="0.25">
      <c r="A37" s="4"/>
      <c r="B37" s="27" t="s">
        <v>37</v>
      </c>
      <c r="C37" s="23"/>
      <c r="D37" s="23"/>
      <c r="E37" s="23"/>
      <c r="F37" s="23"/>
      <c r="G37" s="23">
        <f t="shared" si="2"/>
        <v>0</v>
      </c>
    </row>
    <row r="38" spans="1:7" x14ac:dyDescent="0.25">
      <c r="A38" s="4"/>
      <c r="B38" s="27" t="s">
        <v>38</v>
      </c>
      <c r="C38" s="23"/>
      <c r="D38" s="23"/>
      <c r="E38" s="23"/>
      <c r="F38" s="23"/>
      <c r="G38" s="23">
        <f t="shared" si="2"/>
        <v>0</v>
      </c>
    </row>
    <row r="39" spans="1:7" x14ac:dyDescent="0.25">
      <c r="A39" s="4"/>
      <c r="B39" s="29" t="s">
        <v>39</v>
      </c>
      <c r="C39" s="30">
        <f>SUM(C29:C38)</f>
        <v>0</v>
      </c>
      <c r="D39" s="30">
        <f>SUM(D29:D38)</f>
        <v>0</v>
      </c>
      <c r="E39" s="30">
        <f t="shared" ref="E39:G39" si="3">SUM(E29:E38)</f>
        <v>0</v>
      </c>
      <c r="F39" s="30">
        <f t="shared" si="3"/>
        <v>0</v>
      </c>
      <c r="G39" s="30">
        <f t="shared" si="3"/>
        <v>0</v>
      </c>
    </row>
    <row r="40" spans="1:7" x14ac:dyDescent="0.25">
      <c r="A40" s="4"/>
      <c r="B40" s="31"/>
      <c r="C40" s="23"/>
      <c r="D40" s="23"/>
      <c r="E40" s="23"/>
      <c r="F40" s="23"/>
      <c r="G40" s="23"/>
    </row>
    <row r="41" spans="1:7" x14ac:dyDescent="0.25">
      <c r="A41" s="4"/>
      <c r="B41" s="17" t="s">
        <v>40</v>
      </c>
      <c r="C41" s="32"/>
      <c r="D41" s="32"/>
      <c r="E41" s="32"/>
      <c r="F41" s="32"/>
      <c r="G41" s="32"/>
    </row>
    <row r="42" spans="1:7" x14ac:dyDescent="0.25">
      <c r="A42" s="4"/>
      <c r="B42" s="21" t="s">
        <v>41</v>
      </c>
      <c r="C42" s="23"/>
      <c r="D42" s="23"/>
      <c r="E42" s="23"/>
      <c r="F42" s="23"/>
      <c r="G42" s="23">
        <f>SUM(C42:F42)</f>
        <v>0</v>
      </c>
    </row>
    <row r="43" spans="1:7" x14ac:dyDescent="0.25">
      <c r="A43" s="4"/>
      <c r="B43" s="21" t="s">
        <v>42</v>
      </c>
      <c r="C43" s="26"/>
      <c r="D43" s="23"/>
      <c r="E43" s="23"/>
      <c r="F43" s="23"/>
      <c r="G43" s="23">
        <f t="shared" ref="G43:G61" si="4">SUM(C43:F43)</f>
        <v>0</v>
      </c>
    </row>
    <row r="44" spans="1:7" x14ac:dyDescent="0.25">
      <c r="A44" s="4"/>
      <c r="B44" s="34" t="s">
        <v>43</v>
      </c>
      <c r="C44" s="23"/>
      <c r="D44" s="23"/>
      <c r="E44" s="23"/>
      <c r="F44" s="23"/>
      <c r="G44" s="23">
        <f t="shared" si="4"/>
        <v>0</v>
      </c>
    </row>
    <row r="45" spans="1:7" x14ac:dyDescent="0.25">
      <c r="A45" s="4"/>
      <c r="B45" s="33" t="s">
        <v>44</v>
      </c>
      <c r="C45" s="23"/>
      <c r="D45" s="23"/>
      <c r="E45" s="23"/>
      <c r="F45" s="23"/>
      <c r="G45" s="23">
        <f t="shared" si="4"/>
        <v>0</v>
      </c>
    </row>
    <row r="46" spans="1:7" x14ac:dyDescent="0.25">
      <c r="A46" s="4"/>
      <c r="B46" s="33" t="s">
        <v>45</v>
      </c>
      <c r="C46" s="23">
        <v>1</v>
      </c>
      <c r="D46" s="23"/>
      <c r="E46" s="23"/>
      <c r="F46" s="23"/>
      <c r="G46" s="23">
        <f t="shared" si="4"/>
        <v>1</v>
      </c>
    </row>
    <row r="47" spans="1:7" x14ac:dyDescent="0.25">
      <c r="A47" s="4"/>
      <c r="B47" s="21" t="s">
        <v>200</v>
      </c>
      <c r="C47" s="23">
        <v>1</v>
      </c>
      <c r="D47" s="23"/>
      <c r="E47" s="23"/>
      <c r="F47" s="23"/>
      <c r="G47" s="23">
        <f t="shared" si="4"/>
        <v>1</v>
      </c>
    </row>
    <row r="48" spans="1:7" x14ac:dyDescent="0.25">
      <c r="A48" s="4"/>
      <c r="B48" s="21" t="s">
        <v>47</v>
      </c>
      <c r="C48" s="26"/>
      <c r="D48" s="26"/>
      <c r="E48" s="26"/>
      <c r="F48" s="26"/>
      <c r="G48" s="23">
        <f t="shared" si="4"/>
        <v>0</v>
      </c>
    </row>
    <row r="49" spans="1:7" x14ac:dyDescent="0.25">
      <c r="A49" s="4"/>
      <c r="B49" s="21" t="s">
        <v>48</v>
      </c>
      <c r="C49" s="26"/>
      <c r="D49" s="26"/>
      <c r="E49" s="26"/>
      <c r="F49" s="26"/>
      <c r="G49" s="23">
        <f t="shared" si="4"/>
        <v>0</v>
      </c>
    </row>
    <row r="50" spans="1:7" x14ac:dyDescent="0.25">
      <c r="A50" s="4"/>
      <c r="B50" s="21" t="s">
        <v>49</v>
      </c>
      <c r="C50" s="26"/>
      <c r="D50" s="26"/>
      <c r="E50" s="26"/>
      <c r="F50" s="26"/>
      <c r="G50" s="23">
        <f t="shared" si="4"/>
        <v>0</v>
      </c>
    </row>
    <row r="51" spans="1:7" x14ac:dyDescent="0.25">
      <c r="A51" s="4"/>
      <c r="B51" s="21" t="s">
        <v>50</v>
      </c>
      <c r="C51" s="152"/>
      <c r="D51" s="152"/>
      <c r="E51" s="152"/>
      <c r="F51" s="152"/>
      <c r="G51" s="23">
        <f t="shared" si="4"/>
        <v>0</v>
      </c>
    </row>
    <row r="52" spans="1:7" x14ac:dyDescent="0.25">
      <c r="A52" s="4"/>
      <c r="B52" s="21" t="s">
        <v>51</v>
      </c>
      <c r="C52" s="152"/>
      <c r="D52" s="152"/>
      <c r="E52" s="152"/>
      <c r="F52" s="152"/>
      <c r="G52" s="23">
        <f t="shared" si="4"/>
        <v>0</v>
      </c>
    </row>
    <row r="53" spans="1:7" x14ac:dyDescent="0.25">
      <c r="A53" s="4"/>
      <c r="B53" s="21" t="s">
        <v>52</v>
      </c>
      <c r="C53" s="152"/>
      <c r="D53" s="152"/>
      <c r="E53" s="152"/>
      <c r="F53" s="152"/>
      <c r="G53" s="23">
        <f t="shared" si="4"/>
        <v>0</v>
      </c>
    </row>
    <row r="54" spans="1:7" x14ac:dyDescent="0.25">
      <c r="A54" s="4"/>
      <c r="B54" s="21" t="s">
        <v>53</v>
      </c>
      <c r="C54" s="26"/>
      <c r="D54" s="26"/>
      <c r="E54" s="26"/>
      <c r="F54" s="26"/>
      <c r="G54" s="23">
        <f t="shared" si="4"/>
        <v>0</v>
      </c>
    </row>
    <row r="55" spans="1:7" x14ac:dyDescent="0.25">
      <c r="A55" s="4"/>
      <c r="B55" s="34" t="s">
        <v>54</v>
      </c>
      <c r="C55" s="23"/>
      <c r="D55" s="23"/>
      <c r="E55" s="23"/>
      <c r="F55" s="23"/>
      <c r="G55" s="23">
        <f t="shared" si="4"/>
        <v>0</v>
      </c>
    </row>
    <row r="56" spans="1:7" x14ac:dyDescent="0.25">
      <c r="A56" s="4"/>
      <c r="B56" s="34" t="s">
        <v>55</v>
      </c>
      <c r="C56" s="23"/>
      <c r="D56" s="23"/>
      <c r="E56" s="23"/>
      <c r="F56" s="23"/>
      <c r="G56" s="23">
        <f t="shared" si="4"/>
        <v>0</v>
      </c>
    </row>
    <row r="57" spans="1:7" x14ac:dyDescent="0.25">
      <c r="A57" s="4"/>
      <c r="B57" s="34" t="s">
        <v>56</v>
      </c>
      <c r="C57" s="23"/>
      <c r="D57" s="23"/>
      <c r="E57" s="23"/>
      <c r="F57" s="23"/>
      <c r="G57" s="23">
        <f t="shared" si="4"/>
        <v>0</v>
      </c>
    </row>
    <row r="58" spans="1:7" x14ac:dyDescent="0.25">
      <c r="A58" s="4"/>
      <c r="B58" s="34" t="s">
        <v>57</v>
      </c>
      <c r="C58" s="23"/>
      <c r="D58" s="23"/>
      <c r="E58" s="23"/>
      <c r="F58" s="23"/>
      <c r="G58" s="23">
        <f t="shared" si="4"/>
        <v>0</v>
      </c>
    </row>
    <row r="59" spans="1:7" x14ac:dyDescent="0.25">
      <c r="A59" s="4"/>
      <c r="B59" s="34" t="s">
        <v>58</v>
      </c>
      <c r="C59" s="23"/>
      <c r="D59" s="23"/>
      <c r="E59" s="23"/>
      <c r="F59" s="23"/>
      <c r="G59" s="23">
        <f t="shared" si="4"/>
        <v>0</v>
      </c>
    </row>
    <row r="60" spans="1:7" x14ac:dyDescent="0.25">
      <c r="A60" s="4"/>
      <c r="B60" s="34" t="s">
        <v>59</v>
      </c>
      <c r="C60" s="23"/>
      <c r="D60" s="23">
        <v>0.5</v>
      </c>
      <c r="E60" s="23"/>
      <c r="F60" s="23"/>
      <c r="G60" s="23">
        <f t="shared" si="4"/>
        <v>0.5</v>
      </c>
    </row>
    <row r="61" spans="1:7" x14ac:dyDescent="0.25">
      <c r="A61" s="4"/>
      <c r="B61" s="35"/>
      <c r="C61" s="23"/>
      <c r="D61" s="23"/>
      <c r="E61" s="23"/>
      <c r="F61" s="23"/>
      <c r="G61" s="23">
        <f t="shared" si="4"/>
        <v>0</v>
      </c>
    </row>
    <row r="62" spans="1:7" x14ac:dyDescent="0.25">
      <c r="A62" s="4"/>
      <c r="B62" s="29" t="s">
        <v>60</v>
      </c>
      <c r="C62" s="30">
        <f>SUM(C42:C61)</f>
        <v>2</v>
      </c>
      <c r="D62" s="30">
        <f t="shared" ref="D62:G62" si="5">SUM(D42:D61)</f>
        <v>0.5</v>
      </c>
      <c r="E62" s="30">
        <f t="shared" si="5"/>
        <v>0</v>
      </c>
      <c r="F62" s="30">
        <f t="shared" si="5"/>
        <v>0</v>
      </c>
      <c r="G62" s="30">
        <f t="shared" si="5"/>
        <v>2.5</v>
      </c>
    </row>
    <row r="63" spans="1:7" ht="15.75" thickBot="1" x14ac:dyDescent="0.3">
      <c r="A63" s="4"/>
      <c r="B63" s="36"/>
      <c r="C63" s="38"/>
      <c r="D63" s="38"/>
      <c r="E63" s="38"/>
      <c r="F63" s="38"/>
      <c r="G63" s="38"/>
    </row>
    <row r="64" spans="1:7" x14ac:dyDescent="0.25">
      <c r="A64" s="2"/>
      <c r="B64" s="40" t="s">
        <v>61</v>
      </c>
      <c r="C64" s="39">
        <f>C39</f>
        <v>0</v>
      </c>
      <c r="D64" s="39">
        <f>D39</f>
        <v>0</v>
      </c>
      <c r="E64" s="39">
        <f>E39</f>
        <v>0</v>
      </c>
      <c r="F64" s="39">
        <f t="shared" ref="F64" si="6">F39</f>
        <v>0</v>
      </c>
      <c r="G64" s="39">
        <f>G39</f>
        <v>0</v>
      </c>
    </row>
    <row r="65" spans="1:7" ht="15.75" thickBot="1" x14ac:dyDescent="0.3">
      <c r="A65" s="2"/>
      <c r="B65" s="42" t="s">
        <v>62</v>
      </c>
      <c r="C65" s="41">
        <f>C62</f>
        <v>2</v>
      </c>
      <c r="D65" s="41">
        <f>D62</f>
        <v>0.5</v>
      </c>
      <c r="E65" s="41">
        <f>E62</f>
        <v>0</v>
      </c>
      <c r="F65" s="41">
        <f t="shared" ref="F65:G65" si="7">F62</f>
        <v>0</v>
      </c>
      <c r="G65" s="41">
        <f t="shared" si="7"/>
        <v>2.5</v>
      </c>
    </row>
    <row r="66" spans="1:7" ht="15.75" thickBot="1" x14ac:dyDescent="0.3">
      <c r="A66" s="2"/>
      <c r="B66" s="44" t="s">
        <v>63</v>
      </c>
      <c r="C66" s="43">
        <f>SUM(C64:C65)</f>
        <v>2</v>
      </c>
      <c r="D66" s="43">
        <f>SUM(D64:D65)</f>
        <v>0.5</v>
      </c>
      <c r="E66" s="43">
        <f>SUM(E64:E65)</f>
        <v>0</v>
      </c>
      <c r="F66" s="43">
        <f t="shared" ref="F66:G66" si="8">SUM(F64:F65)</f>
        <v>0</v>
      </c>
      <c r="G66" s="43">
        <f t="shared" si="8"/>
        <v>2.5</v>
      </c>
    </row>
    <row r="67" spans="1:7" ht="15.75" thickBot="1" x14ac:dyDescent="0.3">
      <c r="A67" s="4"/>
      <c r="B67" s="34"/>
      <c r="C67" s="45"/>
      <c r="D67" s="45"/>
      <c r="E67" s="45"/>
      <c r="F67" s="45"/>
      <c r="G67" s="45"/>
    </row>
    <row r="68" spans="1:7" x14ac:dyDescent="0.25">
      <c r="A68" s="4"/>
      <c r="B68" s="47" t="s">
        <v>64</v>
      </c>
      <c r="C68" s="46"/>
      <c r="D68" s="46"/>
      <c r="E68" s="46"/>
      <c r="F68" s="46"/>
      <c r="G68" s="46">
        <f t="shared" ref="G68" si="9">G137/(SUM(G204:G214))</f>
        <v>0.98580966281093418</v>
      </c>
    </row>
    <row r="69" spans="1:7" x14ac:dyDescent="0.25">
      <c r="A69" s="4"/>
      <c r="B69" s="49" t="s">
        <v>65</v>
      </c>
      <c r="C69" s="48"/>
      <c r="D69" s="48"/>
      <c r="E69" s="48"/>
      <c r="F69" s="48"/>
      <c r="G69" s="48">
        <f t="shared" ref="G69" si="10">(G108+G109+G110+G113)/G129</f>
        <v>0</v>
      </c>
    </row>
    <row r="70" spans="1:7" x14ac:dyDescent="0.25">
      <c r="A70" s="4"/>
      <c r="B70" s="51" t="s">
        <v>66</v>
      </c>
      <c r="C70" s="48"/>
      <c r="D70" s="48"/>
      <c r="E70" s="48"/>
      <c r="F70" s="48"/>
      <c r="G70" s="48">
        <f t="shared" ref="G70" si="11">(G103+G104+G106+G107+G111+G112+G114+G115+G118+G119+G120+G121+G122+G105+G123+G124+G125+G126+G127)/G129</f>
        <v>1</v>
      </c>
    </row>
    <row r="71" spans="1:7" ht="15.75" thickBot="1" x14ac:dyDescent="0.3">
      <c r="A71" s="4"/>
      <c r="B71" s="53" t="s">
        <v>67</v>
      </c>
      <c r="C71" s="52"/>
      <c r="D71" s="52"/>
      <c r="E71" s="52"/>
      <c r="F71" s="52"/>
      <c r="G71" s="52">
        <f t="shared" ref="G71" si="12">SUM(G206:G214)/G86</f>
        <v>0</v>
      </c>
    </row>
    <row r="72" spans="1:7" x14ac:dyDescent="0.25">
      <c r="A72" s="50"/>
      <c r="B72" s="54"/>
      <c r="C72" s="55"/>
      <c r="D72" s="55"/>
      <c r="E72" s="55"/>
      <c r="F72" s="55"/>
      <c r="G72" s="55"/>
    </row>
    <row r="73" spans="1:7" x14ac:dyDescent="0.25">
      <c r="A73" s="56"/>
      <c r="B73" s="57" t="s">
        <v>237</v>
      </c>
      <c r="C73" s="58" t="str">
        <f>C1</f>
        <v>Operating</v>
      </c>
      <c r="D73" s="58" t="str">
        <f>D1</f>
        <v>Weights</v>
      </c>
      <c r="E73" s="58" t="s">
        <v>3</v>
      </c>
      <c r="F73" s="58" t="str">
        <f t="shared" ref="F73" si="13">F1</f>
        <v>NSLP</v>
      </c>
      <c r="G73" s="58" t="str">
        <f>G1</f>
        <v>System</v>
      </c>
    </row>
    <row r="74" spans="1:7" x14ac:dyDescent="0.25">
      <c r="A74" s="59">
        <v>3110</v>
      </c>
      <c r="B74" s="60" t="s">
        <v>69</v>
      </c>
      <c r="C74" s="7">
        <f>(C2*C5)*0.95</f>
        <v>0</v>
      </c>
      <c r="D74" s="7">
        <f t="shared" ref="D74" si="14">(D2*D5)*0.95</f>
        <v>0</v>
      </c>
      <c r="E74" s="7"/>
      <c r="F74" s="7"/>
      <c r="G74" s="7">
        <f t="shared" ref="G74:G85" si="15">SUM(C74:F74)</f>
        <v>0</v>
      </c>
    </row>
    <row r="75" spans="1:7" x14ac:dyDescent="0.25">
      <c r="A75" s="59"/>
      <c r="B75" s="62" t="s">
        <v>70</v>
      </c>
      <c r="C75" s="7">
        <f>(C3*C5)*0.95</f>
        <v>0</v>
      </c>
      <c r="D75" s="7">
        <f t="shared" ref="D75" si="16">(D3*D5)*0.95</f>
        <v>0</v>
      </c>
      <c r="E75" s="7">
        <v>0</v>
      </c>
      <c r="F75" s="7"/>
      <c r="G75" s="7">
        <f t="shared" si="15"/>
        <v>0</v>
      </c>
    </row>
    <row r="76" spans="1:7" x14ac:dyDescent="0.25">
      <c r="A76" s="59">
        <v>4500</v>
      </c>
      <c r="B76" s="62" t="s">
        <v>71</v>
      </c>
      <c r="C76" s="7">
        <f>($C$19*C25)*3.15*180</f>
        <v>0</v>
      </c>
      <c r="D76" s="7">
        <f t="shared" ref="D76" si="17">($C$19*D25)*3.15*180</f>
        <v>0</v>
      </c>
      <c r="E76" s="7"/>
      <c r="F76" s="7">
        <f>(($C$19*F25)*4*180)</f>
        <v>0</v>
      </c>
      <c r="G76" s="7">
        <f t="shared" si="15"/>
        <v>0</v>
      </c>
    </row>
    <row r="77" spans="1:7" x14ac:dyDescent="0.25">
      <c r="A77" s="59">
        <v>4500</v>
      </c>
      <c r="B77" s="62" t="s">
        <v>72</v>
      </c>
      <c r="C77" s="7">
        <f>950*C22</f>
        <v>0</v>
      </c>
      <c r="D77" s="7">
        <f t="shared" ref="D77" si="18">950*D22</f>
        <v>0</v>
      </c>
      <c r="E77" s="7">
        <f>950*E22</f>
        <v>0</v>
      </c>
      <c r="F77" s="7"/>
      <c r="G77" s="7">
        <f t="shared" si="15"/>
        <v>0</v>
      </c>
    </row>
    <row r="78" spans="1:7" x14ac:dyDescent="0.25">
      <c r="A78" s="143">
        <v>3115</v>
      </c>
      <c r="B78" s="141" t="s">
        <v>73</v>
      </c>
      <c r="C78" s="37">
        <f>3200*C22</f>
        <v>0</v>
      </c>
      <c r="D78" s="37">
        <f t="shared" ref="D78" si="19">3200*D22</f>
        <v>0</v>
      </c>
      <c r="E78" s="37">
        <f>3200*E22</f>
        <v>0</v>
      </c>
      <c r="F78" s="37"/>
      <c r="G78" s="7">
        <f t="shared" si="15"/>
        <v>0</v>
      </c>
    </row>
    <row r="79" spans="1:7" x14ac:dyDescent="0.25">
      <c r="A79" s="63"/>
      <c r="B79" s="62" t="s">
        <v>74</v>
      </c>
      <c r="C79" s="37">
        <f>1400*C23</f>
        <v>0</v>
      </c>
      <c r="D79" s="37">
        <f>1675*D23</f>
        <v>0</v>
      </c>
      <c r="E79" s="37"/>
      <c r="F79" s="37"/>
      <c r="G79" s="7">
        <f t="shared" si="15"/>
        <v>0</v>
      </c>
    </row>
    <row r="80" spans="1:7" x14ac:dyDescent="0.25">
      <c r="A80" s="59">
        <v>3200</v>
      </c>
      <c r="B80" s="62" t="s">
        <v>75</v>
      </c>
      <c r="C80" s="7">
        <f>830*C24</f>
        <v>0</v>
      </c>
      <c r="D80" s="7">
        <f>837*D24</f>
        <v>0</v>
      </c>
      <c r="E80" s="7"/>
      <c r="F80" s="7"/>
      <c r="G80" s="7">
        <f t="shared" si="15"/>
        <v>0</v>
      </c>
    </row>
    <row r="81" spans="1:7" x14ac:dyDescent="0.25">
      <c r="A81" s="59"/>
      <c r="B81" s="62" t="s">
        <v>76</v>
      </c>
      <c r="C81" s="7">
        <f>240*C26</f>
        <v>0</v>
      </c>
      <c r="D81" s="7">
        <f>209*D26</f>
        <v>0</v>
      </c>
      <c r="E81" s="7"/>
      <c r="F81" s="7"/>
      <c r="G81" s="7">
        <f t="shared" si="15"/>
        <v>0</v>
      </c>
    </row>
    <row r="82" spans="1:7" x14ac:dyDescent="0.25">
      <c r="A82" s="64"/>
      <c r="B82" s="62" t="s">
        <v>77</v>
      </c>
      <c r="C82" s="7"/>
      <c r="D82" s="7"/>
      <c r="E82" s="7"/>
      <c r="F82" s="7"/>
      <c r="G82" s="7">
        <f t="shared" si="15"/>
        <v>0</v>
      </c>
    </row>
    <row r="83" spans="1:7" x14ac:dyDescent="0.25">
      <c r="A83" s="59">
        <v>1510</v>
      </c>
      <c r="B83" s="154" t="s">
        <v>78</v>
      </c>
      <c r="C83" s="7">
        <v>0</v>
      </c>
      <c r="D83" s="7"/>
      <c r="E83" s="7"/>
      <c r="F83" s="7"/>
      <c r="G83" s="7">
        <f t="shared" si="15"/>
        <v>0</v>
      </c>
    </row>
    <row r="84" spans="1:7" x14ac:dyDescent="0.25">
      <c r="A84" s="59"/>
      <c r="B84" s="62" t="s">
        <v>77</v>
      </c>
      <c r="C84" s="7"/>
      <c r="D84" s="7"/>
      <c r="E84" s="7"/>
      <c r="F84" s="7"/>
      <c r="G84" s="7">
        <f t="shared" si="15"/>
        <v>0</v>
      </c>
    </row>
    <row r="85" spans="1:7" ht="15.75" thickBot="1" x14ac:dyDescent="0.3">
      <c r="A85" s="63"/>
      <c r="B85" s="65" t="s">
        <v>79</v>
      </c>
      <c r="C85" s="37">
        <f>C155</f>
        <v>2480</v>
      </c>
      <c r="D85" s="37">
        <f t="shared" ref="D85:F85" si="20">D155</f>
        <v>120</v>
      </c>
      <c r="E85" s="37">
        <f t="shared" si="20"/>
        <v>0</v>
      </c>
      <c r="F85" s="37">
        <f t="shared" si="20"/>
        <v>0</v>
      </c>
      <c r="G85" s="7">
        <f t="shared" si="15"/>
        <v>2600</v>
      </c>
    </row>
    <row r="86" spans="1:7" ht="15.75" thickBot="1" x14ac:dyDescent="0.3">
      <c r="A86" s="66"/>
      <c r="B86" s="67" t="s">
        <v>80</v>
      </c>
      <c r="C86" s="68">
        <f>SUM(C74:C85)</f>
        <v>2480</v>
      </c>
      <c r="D86" s="68">
        <f>SUM(D74:D85)</f>
        <v>120</v>
      </c>
      <c r="E86" s="68">
        <f>SUM(E74:E85)</f>
        <v>0</v>
      </c>
      <c r="F86" s="68">
        <f t="shared" ref="F86:G86" si="21">SUM(F74:F85)</f>
        <v>0</v>
      </c>
      <c r="G86" s="68">
        <f t="shared" si="21"/>
        <v>2600</v>
      </c>
    </row>
    <row r="87" spans="1:7" hidden="1" x14ac:dyDescent="0.25">
      <c r="A87" s="59">
        <f>A74</f>
        <v>3110</v>
      </c>
      <c r="B87" s="60" t="s">
        <v>69</v>
      </c>
      <c r="C87" s="61">
        <f>C2*C5</f>
        <v>0</v>
      </c>
      <c r="D87" s="61">
        <f>D2*D5</f>
        <v>0</v>
      </c>
      <c r="E87" s="61">
        <f>E2*E5</f>
        <v>0</v>
      </c>
      <c r="F87" s="61">
        <f t="shared" ref="F87:G87" si="22">F2*F5</f>
        <v>0</v>
      </c>
      <c r="G87" s="61">
        <f t="shared" si="22"/>
        <v>0</v>
      </c>
    </row>
    <row r="88" spans="1:7" hidden="1" x14ac:dyDescent="0.25">
      <c r="A88" s="59"/>
      <c r="B88" s="62" t="s">
        <v>201</v>
      </c>
      <c r="C88" s="61">
        <f>C3*C5</f>
        <v>0</v>
      </c>
      <c r="D88" s="61">
        <f>D3*D5</f>
        <v>0</v>
      </c>
      <c r="E88" s="61">
        <f>E3*E5</f>
        <v>0</v>
      </c>
      <c r="F88" s="61">
        <f t="shared" ref="F88:G88" si="23">F3*F5</f>
        <v>0</v>
      </c>
      <c r="G88" s="61">
        <f t="shared" si="23"/>
        <v>0</v>
      </c>
    </row>
    <row r="89" spans="1:7" hidden="1" x14ac:dyDescent="0.25">
      <c r="A89" s="59">
        <f t="shared" ref="A89:A91" si="24">A76</f>
        <v>4500</v>
      </c>
      <c r="B89" s="62" t="s">
        <v>71</v>
      </c>
      <c r="C89" s="61">
        <f t="shared" ref="C89:G98" si="25">C76</f>
        <v>0</v>
      </c>
      <c r="D89" s="61">
        <f t="shared" si="25"/>
        <v>0</v>
      </c>
      <c r="E89" s="61">
        <f t="shared" si="25"/>
        <v>0</v>
      </c>
      <c r="F89" s="61">
        <f t="shared" si="25"/>
        <v>0</v>
      </c>
      <c r="G89" s="61">
        <f t="shared" si="25"/>
        <v>0</v>
      </c>
    </row>
    <row r="90" spans="1:7" hidden="1" x14ac:dyDescent="0.25">
      <c r="A90" s="59">
        <f t="shared" si="24"/>
        <v>4500</v>
      </c>
      <c r="B90" s="62" t="s">
        <v>72</v>
      </c>
      <c r="C90" s="61">
        <f t="shared" si="25"/>
        <v>0</v>
      </c>
      <c r="D90" s="61">
        <f t="shared" si="25"/>
        <v>0</v>
      </c>
      <c r="E90" s="61">
        <f t="shared" si="25"/>
        <v>0</v>
      </c>
      <c r="F90" s="61">
        <f t="shared" si="25"/>
        <v>0</v>
      </c>
      <c r="G90" s="61">
        <f t="shared" si="25"/>
        <v>0</v>
      </c>
    </row>
    <row r="91" spans="1:7" hidden="1" x14ac:dyDescent="0.25">
      <c r="A91" s="59">
        <f t="shared" si="24"/>
        <v>3115</v>
      </c>
      <c r="B91" s="141" t="s">
        <v>73</v>
      </c>
      <c r="C91" s="61">
        <f t="shared" si="25"/>
        <v>0</v>
      </c>
      <c r="D91" s="61">
        <f t="shared" si="25"/>
        <v>0</v>
      </c>
      <c r="E91" s="61">
        <f t="shared" si="25"/>
        <v>0</v>
      </c>
      <c r="F91" s="61">
        <f t="shared" si="25"/>
        <v>0</v>
      </c>
      <c r="G91" s="61">
        <f t="shared" si="25"/>
        <v>0</v>
      </c>
    </row>
    <row r="92" spans="1:7" hidden="1" x14ac:dyDescent="0.25">
      <c r="A92" s="59"/>
      <c r="B92" s="62" t="s">
        <v>74</v>
      </c>
      <c r="C92" s="61">
        <f t="shared" si="25"/>
        <v>0</v>
      </c>
      <c r="D92" s="61">
        <f t="shared" si="25"/>
        <v>0</v>
      </c>
      <c r="E92" s="61">
        <f t="shared" si="25"/>
        <v>0</v>
      </c>
      <c r="F92" s="61">
        <f t="shared" si="25"/>
        <v>0</v>
      </c>
      <c r="G92" s="61">
        <f t="shared" si="25"/>
        <v>0</v>
      </c>
    </row>
    <row r="93" spans="1:7" hidden="1" x14ac:dyDescent="0.25">
      <c r="A93" s="59">
        <f t="shared" ref="A93" si="26">A80</f>
        <v>3200</v>
      </c>
      <c r="B93" s="62" t="s">
        <v>75</v>
      </c>
      <c r="C93" s="61">
        <f t="shared" si="25"/>
        <v>0</v>
      </c>
      <c r="D93" s="61">
        <f t="shared" si="25"/>
        <v>0</v>
      </c>
      <c r="E93" s="61">
        <f t="shared" si="25"/>
        <v>0</v>
      </c>
      <c r="F93" s="61">
        <f t="shared" si="25"/>
        <v>0</v>
      </c>
      <c r="G93" s="61">
        <f t="shared" si="25"/>
        <v>0</v>
      </c>
    </row>
    <row r="94" spans="1:7" hidden="1" x14ac:dyDescent="0.25">
      <c r="A94" s="59"/>
      <c r="B94" s="62" t="s">
        <v>76</v>
      </c>
      <c r="C94" s="61">
        <f t="shared" si="25"/>
        <v>0</v>
      </c>
      <c r="D94" s="61">
        <f t="shared" si="25"/>
        <v>0</v>
      </c>
      <c r="E94" s="61">
        <f t="shared" si="25"/>
        <v>0</v>
      </c>
      <c r="F94" s="61">
        <f t="shared" si="25"/>
        <v>0</v>
      </c>
      <c r="G94" s="61">
        <f t="shared" si="25"/>
        <v>0</v>
      </c>
    </row>
    <row r="95" spans="1:7" hidden="1" x14ac:dyDescent="0.25">
      <c r="A95" s="64"/>
      <c r="B95" s="62" t="s">
        <v>202</v>
      </c>
      <c r="C95" s="61">
        <f t="shared" si="25"/>
        <v>0</v>
      </c>
      <c r="D95" s="61">
        <f t="shared" si="25"/>
        <v>0</v>
      </c>
      <c r="E95" s="61">
        <f t="shared" si="25"/>
        <v>0</v>
      </c>
      <c r="F95" s="61">
        <f t="shared" si="25"/>
        <v>0</v>
      </c>
      <c r="G95" s="61">
        <f t="shared" si="25"/>
        <v>0</v>
      </c>
    </row>
    <row r="96" spans="1:7" hidden="1" x14ac:dyDescent="0.25">
      <c r="A96" s="59">
        <f t="shared" ref="A96" si="27">A83</f>
        <v>1510</v>
      </c>
      <c r="B96" s="62" t="s">
        <v>203</v>
      </c>
      <c r="C96" s="61">
        <f t="shared" si="25"/>
        <v>0</v>
      </c>
      <c r="D96" s="61">
        <f t="shared" si="25"/>
        <v>0</v>
      </c>
      <c r="E96" s="61">
        <f t="shared" si="25"/>
        <v>0</v>
      </c>
      <c r="F96" s="61">
        <f t="shared" si="25"/>
        <v>0</v>
      </c>
      <c r="G96" s="61">
        <f t="shared" si="25"/>
        <v>0</v>
      </c>
    </row>
    <row r="97" spans="1:7" hidden="1" x14ac:dyDescent="0.25">
      <c r="A97" s="59"/>
      <c r="B97" s="62" t="s">
        <v>77</v>
      </c>
      <c r="C97" s="61">
        <f t="shared" si="25"/>
        <v>0</v>
      </c>
      <c r="D97" s="61">
        <f t="shared" si="25"/>
        <v>0</v>
      </c>
      <c r="E97" s="61">
        <f t="shared" si="25"/>
        <v>0</v>
      </c>
      <c r="F97" s="61">
        <f t="shared" si="25"/>
        <v>0</v>
      </c>
      <c r="G97" s="61">
        <f t="shared" si="25"/>
        <v>0</v>
      </c>
    </row>
    <row r="98" spans="1:7" ht="15.75" hidden="1" thickBot="1" x14ac:dyDescent="0.3">
      <c r="A98" s="59"/>
      <c r="B98" s="65" t="s">
        <v>204</v>
      </c>
      <c r="C98" s="61">
        <f t="shared" si="25"/>
        <v>2480</v>
      </c>
      <c r="D98" s="61">
        <f t="shared" si="25"/>
        <v>120</v>
      </c>
      <c r="E98" s="61">
        <f t="shared" si="25"/>
        <v>0</v>
      </c>
      <c r="F98" s="61">
        <f t="shared" si="25"/>
        <v>0</v>
      </c>
      <c r="G98" s="61">
        <f t="shared" si="25"/>
        <v>2600</v>
      </c>
    </row>
    <row r="99" spans="1:7" ht="15.75" hidden="1" thickBot="1" x14ac:dyDescent="0.3">
      <c r="A99" s="66"/>
      <c r="B99" s="67" t="s">
        <v>81</v>
      </c>
      <c r="C99" s="68">
        <f>SUM(C87:C98)</f>
        <v>2480</v>
      </c>
      <c r="D99" s="68">
        <f>SUM(D87:D98)</f>
        <v>120</v>
      </c>
      <c r="E99" s="68"/>
      <c r="F99" s="68">
        <f t="shared" ref="F99:G99" si="28">SUM(F87:F98)</f>
        <v>0</v>
      </c>
      <c r="G99" s="68">
        <f t="shared" si="28"/>
        <v>2600</v>
      </c>
    </row>
    <row r="100" spans="1:7" x14ac:dyDescent="0.25">
      <c r="A100" s="50"/>
      <c r="B100" s="70"/>
      <c r="C100" s="55"/>
      <c r="D100" s="55"/>
      <c r="E100" s="55"/>
      <c r="F100" s="55"/>
      <c r="G100" s="55"/>
    </row>
    <row r="101" spans="1:7" ht="15.75" thickBot="1" x14ac:dyDescent="0.3">
      <c r="A101" s="72"/>
      <c r="B101" s="73" t="s">
        <v>82</v>
      </c>
      <c r="C101" s="74" t="str">
        <f>C1</f>
        <v>Operating</v>
      </c>
      <c r="D101" s="74" t="str">
        <f>D1</f>
        <v>Weights</v>
      </c>
      <c r="E101" s="74" t="str">
        <f>E1</f>
        <v>SPED</v>
      </c>
      <c r="F101" s="74" t="str">
        <f t="shared" ref="F101:G101" si="29">F1</f>
        <v>NSLP</v>
      </c>
      <c r="G101" s="74" t="str">
        <f t="shared" si="29"/>
        <v>System</v>
      </c>
    </row>
    <row r="102" spans="1:7" x14ac:dyDescent="0.25">
      <c r="A102" s="78"/>
      <c r="B102" s="76" t="s">
        <v>83</v>
      </c>
      <c r="C102" s="77"/>
      <c r="D102" s="77"/>
      <c r="E102" s="77"/>
      <c r="F102" s="77"/>
      <c r="G102" s="77"/>
    </row>
    <row r="103" spans="1:7" x14ac:dyDescent="0.25">
      <c r="A103" s="59">
        <v>104</v>
      </c>
      <c r="B103" s="62" t="s">
        <v>41</v>
      </c>
      <c r="C103" s="15"/>
      <c r="D103" s="7"/>
      <c r="E103" s="7"/>
      <c r="F103" s="7"/>
      <c r="G103" s="7">
        <f t="shared" ref="G103:G115" si="30">SUM(C103:F103)</f>
        <v>0</v>
      </c>
    </row>
    <row r="104" spans="1:7" x14ac:dyDescent="0.25">
      <c r="A104" s="59">
        <v>104</v>
      </c>
      <c r="B104" s="62" t="s">
        <v>84</v>
      </c>
      <c r="C104" s="15"/>
      <c r="D104" s="7"/>
      <c r="E104" s="7"/>
      <c r="F104" s="7"/>
      <c r="G104" s="7">
        <f t="shared" si="30"/>
        <v>0</v>
      </c>
    </row>
    <row r="105" spans="1:7" x14ac:dyDescent="0.25">
      <c r="A105" s="59">
        <v>105</v>
      </c>
      <c r="B105" s="62" t="s">
        <v>45</v>
      </c>
      <c r="C105" s="7">
        <f>71400-F105</f>
        <v>71400</v>
      </c>
      <c r="D105" s="7"/>
      <c r="E105" s="7"/>
      <c r="F105" s="7">
        <v>0</v>
      </c>
      <c r="G105" s="7">
        <f t="shared" si="30"/>
        <v>71400</v>
      </c>
    </row>
    <row r="106" spans="1:7" x14ac:dyDescent="0.25">
      <c r="A106" s="59">
        <v>105</v>
      </c>
      <c r="B106" s="62" t="s">
        <v>85</v>
      </c>
      <c r="C106" s="15"/>
      <c r="D106" s="7"/>
      <c r="E106" s="7"/>
      <c r="F106" s="7"/>
      <c r="G106" s="7">
        <f t="shared" si="30"/>
        <v>0</v>
      </c>
    </row>
    <row r="107" spans="1:7" x14ac:dyDescent="0.25">
      <c r="A107" s="59" t="s">
        <v>86</v>
      </c>
      <c r="B107" s="62" t="s">
        <v>87</v>
      </c>
      <c r="C107" s="7"/>
      <c r="D107" s="7"/>
      <c r="E107" s="7"/>
      <c r="F107" s="7"/>
      <c r="G107" s="7">
        <f t="shared" si="30"/>
        <v>0</v>
      </c>
    </row>
    <row r="108" spans="1:7" x14ac:dyDescent="0.25">
      <c r="A108" s="59" t="s">
        <v>88</v>
      </c>
      <c r="B108" s="62" t="s">
        <v>89</v>
      </c>
      <c r="C108" s="7"/>
      <c r="D108" s="7"/>
      <c r="E108" s="7"/>
      <c r="F108" s="7"/>
      <c r="G108" s="7">
        <f t="shared" si="30"/>
        <v>0</v>
      </c>
    </row>
    <row r="109" spans="1:7" hidden="1" x14ac:dyDescent="0.25">
      <c r="A109" s="4">
        <v>101</v>
      </c>
      <c r="B109" s="62" t="s">
        <v>90</v>
      </c>
      <c r="C109" s="14"/>
      <c r="D109" s="14"/>
      <c r="E109" s="14"/>
      <c r="F109" s="14"/>
      <c r="G109" s="7">
        <f t="shared" si="30"/>
        <v>0</v>
      </c>
    </row>
    <row r="110" spans="1:7" x14ac:dyDescent="0.25">
      <c r="A110" s="59">
        <v>101</v>
      </c>
      <c r="B110" s="62" t="s">
        <v>30</v>
      </c>
      <c r="C110" s="7"/>
      <c r="D110" s="7"/>
      <c r="E110" s="7">
        <f>45725*E30</f>
        <v>0</v>
      </c>
      <c r="F110" s="7"/>
      <c r="G110" s="7">
        <f t="shared" si="30"/>
        <v>0</v>
      </c>
    </row>
    <row r="111" spans="1:7" x14ac:dyDescent="0.25">
      <c r="A111" s="59">
        <v>107</v>
      </c>
      <c r="B111" s="62" t="s">
        <v>91</v>
      </c>
      <c r="C111" s="7">
        <f>71400*0.6667</f>
        <v>47602.38</v>
      </c>
      <c r="D111" s="7"/>
      <c r="E111" s="7"/>
      <c r="F111" s="7">
        <f>71000*0.3333</f>
        <v>23664.3</v>
      </c>
      <c r="G111" s="7">
        <f t="shared" si="30"/>
        <v>71266.679999999993</v>
      </c>
    </row>
    <row r="112" spans="1:7" x14ac:dyDescent="0.25">
      <c r="A112" s="59">
        <v>107</v>
      </c>
      <c r="B112" s="62" t="s">
        <v>92</v>
      </c>
      <c r="C112" s="7"/>
      <c r="D112" s="7"/>
      <c r="E112" s="7"/>
      <c r="F112" s="7"/>
      <c r="G112" s="7">
        <f t="shared" si="30"/>
        <v>0</v>
      </c>
    </row>
    <row r="113" spans="1:7" x14ac:dyDescent="0.25">
      <c r="A113" s="59">
        <v>102</v>
      </c>
      <c r="B113" s="62" t="s">
        <v>93</v>
      </c>
      <c r="C113" s="7">
        <f>(13.25*8*180)*C51</f>
        <v>0</v>
      </c>
      <c r="D113" s="7">
        <f>(13.25*8*180)*D51</f>
        <v>0</v>
      </c>
      <c r="E113" s="7">
        <f>(13.25*8*180)*E51</f>
        <v>0</v>
      </c>
      <c r="F113" s="7">
        <f>(14.5*8*180)*F51</f>
        <v>0</v>
      </c>
      <c r="G113" s="7">
        <f t="shared" si="30"/>
        <v>0</v>
      </c>
    </row>
    <row r="114" spans="1:7" x14ac:dyDescent="0.25">
      <c r="A114" s="59">
        <v>107</v>
      </c>
      <c r="B114" s="62" t="s">
        <v>94</v>
      </c>
      <c r="C114" s="7">
        <f>(13.25*8*240)*C52</f>
        <v>0</v>
      </c>
      <c r="D114" s="7"/>
      <c r="E114" s="7"/>
      <c r="F114" s="7"/>
      <c r="G114" s="7">
        <f t="shared" si="30"/>
        <v>0</v>
      </c>
    </row>
    <row r="115" spans="1:7" x14ac:dyDescent="0.25">
      <c r="A115" s="59">
        <v>107</v>
      </c>
      <c r="B115" s="62" t="s">
        <v>53</v>
      </c>
      <c r="C115" s="7">
        <f>(13*8*180)*C54</f>
        <v>0</v>
      </c>
      <c r="D115" s="7">
        <f>(12.75*8*180)*D54</f>
        <v>0</v>
      </c>
      <c r="E115" s="7"/>
      <c r="F115" s="7"/>
      <c r="G115" s="7">
        <f t="shared" si="30"/>
        <v>0</v>
      </c>
    </row>
    <row r="116" spans="1:7" ht="15.75" thickBot="1" x14ac:dyDescent="0.3">
      <c r="A116" s="72"/>
      <c r="B116" s="82" t="s">
        <v>95</v>
      </c>
      <c r="C116" s="83">
        <f>SUM(C103:C115)</f>
        <v>119002.38</v>
      </c>
      <c r="D116" s="83">
        <f>SUM(D103:D115)</f>
        <v>0</v>
      </c>
      <c r="E116" s="83">
        <f t="shared" ref="E116:G116" si="31">SUM(E103:E115)</f>
        <v>0</v>
      </c>
      <c r="F116" s="83">
        <f t="shared" si="31"/>
        <v>23664.3</v>
      </c>
      <c r="G116" s="83">
        <f t="shared" si="31"/>
        <v>142666.68</v>
      </c>
    </row>
    <row r="117" spans="1:7" x14ac:dyDescent="0.25">
      <c r="A117" s="75"/>
      <c r="B117" s="84" t="s">
        <v>96</v>
      </c>
      <c r="C117" s="150" t="str">
        <f>C1</f>
        <v>Operating</v>
      </c>
      <c r="D117" s="150" t="str">
        <f>D1</f>
        <v>Weights</v>
      </c>
      <c r="E117" s="150" t="str">
        <f>E1</f>
        <v>SPED</v>
      </c>
      <c r="F117" s="150" t="str">
        <f t="shared" ref="F117:G117" si="32">F1</f>
        <v>NSLP</v>
      </c>
      <c r="G117" s="150" t="str">
        <f t="shared" si="32"/>
        <v>System</v>
      </c>
    </row>
    <row r="118" spans="1:7" x14ac:dyDescent="0.25">
      <c r="A118" s="5"/>
      <c r="B118" s="62"/>
      <c r="C118" s="7"/>
      <c r="D118" s="7"/>
      <c r="E118" s="7"/>
      <c r="F118" s="7"/>
      <c r="G118" s="7">
        <f t="shared" ref="G118:G127" si="33">SUM(C118:F118)</f>
        <v>0</v>
      </c>
    </row>
    <row r="119" spans="1:7" x14ac:dyDescent="0.25">
      <c r="A119" s="85"/>
      <c r="B119" s="62" t="s">
        <v>54</v>
      </c>
      <c r="C119" s="7"/>
      <c r="D119" s="7"/>
      <c r="E119" s="7"/>
      <c r="F119" s="7"/>
      <c r="G119" s="7">
        <f t="shared" si="33"/>
        <v>0</v>
      </c>
    </row>
    <row r="120" spans="1:7" x14ac:dyDescent="0.25">
      <c r="A120" s="59"/>
      <c r="B120" s="62" t="s">
        <v>55</v>
      </c>
      <c r="C120" s="7"/>
      <c r="D120" s="7"/>
      <c r="E120" s="15"/>
      <c r="F120" s="7"/>
      <c r="G120" s="7">
        <f t="shared" si="33"/>
        <v>0</v>
      </c>
    </row>
    <row r="121" spans="1:7" x14ac:dyDescent="0.25">
      <c r="A121" s="59"/>
      <c r="B121" s="62" t="s">
        <v>56</v>
      </c>
      <c r="C121" s="7"/>
      <c r="D121" s="7"/>
      <c r="E121" s="7"/>
      <c r="F121" s="7"/>
      <c r="G121" s="7">
        <f t="shared" si="33"/>
        <v>0</v>
      </c>
    </row>
    <row r="122" spans="1:7" x14ac:dyDescent="0.25">
      <c r="A122" s="59"/>
      <c r="B122" s="62" t="s">
        <v>97</v>
      </c>
      <c r="C122" s="7"/>
      <c r="D122" s="7"/>
      <c r="E122" s="15"/>
      <c r="F122" s="7"/>
      <c r="G122" s="7">
        <f t="shared" si="33"/>
        <v>0</v>
      </c>
    </row>
    <row r="123" spans="1:7" x14ac:dyDescent="0.25">
      <c r="A123" s="59"/>
      <c r="B123" s="62" t="s">
        <v>58</v>
      </c>
      <c r="C123" s="7"/>
      <c r="D123" s="7"/>
      <c r="E123" s="7"/>
      <c r="F123" s="7"/>
      <c r="G123" s="7">
        <f t="shared" si="33"/>
        <v>0</v>
      </c>
    </row>
    <row r="124" spans="1:7" x14ac:dyDescent="0.25">
      <c r="A124" s="59"/>
      <c r="B124" s="62" t="s">
        <v>98</v>
      </c>
      <c r="C124" s="7"/>
      <c r="D124" s="15">
        <f>25000*1.015</f>
        <v>25374.999999999996</v>
      </c>
      <c r="E124" s="7"/>
      <c r="F124" s="7"/>
      <c r="G124" s="7">
        <f t="shared" si="33"/>
        <v>25374.999999999996</v>
      </c>
    </row>
    <row r="125" spans="1:7" x14ac:dyDescent="0.25">
      <c r="A125" s="59"/>
      <c r="B125" s="62" t="s">
        <v>99</v>
      </c>
      <c r="C125" s="7"/>
      <c r="D125" s="7"/>
      <c r="E125" s="7"/>
      <c r="F125" s="7">
        <v>0</v>
      </c>
      <c r="G125" s="7">
        <f t="shared" si="33"/>
        <v>0</v>
      </c>
    </row>
    <row r="126" spans="1:7" x14ac:dyDescent="0.25">
      <c r="A126" s="59">
        <v>107</v>
      </c>
      <c r="B126" s="62" t="s">
        <v>100</v>
      </c>
      <c r="C126" s="146"/>
      <c r="D126" s="7">
        <f t="shared" ref="D126" si="34">(12.5*6*185)*D53</f>
        <v>0</v>
      </c>
      <c r="E126" s="146"/>
      <c r="F126" s="7">
        <f>(13.25*7*180)*F53</f>
        <v>0</v>
      </c>
      <c r="G126" s="7">
        <f t="shared" si="33"/>
        <v>0</v>
      </c>
    </row>
    <row r="127" spans="1:7" x14ac:dyDescent="0.25">
      <c r="A127" s="59"/>
      <c r="B127" s="62" t="s">
        <v>101</v>
      </c>
      <c r="C127" s="37"/>
      <c r="D127" s="37"/>
      <c r="E127" s="37"/>
      <c r="F127" s="37"/>
      <c r="G127" s="7">
        <f t="shared" si="33"/>
        <v>0</v>
      </c>
    </row>
    <row r="128" spans="1:7" ht="15.75" thickBot="1" x14ac:dyDescent="0.3">
      <c r="A128" s="72"/>
      <c r="B128" s="82" t="s">
        <v>102</v>
      </c>
      <c r="C128" s="87">
        <f>SUM(C118:C127)</f>
        <v>0</v>
      </c>
      <c r="D128" s="87">
        <f>SUM(D118:D127)</f>
        <v>25374.999999999996</v>
      </c>
      <c r="E128" s="87">
        <f>SUM(E118:E127)</f>
        <v>0</v>
      </c>
      <c r="F128" s="87">
        <f t="shared" ref="F128:G128" si="35">SUM(F118:F127)</f>
        <v>0</v>
      </c>
      <c r="G128" s="87">
        <f t="shared" si="35"/>
        <v>25374.999999999996</v>
      </c>
    </row>
    <row r="129" spans="1:7" ht="15.75" thickBot="1" x14ac:dyDescent="0.3">
      <c r="A129" s="88"/>
      <c r="B129" s="89" t="s">
        <v>103</v>
      </c>
      <c r="C129" s="90">
        <f>C116+C128</f>
        <v>119002.38</v>
      </c>
      <c r="D129" s="90">
        <f>D116+D128</f>
        <v>25374.999999999996</v>
      </c>
      <c r="E129" s="90">
        <f>E116+E128</f>
        <v>0</v>
      </c>
      <c r="F129" s="90">
        <f t="shared" ref="F129:G129" si="36">F116+F128</f>
        <v>23664.3</v>
      </c>
      <c r="G129" s="90">
        <f t="shared" si="36"/>
        <v>168041.68</v>
      </c>
    </row>
    <row r="130" spans="1:7" x14ac:dyDescent="0.25">
      <c r="A130" s="93">
        <v>230</v>
      </c>
      <c r="B130" s="62" t="s">
        <v>104</v>
      </c>
      <c r="C130" s="61">
        <f>C129*0.2975</f>
        <v>35403.208050000001</v>
      </c>
      <c r="D130" s="61">
        <f t="shared" ref="D130:F130" si="37">D129*0.2975</f>
        <v>7549.0624999999982</v>
      </c>
      <c r="E130" s="61">
        <f t="shared" si="37"/>
        <v>0</v>
      </c>
      <c r="F130" s="61">
        <f t="shared" si="37"/>
        <v>7040.129249999999</v>
      </c>
      <c r="G130" s="61">
        <f>SUM(C130:F130)</f>
        <v>49992.399799999999</v>
      </c>
    </row>
    <row r="131" spans="1:7" x14ac:dyDescent="0.25">
      <c r="A131" s="64"/>
      <c r="B131" s="62" t="s">
        <v>105</v>
      </c>
      <c r="C131" s="14">
        <f>((C129*0.18))</f>
        <v>21420.428400000001</v>
      </c>
      <c r="D131" s="14">
        <f>D129*0.17</f>
        <v>4313.75</v>
      </c>
      <c r="E131" s="14">
        <f>E129*0.175</f>
        <v>0</v>
      </c>
      <c r="F131" s="14">
        <f>F129*0.14</f>
        <v>3313.0020000000004</v>
      </c>
      <c r="G131" s="61">
        <f t="shared" ref="G131:G135" si="38">SUM(C131:F131)</f>
        <v>29047.180400000001</v>
      </c>
    </row>
    <row r="132" spans="1:7" x14ac:dyDescent="0.25">
      <c r="A132" s="59">
        <v>150</v>
      </c>
      <c r="B132" s="62" t="s">
        <v>106</v>
      </c>
      <c r="C132" s="11">
        <f>(125*C66)+((C42*2000)+(C43*1500)+(C44*1200)+(C45*1200)+(C46*1200)+(C47*1000)+(C48*1000)+(C49*300)+(C50*300)+(C51*300)+(C52*300)+(C53*300)+(C55*1000)+(C56*1000)+(C57*1000)+(C58*1000)+(C59*1000)+(C60*1000)+(C39*1000)+(1000*C54))</f>
        <v>2450</v>
      </c>
      <c r="D132" s="11">
        <f>(125*D66)+((D42*2000)+(D43*1500)+(D44*1200)+(D45*1200)+(D46*1200)+(D47*1000)+(D48*1000)+(D49*300)+(D50*300)+(D51*300)+(D52*300)+(D53*300)+(D55*1000)+(D56*1000)+(D57*1000)+(D58*1000)+(D59*1000)+(D60*1000)+(D39*1000)+(1000*D54))</f>
        <v>562.5</v>
      </c>
      <c r="E132" s="11">
        <f>(125*E66)+((E42*2000)+(E43*1500)+(E44*1200)+(E45*1200)+(E46*1200)+(E47*1000)+(E48*1000)+(E49*300)+(E50*300)+(E51*300)+(E52*300)+(E53*300)+(E55*1000)+(E56*1000)+(E57*1000)+(E58*1000)+(E59*1000)+(E60*1000)+(E39*1000)+(1000*E54)*0.9)</f>
        <v>0</v>
      </c>
      <c r="F132" s="11">
        <f>(125*F66)+((F42*2000)+(F43*1500)+(F44*1200)+(F45*1200)+(F46*1200)+(F47*1000)+(F48*1000)+(F49*300)+(F50*300)+(F51*300)+(F52*300)+(F53*300)+(F55*1000)+(F56*1000)+(F57*1000)+(F58*1000)+(F59*1000)+(F60*1000)+(F39*1000)+(1000*F54)*0.9)</f>
        <v>0</v>
      </c>
      <c r="G132" s="61">
        <f t="shared" si="38"/>
        <v>3012.5</v>
      </c>
    </row>
    <row r="133" spans="1:7" x14ac:dyDescent="0.25">
      <c r="A133" s="59">
        <v>150</v>
      </c>
      <c r="B133" s="62" t="s">
        <v>107</v>
      </c>
      <c r="C133" s="14"/>
      <c r="D133" s="14"/>
      <c r="E133" s="14"/>
      <c r="F133" s="14"/>
      <c r="G133" s="61">
        <f t="shared" si="38"/>
        <v>0</v>
      </c>
    </row>
    <row r="134" spans="1:7" x14ac:dyDescent="0.25">
      <c r="A134" s="59">
        <v>250</v>
      </c>
      <c r="B134" s="62" t="s">
        <v>108</v>
      </c>
      <c r="C134" s="7">
        <v>0</v>
      </c>
      <c r="D134" s="7"/>
      <c r="E134" s="7"/>
      <c r="F134" s="7"/>
      <c r="G134" s="61">
        <f t="shared" si="38"/>
        <v>0</v>
      </c>
    </row>
    <row r="135" spans="1:7" x14ac:dyDescent="0.25">
      <c r="A135" s="64"/>
      <c r="B135" s="62" t="s">
        <v>109</v>
      </c>
      <c r="C135" s="37">
        <f>(165*10*C39)-C127</f>
        <v>0</v>
      </c>
      <c r="D135" s="37">
        <v>0</v>
      </c>
      <c r="E135" s="37">
        <f t="shared" ref="E135:F135" si="39">(165*10*E39)-E127</f>
        <v>0</v>
      </c>
      <c r="F135" s="37">
        <f t="shared" si="39"/>
        <v>0</v>
      </c>
      <c r="G135" s="61">
        <f t="shared" si="38"/>
        <v>0</v>
      </c>
    </row>
    <row r="136" spans="1:7" ht="15.75" thickBot="1" x14ac:dyDescent="0.3">
      <c r="A136" s="72"/>
      <c r="B136" s="91" t="s">
        <v>110</v>
      </c>
      <c r="C136" s="87">
        <f>SUM(C130:C135)</f>
        <v>59273.636450000005</v>
      </c>
      <c r="D136" s="87">
        <f>SUM(D130:D135)</f>
        <v>12425.312499999998</v>
      </c>
      <c r="E136" s="87">
        <f>SUM(E130:E135)</f>
        <v>0</v>
      </c>
      <c r="F136" s="87">
        <f t="shared" ref="F136:G136" si="40">SUM(F130:F135)</f>
        <v>10353.131249999999</v>
      </c>
      <c r="G136" s="87">
        <f t="shared" si="40"/>
        <v>82052.080199999997</v>
      </c>
    </row>
    <row r="137" spans="1:7" ht="15.75" thickBot="1" x14ac:dyDescent="0.3">
      <c r="A137" s="88"/>
      <c r="B137" s="95" t="s">
        <v>111</v>
      </c>
      <c r="C137" s="90">
        <f>C129+C136</f>
        <v>178276.01645</v>
      </c>
      <c r="D137" s="90">
        <f>D129+D136</f>
        <v>37800.312499999993</v>
      </c>
      <c r="E137" s="90">
        <f>E129+E136</f>
        <v>0</v>
      </c>
      <c r="F137" s="90">
        <f t="shared" ref="F137:G137" si="41">F129+F136</f>
        <v>34017.431249999994</v>
      </c>
      <c r="G137" s="90">
        <f t="shared" si="41"/>
        <v>250093.76019999999</v>
      </c>
    </row>
    <row r="138" spans="1:7" x14ac:dyDescent="0.25">
      <c r="A138" s="75"/>
      <c r="B138" s="97" t="s">
        <v>112</v>
      </c>
      <c r="C138" s="149" t="str">
        <f>C1</f>
        <v>Operating</v>
      </c>
      <c r="D138" s="149" t="str">
        <f>D1</f>
        <v>Weights</v>
      </c>
      <c r="E138" s="149" t="str">
        <f>E1</f>
        <v>SPED</v>
      </c>
      <c r="F138" s="149" t="str">
        <f t="shared" ref="F138:G138" si="42">F1</f>
        <v>NSLP</v>
      </c>
      <c r="G138" s="149" t="str">
        <f t="shared" si="42"/>
        <v>System</v>
      </c>
    </row>
    <row r="139" spans="1:7" x14ac:dyDescent="0.25">
      <c r="A139" s="64"/>
      <c r="B139" s="98" t="s">
        <v>113</v>
      </c>
      <c r="C139" s="15">
        <f>C19*130</f>
        <v>0</v>
      </c>
      <c r="D139" s="15"/>
      <c r="E139" s="15"/>
      <c r="F139" s="15"/>
      <c r="G139" s="15">
        <f t="shared" ref="G139:G147" si="43">SUM(C139:F139)</f>
        <v>0</v>
      </c>
    </row>
    <row r="140" spans="1:7" x14ac:dyDescent="0.25">
      <c r="A140" s="59">
        <v>561</v>
      </c>
      <c r="B140" s="99" t="s">
        <v>114</v>
      </c>
      <c r="C140" s="7">
        <v>0</v>
      </c>
      <c r="D140" s="7"/>
      <c r="E140" s="7"/>
      <c r="F140" s="7"/>
      <c r="G140" s="15">
        <f t="shared" si="43"/>
        <v>0</v>
      </c>
    </row>
    <row r="141" spans="1:7" x14ac:dyDescent="0.25">
      <c r="A141" s="64"/>
      <c r="B141" s="62" t="s">
        <v>115</v>
      </c>
      <c r="C141" s="11">
        <v>0</v>
      </c>
      <c r="D141" s="11"/>
      <c r="E141" s="11"/>
      <c r="F141" s="11"/>
      <c r="G141" s="15">
        <f t="shared" si="43"/>
        <v>0</v>
      </c>
    </row>
    <row r="142" spans="1:7" hidden="1" x14ac:dyDescent="0.25">
      <c r="A142" s="64"/>
      <c r="B142" s="62" t="s">
        <v>116</v>
      </c>
      <c r="C142" s="7">
        <v>0</v>
      </c>
      <c r="D142" s="7">
        <v>0</v>
      </c>
      <c r="E142" s="7"/>
      <c r="F142" s="7"/>
      <c r="G142" s="15">
        <f t="shared" si="43"/>
        <v>0</v>
      </c>
    </row>
    <row r="143" spans="1:7" x14ac:dyDescent="0.25">
      <c r="A143" s="59">
        <v>610</v>
      </c>
      <c r="B143" s="62" t="s">
        <v>117</v>
      </c>
      <c r="C143" s="7">
        <v>1000</v>
      </c>
      <c r="D143" s="7">
        <f t="shared" ref="D143" si="44">13*D19</f>
        <v>0</v>
      </c>
      <c r="E143" s="7"/>
      <c r="F143" s="7">
        <v>0</v>
      </c>
      <c r="G143" s="15">
        <f t="shared" si="43"/>
        <v>1000</v>
      </c>
    </row>
    <row r="144" spans="1:7" x14ac:dyDescent="0.25">
      <c r="A144" s="59">
        <v>610</v>
      </c>
      <c r="B144" s="62" t="s">
        <v>118</v>
      </c>
      <c r="C144" s="7">
        <f>(27*C19)</f>
        <v>0</v>
      </c>
      <c r="D144" s="7">
        <v>0</v>
      </c>
      <c r="E144" s="7"/>
      <c r="F144" s="7"/>
      <c r="G144" s="15">
        <f t="shared" si="43"/>
        <v>0</v>
      </c>
    </row>
    <row r="145" spans="1:7" x14ac:dyDescent="0.25">
      <c r="A145" s="59">
        <v>610</v>
      </c>
      <c r="B145" s="62" t="s">
        <v>119</v>
      </c>
      <c r="C145" s="7">
        <f>4*C19</f>
        <v>0</v>
      </c>
      <c r="D145" s="7">
        <f t="shared" ref="D145" si="45">4*D19</f>
        <v>0</v>
      </c>
      <c r="E145" s="7"/>
      <c r="F145" s="7"/>
      <c r="G145" s="15">
        <f t="shared" si="43"/>
        <v>0</v>
      </c>
    </row>
    <row r="146" spans="1:7" x14ac:dyDescent="0.25">
      <c r="A146" s="59">
        <v>610</v>
      </c>
      <c r="B146" s="62" t="s">
        <v>120</v>
      </c>
      <c r="C146" s="7">
        <f>3*C19</f>
        <v>0</v>
      </c>
      <c r="D146" s="7">
        <f t="shared" ref="D146" si="46">3*D19</f>
        <v>0</v>
      </c>
      <c r="E146" s="7"/>
      <c r="F146" s="7"/>
      <c r="G146" s="15">
        <f t="shared" si="43"/>
        <v>0</v>
      </c>
    </row>
    <row r="147" spans="1:7" x14ac:dyDescent="0.25">
      <c r="A147" s="59">
        <v>610</v>
      </c>
      <c r="B147" s="62" t="s">
        <v>121</v>
      </c>
      <c r="C147" s="7">
        <f>120*C22</f>
        <v>0</v>
      </c>
      <c r="D147" s="7">
        <f t="shared" ref="D147" si="47">120*D22</f>
        <v>0</v>
      </c>
      <c r="E147" s="7">
        <f>120*E22</f>
        <v>0</v>
      </c>
      <c r="F147" s="7"/>
      <c r="G147" s="15">
        <f t="shared" si="43"/>
        <v>0</v>
      </c>
    </row>
    <row r="148" spans="1:7" ht="15.75" thickBot="1" x14ac:dyDescent="0.3">
      <c r="A148" s="100"/>
      <c r="B148" s="62" t="s">
        <v>122</v>
      </c>
      <c r="C148" s="37">
        <v>0</v>
      </c>
      <c r="D148" s="37">
        <v>0</v>
      </c>
      <c r="E148" s="37"/>
      <c r="F148" s="37"/>
      <c r="G148" s="37">
        <v>0</v>
      </c>
    </row>
    <row r="149" spans="1:7" ht="15.75" thickBot="1" x14ac:dyDescent="0.3">
      <c r="A149" s="88"/>
      <c r="B149" s="95" t="s">
        <v>123</v>
      </c>
      <c r="C149" s="92">
        <f>SUM(C139:C148)</f>
        <v>1000</v>
      </c>
      <c r="D149" s="92">
        <f>SUM(D139:D148)</f>
        <v>0</v>
      </c>
      <c r="E149" s="92">
        <f t="shared" ref="E149:G149" si="48">SUM(E139:E148)</f>
        <v>0</v>
      </c>
      <c r="F149" s="92">
        <f t="shared" si="48"/>
        <v>0</v>
      </c>
      <c r="G149" s="92">
        <f t="shared" si="48"/>
        <v>1000</v>
      </c>
    </row>
    <row r="150" spans="1:7" x14ac:dyDescent="0.25">
      <c r="A150" s="75"/>
      <c r="B150" s="101" t="s">
        <v>124</v>
      </c>
      <c r="C150" s="149" t="str">
        <f>C1</f>
        <v>Operating</v>
      </c>
      <c r="D150" s="149" t="str">
        <f>D1</f>
        <v>Weights</v>
      </c>
      <c r="E150" s="149" t="str">
        <f>E1</f>
        <v>SPED</v>
      </c>
      <c r="F150" s="149" t="str">
        <f t="shared" ref="F150:G150" si="49">F1</f>
        <v>NSLP</v>
      </c>
      <c r="G150" s="149" t="str">
        <f t="shared" si="49"/>
        <v>System</v>
      </c>
    </row>
    <row r="151" spans="1:7" x14ac:dyDescent="0.25">
      <c r="A151" s="93">
        <v>320</v>
      </c>
      <c r="B151" s="62" t="s">
        <v>125</v>
      </c>
      <c r="C151" s="80">
        <v>0</v>
      </c>
      <c r="D151" s="80"/>
      <c r="E151" s="80"/>
      <c r="F151" s="80"/>
      <c r="G151" s="80">
        <f t="shared" ref="G151:G162" si="50">SUM(C151:F151)</f>
        <v>0</v>
      </c>
    </row>
    <row r="152" spans="1:7" x14ac:dyDescent="0.25">
      <c r="A152" s="59">
        <v>300</v>
      </c>
      <c r="B152" s="62" t="s">
        <v>126</v>
      </c>
      <c r="C152" s="14">
        <v>0</v>
      </c>
      <c r="D152" s="142"/>
      <c r="E152" s="14">
        <f>120*$C$19</f>
        <v>0</v>
      </c>
      <c r="F152" s="142"/>
      <c r="G152" s="80">
        <f t="shared" si="50"/>
        <v>0</v>
      </c>
    </row>
    <row r="153" spans="1:7" x14ac:dyDescent="0.25">
      <c r="A153" s="59">
        <v>310</v>
      </c>
      <c r="B153" s="62" t="s">
        <v>127</v>
      </c>
      <c r="C153" s="11">
        <v>0</v>
      </c>
      <c r="D153" s="142"/>
      <c r="E153" s="14"/>
      <c r="F153" s="142"/>
      <c r="G153" s="80">
        <f t="shared" si="50"/>
        <v>0</v>
      </c>
    </row>
    <row r="154" spans="1:7" x14ac:dyDescent="0.25">
      <c r="A154" s="59">
        <v>310</v>
      </c>
      <c r="B154" s="62" t="s">
        <v>128</v>
      </c>
      <c r="C154" s="7">
        <f>(450*C19)</f>
        <v>0</v>
      </c>
      <c r="D154" s="7"/>
      <c r="E154" s="7"/>
      <c r="F154" s="7"/>
      <c r="G154" s="80">
        <f t="shared" si="50"/>
        <v>0</v>
      </c>
    </row>
    <row r="155" spans="1:7" x14ac:dyDescent="0.25">
      <c r="A155" s="59">
        <v>310</v>
      </c>
      <c r="B155" s="62" t="s">
        <v>129</v>
      </c>
      <c r="C155" s="7">
        <f>(240*C66)+2000</f>
        <v>2480</v>
      </c>
      <c r="D155" s="7">
        <f>(240*D66)</f>
        <v>120</v>
      </c>
      <c r="E155" s="7">
        <f>(240*E66)</f>
        <v>0</v>
      </c>
      <c r="F155" s="7">
        <f>(240*F66)</f>
        <v>0</v>
      </c>
      <c r="G155" s="80">
        <f t="shared" si="50"/>
        <v>2600</v>
      </c>
    </row>
    <row r="156" spans="1:7" x14ac:dyDescent="0.25">
      <c r="A156" s="59">
        <v>340</v>
      </c>
      <c r="B156" s="62" t="s">
        <v>130</v>
      </c>
      <c r="C156" s="7">
        <v>0</v>
      </c>
      <c r="D156" s="7"/>
      <c r="E156" s="7"/>
      <c r="F156" s="7"/>
      <c r="G156" s="80">
        <f t="shared" si="50"/>
        <v>0</v>
      </c>
    </row>
    <row r="157" spans="1:7" x14ac:dyDescent="0.25">
      <c r="A157" s="59">
        <v>340</v>
      </c>
      <c r="B157" s="62" t="s">
        <v>131</v>
      </c>
      <c r="C157" s="7">
        <v>0</v>
      </c>
      <c r="D157" s="7"/>
      <c r="E157" s="7"/>
      <c r="F157" s="7"/>
      <c r="G157" s="80">
        <f t="shared" si="50"/>
        <v>0</v>
      </c>
    </row>
    <row r="158" spans="1:7" x14ac:dyDescent="0.25">
      <c r="A158" s="59">
        <v>352</v>
      </c>
      <c r="B158" s="62" t="s">
        <v>132</v>
      </c>
      <c r="C158" s="7">
        <f>42*C19</f>
        <v>0</v>
      </c>
      <c r="D158" s="7"/>
      <c r="E158" s="7"/>
      <c r="F158" s="7"/>
      <c r="G158" s="80">
        <f t="shared" si="50"/>
        <v>0</v>
      </c>
    </row>
    <row r="159" spans="1:7" x14ac:dyDescent="0.25">
      <c r="A159" s="59">
        <v>350</v>
      </c>
      <c r="B159" s="62" t="s">
        <v>133</v>
      </c>
      <c r="C159" s="7">
        <v>0</v>
      </c>
      <c r="D159" s="7"/>
      <c r="E159" s="7"/>
      <c r="F159" s="7"/>
      <c r="G159" s="80">
        <f t="shared" si="50"/>
        <v>0</v>
      </c>
    </row>
    <row r="160" spans="1:7" x14ac:dyDescent="0.25">
      <c r="A160" s="59">
        <v>591</v>
      </c>
      <c r="B160" s="62" t="s">
        <v>134</v>
      </c>
      <c r="C160" s="7">
        <f>(C87+C88)*0.0125</f>
        <v>0</v>
      </c>
      <c r="D160" s="7"/>
      <c r="E160" s="7"/>
      <c r="F160" s="7"/>
      <c r="G160" s="80">
        <f t="shared" si="50"/>
        <v>0</v>
      </c>
    </row>
    <row r="161" spans="1:7" x14ac:dyDescent="0.25">
      <c r="A161" s="59">
        <v>320</v>
      </c>
      <c r="B161" s="62" t="s">
        <v>135</v>
      </c>
      <c r="C161" s="7">
        <f>(C87+C88)*0.005</f>
        <v>0</v>
      </c>
      <c r="D161" s="7"/>
      <c r="E161" s="7"/>
      <c r="F161" s="7"/>
      <c r="G161" s="80">
        <f t="shared" si="50"/>
        <v>0</v>
      </c>
    </row>
    <row r="162" spans="1:7" ht="15.75" thickBot="1" x14ac:dyDescent="0.3">
      <c r="A162" s="59">
        <v>330</v>
      </c>
      <c r="B162" s="62" t="s">
        <v>136</v>
      </c>
      <c r="C162" s="7">
        <f>(C87+C88)*0.005</f>
        <v>0</v>
      </c>
      <c r="D162" s="7"/>
      <c r="E162" s="7"/>
      <c r="F162" s="7"/>
      <c r="G162" s="80">
        <f t="shared" si="50"/>
        <v>0</v>
      </c>
    </row>
    <row r="163" spans="1:7" ht="15.75" hidden="1" thickBot="1" x14ac:dyDescent="0.3">
      <c r="A163" s="59">
        <v>330</v>
      </c>
      <c r="B163" s="62" t="s">
        <v>137</v>
      </c>
      <c r="C163" s="81"/>
      <c r="D163" s="81"/>
      <c r="E163" s="81"/>
      <c r="F163" s="81"/>
      <c r="G163" s="81"/>
    </row>
    <row r="164" spans="1:7" ht="15.75" thickBot="1" x14ac:dyDescent="0.3">
      <c r="A164" s="88"/>
      <c r="B164" s="95" t="s">
        <v>138</v>
      </c>
      <c r="C164" s="92">
        <f>SUM(C151:C163)</f>
        <v>2480</v>
      </c>
      <c r="D164" s="92">
        <f>SUM(D151:D163)</f>
        <v>120</v>
      </c>
      <c r="E164" s="92">
        <f>SUM(E151:E163)</f>
        <v>0</v>
      </c>
      <c r="F164" s="92">
        <f t="shared" ref="F164:G164" si="51">SUM(F151:F163)</f>
        <v>0</v>
      </c>
      <c r="G164" s="92">
        <f t="shared" si="51"/>
        <v>2600</v>
      </c>
    </row>
    <row r="165" spans="1:7" x14ac:dyDescent="0.25">
      <c r="A165" s="75"/>
      <c r="B165" s="101" t="s">
        <v>139</v>
      </c>
      <c r="C165" s="149" t="str">
        <f>C150</f>
        <v>Operating</v>
      </c>
      <c r="D165" s="149" t="str">
        <f>D150</f>
        <v>Weights</v>
      </c>
      <c r="E165" s="149" t="str">
        <f>E150</f>
        <v>SPED</v>
      </c>
      <c r="F165" s="149" t="str">
        <f t="shared" ref="F165:G165" si="52">F150</f>
        <v>NSLP</v>
      </c>
      <c r="G165" s="149" t="str">
        <f t="shared" si="52"/>
        <v>System</v>
      </c>
    </row>
    <row r="166" spans="1:7" x14ac:dyDescent="0.25">
      <c r="A166" s="59">
        <v>533</v>
      </c>
      <c r="B166" s="62" t="s">
        <v>140</v>
      </c>
      <c r="C166" s="7"/>
      <c r="D166" s="7"/>
      <c r="E166" s="7"/>
      <c r="F166" s="7"/>
      <c r="G166" s="7">
        <f t="shared" ref="G166:G172" si="53">SUM(C166:F166)</f>
        <v>0</v>
      </c>
    </row>
    <row r="167" spans="1:7" x14ac:dyDescent="0.25">
      <c r="A167" s="59">
        <v>535</v>
      </c>
      <c r="B167" s="62" t="s">
        <v>141</v>
      </c>
      <c r="C167" s="7"/>
      <c r="D167" s="7"/>
      <c r="E167" s="7"/>
      <c r="F167" s="7"/>
      <c r="G167" s="7">
        <f t="shared" si="53"/>
        <v>0</v>
      </c>
    </row>
    <row r="168" spans="1:7" x14ac:dyDescent="0.25">
      <c r="A168" s="59">
        <v>534</v>
      </c>
      <c r="B168" s="62" t="s">
        <v>142</v>
      </c>
      <c r="C168" s="7"/>
      <c r="D168" s="7"/>
      <c r="E168" s="7"/>
      <c r="F168" s="7"/>
      <c r="G168" s="7">
        <f t="shared" si="53"/>
        <v>0</v>
      </c>
    </row>
    <row r="169" spans="1:7" x14ac:dyDescent="0.25">
      <c r="A169" s="59">
        <v>531</v>
      </c>
      <c r="B169" s="62" t="s">
        <v>143</v>
      </c>
      <c r="C169" s="7"/>
      <c r="D169" s="7"/>
      <c r="E169" s="7"/>
      <c r="F169" s="7"/>
      <c r="G169" s="7">
        <f t="shared" si="53"/>
        <v>0</v>
      </c>
    </row>
    <row r="170" spans="1:7" x14ac:dyDescent="0.25">
      <c r="A170" s="59">
        <v>535</v>
      </c>
      <c r="B170" s="62" t="s">
        <v>144</v>
      </c>
      <c r="C170" s="7"/>
      <c r="D170" s="7"/>
      <c r="E170" s="7"/>
      <c r="F170" s="7"/>
      <c r="G170" s="7">
        <f t="shared" si="53"/>
        <v>0</v>
      </c>
    </row>
    <row r="171" spans="1:7" x14ac:dyDescent="0.25">
      <c r="A171" s="59">
        <v>443</v>
      </c>
      <c r="B171" s="62" t="s">
        <v>145</v>
      </c>
      <c r="C171" s="7"/>
      <c r="D171" s="7"/>
      <c r="E171" s="7"/>
      <c r="F171" s="7"/>
      <c r="G171" s="7">
        <f t="shared" si="53"/>
        <v>0</v>
      </c>
    </row>
    <row r="172" spans="1:7" ht="15.75" thickBot="1" x14ac:dyDescent="0.3">
      <c r="A172" s="59">
        <v>651</v>
      </c>
      <c r="B172" s="62" t="s">
        <v>146</v>
      </c>
      <c r="C172" s="7"/>
      <c r="D172" s="7"/>
      <c r="E172" s="7"/>
      <c r="F172" s="7"/>
      <c r="G172" s="7">
        <f t="shared" si="53"/>
        <v>0</v>
      </c>
    </row>
    <row r="173" spans="1:7" ht="15.75" thickBot="1" x14ac:dyDescent="0.3">
      <c r="A173" s="88"/>
      <c r="B173" s="95" t="s">
        <v>147</v>
      </c>
      <c r="C173" s="92">
        <f>SUM(C166:C172)</f>
        <v>0</v>
      </c>
      <c r="D173" s="92">
        <f>SUM(D166:D172)</f>
        <v>0</v>
      </c>
      <c r="E173" s="92">
        <f t="shared" ref="E173:G173" si="54">SUM(E166:E172)</f>
        <v>0</v>
      </c>
      <c r="F173" s="92">
        <f t="shared" si="54"/>
        <v>0</v>
      </c>
      <c r="G173" s="92">
        <f t="shared" si="54"/>
        <v>0</v>
      </c>
    </row>
    <row r="174" spans="1:7" x14ac:dyDescent="0.25">
      <c r="A174" s="75"/>
      <c r="B174" s="101" t="s">
        <v>148</v>
      </c>
      <c r="C174" s="96"/>
      <c r="D174" s="96"/>
      <c r="E174" s="96"/>
      <c r="F174" s="96"/>
      <c r="G174" s="96"/>
    </row>
    <row r="175" spans="1:7" x14ac:dyDescent="0.25">
      <c r="A175" s="59">
        <v>521</v>
      </c>
      <c r="B175" s="62" t="s">
        <v>149</v>
      </c>
      <c r="C175" s="15"/>
      <c r="D175" s="15"/>
      <c r="E175" s="15"/>
      <c r="F175" s="15"/>
      <c r="G175" s="15">
        <f>SUM(C175:F175)</f>
        <v>0</v>
      </c>
    </row>
    <row r="176" spans="1:7" x14ac:dyDescent="0.25">
      <c r="A176" s="59">
        <v>522</v>
      </c>
      <c r="B176" s="62" t="s">
        <v>150</v>
      </c>
      <c r="C176" s="7"/>
      <c r="D176" s="7"/>
      <c r="E176" s="7"/>
      <c r="F176" s="7"/>
      <c r="G176" s="15">
        <f>SUM(C176:F176)</f>
        <v>0</v>
      </c>
    </row>
    <row r="177" spans="1:7" ht="15.75" thickBot="1" x14ac:dyDescent="0.3">
      <c r="A177" s="59">
        <v>523</v>
      </c>
      <c r="B177" s="62" t="s">
        <v>151</v>
      </c>
      <c r="C177" s="7"/>
      <c r="D177" s="7"/>
      <c r="E177" s="7"/>
      <c r="F177" s="7"/>
      <c r="G177" s="15">
        <f>SUM(C177:F177)</f>
        <v>0</v>
      </c>
    </row>
    <row r="178" spans="1:7" ht="15.75" thickBot="1" x14ac:dyDescent="0.3">
      <c r="A178" s="88"/>
      <c r="B178" s="95" t="s">
        <v>152</v>
      </c>
      <c r="C178" s="92">
        <f>SUM(C175:C177)</f>
        <v>0</v>
      </c>
      <c r="D178" s="92">
        <f>SUM(D175:D177)</f>
        <v>0</v>
      </c>
      <c r="E178" s="92">
        <f t="shared" ref="E178:G178" si="55">SUM(E175:E177)</f>
        <v>0</v>
      </c>
      <c r="F178" s="92">
        <f t="shared" si="55"/>
        <v>0</v>
      </c>
      <c r="G178" s="92">
        <f t="shared" si="55"/>
        <v>0</v>
      </c>
    </row>
    <row r="179" spans="1:7" x14ac:dyDescent="0.25">
      <c r="A179" s="75"/>
      <c r="B179" s="101" t="s">
        <v>153</v>
      </c>
      <c r="C179" s="96" t="str">
        <f>C1</f>
        <v>Operating</v>
      </c>
      <c r="D179" s="96" t="str">
        <f>D1</f>
        <v>Weights</v>
      </c>
      <c r="E179" s="96" t="str">
        <f>E1</f>
        <v>SPED</v>
      </c>
      <c r="F179" s="96" t="str">
        <f t="shared" ref="F179:G179" si="56">F1</f>
        <v>NSLP</v>
      </c>
      <c r="G179" s="96" t="str">
        <f t="shared" si="56"/>
        <v>System</v>
      </c>
    </row>
    <row r="180" spans="1:7" x14ac:dyDescent="0.25">
      <c r="A180" s="59">
        <v>570</v>
      </c>
      <c r="B180" s="62" t="s">
        <v>154</v>
      </c>
      <c r="C180" s="14"/>
      <c r="D180" s="142"/>
      <c r="E180" s="142"/>
      <c r="F180" s="14">
        <f>(($C$19*F25)*3.05*180)</f>
        <v>0</v>
      </c>
      <c r="G180" s="14">
        <f t="shared" ref="G180:G188" si="57">SUM(C180:F180)</f>
        <v>0</v>
      </c>
    </row>
    <row r="181" spans="1:7" x14ac:dyDescent="0.25">
      <c r="A181" s="59">
        <v>540</v>
      </c>
      <c r="B181" s="62" t="s">
        <v>155</v>
      </c>
      <c r="C181" s="7"/>
      <c r="D181" s="7"/>
      <c r="E181" s="7"/>
      <c r="F181" s="7"/>
      <c r="G181" s="14">
        <f t="shared" si="57"/>
        <v>0</v>
      </c>
    </row>
    <row r="182" spans="1:7" x14ac:dyDescent="0.25">
      <c r="A182" s="59">
        <v>580</v>
      </c>
      <c r="B182" s="62" t="s">
        <v>156</v>
      </c>
      <c r="C182" s="7"/>
      <c r="D182" s="7"/>
      <c r="E182" s="7"/>
      <c r="F182" s="7"/>
      <c r="G182" s="14">
        <f t="shared" si="57"/>
        <v>0</v>
      </c>
    </row>
    <row r="183" spans="1:7" x14ac:dyDescent="0.25">
      <c r="A183" s="59">
        <v>340</v>
      </c>
      <c r="B183" s="62" t="s">
        <v>157</v>
      </c>
      <c r="C183" s="7"/>
      <c r="D183" s="7"/>
      <c r="E183" s="7"/>
      <c r="F183" s="7"/>
      <c r="G183" s="14">
        <f t="shared" si="57"/>
        <v>0</v>
      </c>
    </row>
    <row r="184" spans="1:7" x14ac:dyDescent="0.25">
      <c r="A184" s="79">
        <v>810</v>
      </c>
      <c r="B184" s="62" t="s">
        <v>158</v>
      </c>
      <c r="C184" s="15"/>
      <c r="D184" s="15"/>
      <c r="E184" s="15"/>
      <c r="F184" s="15"/>
      <c r="G184" s="14">
        <f t="shared" si="57"/>
        <v>0</v>
      </c>
    </row>
    <row r="185" spans="1:7" x14ac:dyDescent="0.25">
      <c r="A185" s="64"/>
      <c r="B185" s="62" t="s">
        <v>159</v>
      </c>
      <c r="C185" s="15"/>
      <c r="D185" s="148"/>
      <c r="E185" s="148"/>
      <c r="F185" s="148"/>
      <c r="G185" s="14">
        <f t="shared" si="57"/>
        <v>0</v>
      </c>
    </row>
    <row r="186" spans="1:7" x14ac:dyDescent="0.25">
      <c r="A186" s="64"/>
      <c r="B186" s="62" t="s">
        <v>160</v>
      </c>
      <c r="C186" s="15"/>
      <c r="D186" s="15"/>
      <c r="E186" s="15"/>
      <c r="F186" s="15"/>
      <c r="G186" s="14">
        <f t="shared" si="57"/>
        <v>0</v>
      </c>
    </row>
    <row r="187" spans="1:7" x14ac:dyDescent="0.25">
      <c r="A187" s="64"/>
      <c r="B187" s="62" t="s">
        <v>161</v>
      </c>
      <c r="C187" s="15"/>
      <c r="D187" s="15"/>
      <c r="E187" s="15"/>
      <c r="F187" s="15"/>
      <c r="G187" s="14">
        <f t="shared" si="57"/>
        <v>0</v>
      </c>
    </row>
    <row r="188" spans="1:7" ht="15.75" thickBot="1" x14ac:dyDescent="0.3">
      <c r="A188" s="59">
        <v>900</v>
      </c>
      <c r="B188" s="62" t="s">
        <v>162</v>
      </c>
      <c r="C188" s="7"/>
      <c r="D188" s="7"/>
      <c r="E188" s="7"/>
      <c r="F188" s="7"/>
      <c r="G188" s="14">
        <f t="shared" si="57"/>
        <v>0</v>
      </c>
    </row>
    <row r="189" spans="1:7" ht="15.75" thickBot="1" x14ac:dyDescent="0.3">
      <c r="A189" s="88"/>
      <c r="B189" s="95" t="s">
        <v>163</v>
      </c>
      <c r="C189" s="92">
        <f>SUM(C180:C188)</f>
        <v>0</v>
      </c>
      <c r="D189" s="92">
        <f>SUM(D180:D188)</f>
        <v>0</v>
      </c>
      <c r="E189" s="92">
        <f t="shared" ref="E189:G189" si="58">SUM(E180:E188)</f>
        <v>0</v>
      </c>
      <c r="F189" s="92">
        <f t="shared" si="58"/>
        <v>0</v>
      </c>
      <c r="G189" s="92">
        <f t="shared" si="58"/>
        <v>0</v>
      </c>
    </row>
    <row r="190" spans="1:7" x14ac:dyDescent="0.25">
      <c r="A190" s="75"/>
      <c r="B190" s="101" t="s">
        <v>164</v>
      </c>
      <c r="C190" s="77" t="str">
        <f>C179</f>
        <v>Operating</v>
      </c>
      <c r="D190" s="77" t="str">
        <f>D179</f>
        <v>Weights</v>
      </c>
      <c r="E190" s="77" t="str">
        <f>E179</f>
        <v>SPED</v>
      </c>
      <c r="F190" s="77" t="str">
        <f t="shared" ref="F190:G190" si="59">F179</f>
        <v>NSLP</v>
      </c>
      <c r="G190" s="77" t="str">
        <f t="shared" si="59"/>
        <v>System</v>
      </c>
    </row>
    <row r="191" spans="1:7" x14ac:dyDescent="0.25">
      <c r="A191" s="93">
        <v>622</v>
      </c>
      <c r="B191" s="62" t="s">
        <v>165</v>
      </c>
      <c r="C191" s="61"/>
      <c r="D191" s="61"/>
      <c r="E191" s="61"/>
      <c r="F191" s="61"/>
      <c r="G191" s="61">
        <f t="shared" ref="G191:G201" si="60">SUM(C191:F191)</f>
        <v>0</v>
      </c>
    </row>
    <row r="192" spans="1:7" x14ac:dyDescent="0.25">
      <c r="A192" s="59">
        <v>621</v>
      </c>
      <c r="B192" s="62" t="s">
        <v>166</v>
      </c>
      <c r="C192" s="7"/>
      <c r="D192" s="15"/>
      <c r="E192" s="15"/>
      <c r="F192" s="15"/>
      <c r="G192" s="61">
        <f t="shared" si="60"/>
        <v>0</v>
      </c>
    </row>
    <row r="193" spans="1:7" x14ac:dyDescent="0.25">
      <c r="A193" s="59">
        <v>411</v>
      </c>
      <c r="B193" s="62" t="s">
        <v>167</v>
      </c>
      <c r="C193" s="7"/>
      <c r="D193" s="7"/>
      <c r="E193" s="7"/>
      <c r="F193" s="7"/>
      <c r="G193" s="61">
        <f t="shared" si="60"/>
        <v>0</v>
      </c>
    </row>
    <row r="194" spans="1:7" x14ac:dyDescent="0.25">
      <c r="A194" s="59">
        <v>422</v>
      </c>
      <c r="B194" s="62" t="s">
        <v>168</v>
      </c>
      <c r="C194" s="7"/>
      <c r="D194" s="7"/>
      <c r="E194" s="7"/>
      <c r="F194" s="7"/>
      <c r="G194" s="61">
        <f t="shared" si="60"/>
        <v>0</v>
      </c>
    </row>
    <row r="195" spans="1:7" x14ac:dyDescent="0.25">
      <c r="A195" s="59">
        <v>490</v>
      </c>
      <c r="B195" s="62" t="s">
        <v>169</v>
      </c>
      <c r="C195" s="7"/>
      <c r="D195" s="7"/>
      <c r="E195" s="7"/>
      <c r="F195" s="7"/>
      <c r="G195" s="61">
        <f t="shared" si="60"/>
        <v>0</v>
      </c>
    </row>
    <row r="196" spans="1:7" x14ac:dyDescent="0.25">
      <c r="A196" s="59">
        <v>422</v>
      </c>
      <c r="B196" s="62" t="s">
        <v>170</v>
      </c>
      <c r="C196" s="11"/>
      <c r="D196" s="11"/>
      <c r="E196" s="11"/>
      <c r="F196" s="11"/>
      <c r="G196" s="61">
        <f t="shared" si="60"/>
        <v>0</v>
      </c>
    </row>
    <row r="197" spans="1:7" x14ac:dyDescent="0.25">
      <c r="A197" s="59">
        <v>610</v>
      </c>
      <c r="B197" s="62" t="s">
        <v>171</v>
      </c>
      <c r="C197" s="15"/>
      <c r="D197" s="7"/>
      <c r="E197" s="7"/>
      <c r="F197" s="7"/>
      <c r="G197" s="61">
        <f t="shared" si="60"/>
        <v>0</v>
      </c>
    </row>
    <row r="198" spans="1:7" x14ac:dyDescent="0.25">
      <c r="A198" s="59" t="s">
        <v>172</v>
      </c>
      <c r="B198" s="62" t="s">
        <v>173</v>
      </c>
      <c r="C198" s="7"/>
      <c r="D198" s="7"/>
      <c r="E198" s="7"/>
      <c r="F198" s="7">
        <v>0</v>
      </c>
      <c r="G198" s="61">
        <f t="shared" si="60"/>
        <v>0</v>
      </c>
    </row>
    <row r="199" spans="1:7" x14ac:dyDescent="0.25">
      <c r="A199" s="59">
        <v>420</v>
      </c>
      <c r="B199" s="62" t="s">
        <v>174</v>
      </c>
      <c r="C199" s="7"/>
      <c r="D199" s="11"/>
      <c r="E199" s="11"/>
      <c r="F199" s="11"/>
      <c r="G199" s="61">
        <f t="shared" si="60"/>
        <v>0</v>
      </c>
    </row>
    <row r="200" spans="1:7" x14ac:dyDescent="0.25">
      <c r="A200" s="59">
        <v>420</v>
      </c>
      <c r="B200" s="62" t="s">
        <v>175</v>
      </c>
      <c r="C200" s="7"/>
      <c r="D200" s="7"/>
      <c r="E200" s="7"/>
      <c r="F200" s="7"/>
      <c r="G200" s="61">
        <f t="shared" si="60"/>
        <v>0</v>
      </c>
    </row>
    <row r="201" spans="1:7" ht="15.75" thickBot="1" x14ac:dyDescent="0.3">
      <c r="A201" s="63">
        <v>431</v>
      </c>
      <c r="B201" s="62" t="s">
        <v>176</v>
      </c>
      <c r="C201" s="37"/>
      <c r="D201" s="86"/>
      <c r="E201" s="86"/>
      <c r="F201" s="86"/>
      <c r="G201" s="61">
        <f t="shared" si="60"/>
        <v>0</v>
      </c>
    </row>
    <row r="202" spans="1:7" ht="15.75" thickBot="1" x14ac:dyDescent="0.3">
      <c r="A202" s="88"/>
      <c r="B202" s="95" t="s">
        <v>177</v>
      </c>
      <c r="C202" s="90">
        <f>SUM(C191:C201)</f>
        <v>0</v>
      </c>
      <c r="D202" s="90">
        <f>SUM(D191:D201)</f>
        <v>0</v>
      </c>
      <c r="E202" s="90">
        <f>SUM(E191:E201)</f>
        <v>0</v>
      </c>
      <c r="F202" s="90">
        <f t="shared" ref="F202:G202" si="61">SUM(F191:F201)</f>
        <v>0</v>
      </c>
      <c r="G202" s="90">
        <f t="shared" si="61"/>
        <v>0</v>
      </c>
    </row>
    <row r="203" spans="1:7" ht="15.75" thickBot="1" x14ac:dyDescent="0.3">
      <c r="A203" s="69"/>
      <c r="B203" s="102"/>
      <c r="C203" s="103"/>
      <c r="D203" s="103"/>
      <c r="E203" s="103"/>
      <c r="F203" s="103"/>
      <c r="G203" s="103"/>
    </row>
    <row r="204" spans="1:7" ht="15.75" thickBot="1" x14ac:dyDescent="0.3">
      <c r="A204" s="69"/>
      <c r="B204" s="95" t="s">
        <v>178</v>
      </c>
      <c r="C204" s="104">
        <f>C137+C149+C164+C173+C178+C189+C202</f>
        <v>181756.01645</v>
      </c>
      <c r="D204" s="104">
        <f>D137+D149+D164+D173+D178+D189+D202</f>
        <v>37920.312499999993</v>
      </c>
      <c r="E204" s="104">
        <f>E137+E149+E164+E173+E178+E189+E202</f>
        <v>0</v>
      </c>
      <c r="F204" s="104">
        <f t="shared" ref="F204" si="62">F137+F149+F164+F173+F178+F189+F202</f>
        <v>34017.431249999994</v>
      </c>
      <c r="G204" s="104">
        <f>G137+G149+G164+G173+G178+G189+G202</f>
        <v>253693.76019999999</v>
      </c>
    </row>
    <row r="205" spans="1:7" x14ac:dyDescent="0.25">
      <c r="A205" s="69"/>
      <c r="B205" s="105"/>
      <c r="C205" s="61"/>
      <c r="D205" s="61"/>
      <c r="E205" s="61"/>
      <c r="F205" s="61"/>
      <c r="G205" s="61"/>
    </row>
    <row r="206" spans="1:7" x14ac:dyDescent="0.25">
      <c r="A206" s="69"/>
      <c r="B206" s="106" t="s">
        <v>179</v>
      </c>
      <c r="C206" s="7">
        <v>0</v>
      </c>
      <c r="D206" s="7"/>
      <c r="E206" s="7"/>
      <c r="F206" s="7"/>
      <c r="G206" s="7">
        <f t="shared" ref="G206:G215" si="63">SUM(C206:F206)</f>
        <v>0</v>
      </c>
    </row>
    <row r="207" spans="1:7" x14ac:dyDescent="0.25">
      <c r="A207" s="69"/>
      <c r="B207" s="106" t="s">
        <v>180</v>
      </c>
      <c r="C207" s="7">
        <v>0</v>
      </c>
      <c r="D207" s="7">
        <v>0</v>
      </c>
      <c r="E207" s="7"/>
      <c r="F207" s="7"/>
      <c r="G207" s="7">
        <f t="shared" si="63"/>
        <v>0</v>
      </c>
    </row>
    <row r="208" spans="1:7" hidden="1" x14ac:dyDescent="0.25">
      <c r="A208" s="69"/>
      <c r="B208" s="106" t="s">
        <v>180</v>
      </c>
      <c r="C208" s="7"/>
      <c r="D208" s="7"/>
      <c r="E208" s="7"/>
      <c r="F208" s="7"/>
      <c r="G208" s="7">
        <f t="shared" si="63"/>
        <v>0</v>
      </c>
    </row>
    <row r="209" spans="1:7" hidden="1" x14ac:dyDescent="0.25">
      <c r="A209" s="69"/>
      <c r="B209" s="106" t="s">
        <v>180</v>
      </c>
      <c r="C209" s="7"/>
      <c r="D209" s="7"/>
      <c r="E209" s="7"/>
      <c r="F209" s="7"/>
      <c r="G209" s="7">
        <f t="shared" si="63"/>
        <v>0</v>
      </c>
    </row>
    <row r="210" spans="1:7" hidden="1" x14ac:dyDescent="0.25">
      <c r="A210" s="69"/>
      <c r="B210" s="106" t="s">
        <v>180</v>
      </c>
      <c r="C210" s="7"/>
      <c r="D210" s="7"/>
      <c r="E210" s="7"/>
      <c r="F210" s="7"/>
      <c r="G210" s="7">
        <f t="shared" si="63"/>
        <v>0</v>
      </c>
    </row>
    <row r="211" spans="1:7" hidden="1" x14ac:dyDescent="0.25">
      <c r="A211" s="69"/>
      <c r="B211" s="106" t="s">
        <v>180</v>
      </c>
      <c r="C211" s="7"/>
      <c r="D211" s="7"/>
      <c r="E211" s="7"/>
      <c r="F211" s="7"/>
      <c r="G211" s="7">
        <f t="shared" si="63"/>
        <v>0</v>
      </c>
    </row>
    <row r="212" spans="1:7" hidden="1" x14ac:dyDescent="0.25">
      <c r="A212" s="69"/>
      <c r="B212" s="106" t="s">
        <v>180</v>
      </c>
      <c r="C212" s="7"/>
      <c r="D212" s="7"/>
      <c r="E212" s="7"/>
      <c r="F212" s="7"/>
      <c r="G212" s="7">
        <f t="shared" si="63"/>
        <v>0</v>
      </c>
    </row>
    <row r="213" spans="1:7" hidden="1" x14ac:dyDescent="0.25">
      <c r="A213" s="69"/>
      <c r="B213" s="106" t="s">
        <v>180</v>
      </c>
      <c r="C213" s="7"/>
      <c r="D213" s="7"/>
      <c r="E213" s="7"/>
      <c r="F213" s="7"/>
      <c r="G213" s="7">
        <f t="shared" si="63"/>
        <v>0</v>
      </c>
    </row>
    <row r="214" spans="1:7" hidden="1" x14ac:dyDescent="0.25">
      <c r="A214" s="69"/>
      <c r="B214" s="106" t="s">
        <v>180</v>
      </c>
      <c r="C214" s="7">
        <v>0</v>
      </c>
      <c r="D214" s="7">
        <v>0</v>
      </c>
      <c r="E214" s="7"/>
      <c r="F214" s="7"/>
      <c r="G214" s="7">
        <f t="shared" si="63"/>
        <v>0</v>
      </c>
    </row>
    <row r="215" spans="1:7" x14ac:dyDescent="0.25">
      <c r="A215" s="69"/>
      <c r="B215" s="106" t="s">
        <v>182</v>
      </c>
      <c r="C215" s="7">
        <v>0</v>
      </c>
      <c r="D215" s="7"/>
      <c r="E215" s="7"/>
      <c r="F215" s="7"/>
      <c r="G215" s="7">
        <f t="shared" si="63"/>
        <v>0</v>
      </c>
    </row>
    <row r="216" spans="1:7" x14ac:dyDescent="0.25">
      <c r="A216" s="69"/>
      <c r="B216" s="147"/>
      <c r="C216" s="7"/>
      <c r="D216" s="7"/>
      <c r="E216" s="7"/>
      <c r="F216" s="7"/>
      <c r="G216" s="7"/>
    </row>
    <row r="217" spans="1:7" ht="15.75" thickBot="1" x14ac:dyDescent="0.3">
      <c r="A217" s="69"/>
      <c r="B217" s="144" t="s">
        <v>183</v>
      </c>
      <c r="C217" s="145">
        <f>C86-C204-C206-C207-C213-C214</f>
        <v>-179276.01645</v>
      </c>
      <c r="D217" s="145">
        <f>D86-D204-D206-D207-D213-D214</f>
        <v>-37800.312499999993</v>
      </c>
      <c r="E217" s="145">
        <f>E86-E204-E206-E207-E213-E214</f>
        <v>0</v>
      </c>
      <c r="F217" s="145">
        <f t="shared" ref="F217:G217" si="64">F86-F204-F206-F207-F213-F214</f>
        <v>-34017.431249999994</v>
      </c>
      <c r="G217" s="145">
        <f t="shared" si="64"/>
        <v>-251093.76019999999</v>
      </c>
    </row>
    <row r="218" spans="1:7" ht="15.75" thickBot="1" x14ac:dyDescent="0.3">
      <c r="A218" s="69"/>
      <c r="B218" s="108"/>
      <c r="C218" s="110">
        <f>C217/(C86-C76)</f>
        <v>-72.288716310483863</v>
      </c>
      <c r="D218" s="110">
        <f t="shared" ref="D218" si="65">D217/(D86-D76)</f>
        <v>-315.00260416666663</v>
      </c>
      <c r="E218" s="110" t="e">
        <f>E217/(E86-E76)</f>
        <v>#DIV/0!</v>
      </c>
      <c r="F218" s="110" t="e">
        <f>F217/(F86)</f>
        <v>#DIV/0!</v>
      </c>
      <c r="G218" s="110">
        <f>G217/(G86-G76)</f>
        <v>-96.574523153846144</v>
      </c>
    </row>
    <row r="219" spans="1:7" x14ac:dyDescent="0.25">
      <c r="A219" s="5"/>
      <c r="C219" s="111"/>
      <c r="D219" s="111"/>
      <c r="E219" s="111"/>
      <c r="F219" s="111"/>
      <c r="G219" s="111"/>
    </row>
    <row r="220" spans="1:7" x14ac:dyDescent="0.25">
      <c r="A220" s="5"/>
      <c r="B220" s="112" t="str">
        <f>B1</f>
        <v xml:space="preserve">System FY 22 </v>
      </c>
      <c r="C220" s="112" t="str">
        <f>C1</f>
        <v>Operating</v>
      </c>
      <c r="D220" s="112" t="str">
        <f>D1</f>
        <v>Weights</v>
      </c>
      <c r="E220" s="112" t="str">
        <f>E1</f>
        <v>SPED</v>
      </c>
      <c r="F220" s="112" t="str">
        <f t="shared" ref="F220:G220" si="66">F1</f>
        <v>NSLP</v>
      </c>
      <c r="G220" s="112" t="str">
        <f t="shared" si="66"/>
        <v>System</v>
      </c>
    </row>
    <row r="221" spans="1:7" x14ac:dyDescent="0.25">
      <c r="A221" s="5"/>
      <c r="C221" s="109"/>
      <c r="D221" s="109"/>
      <c r="E221" s="109"/>
      <c r="F221" s="109"/>
      <c r="G221" s="109"/>
    </row>
    <row r="222" spans="1:7" x14ac:dyDescent="0.25">
      <c r="A222" s="5"/>
      <c r="B222" s="112"/>
      <c r="C222" s="71"/>
      <c r="D222" s="71"/>
      <c r="E222" s="71"/>
      <c r="F222" s="71"/>
      <c r="G222" s="71"/>
    </row>
    <row r="223" spans="1:7" x14ac:dyDescent="0.25">
      <c r="A223" s="5"/>
      <c r="B223" s="113" t="s">
        <v>184</v>
      </c>
      <c r="C223" s="7">
        <v>0</v>
      </c>
      <c r="D223" s="7">
        <v>0</v>
      </c>
      <c r="E223" s="7"/>
      <c r="F223" s="7"/>
      <c r="G223" s="7">
        <v>0</v>
      </c>
    </row>
    <row r="224" spans="1:7" x14ac:dyDescent="0.25">
      <c r="A224" s="5"/>
      <c r="B224" s="113" t="s">
        <v>185</v>
      </c>
      <c r="C224" s="7">
        <v>0</v>
      </c>
      <c r="D224" s="7">
        <v>0</v>
      </c>
      <c r="E224" s="7"/>
      <c r="F224" s="7"/>
      <c r="G224" s="7">
        <v>0</v>
      </c>
    </row>
    <row r="225" spans="1:7" ht="15.75" thickBot="1" x14ac:dyDescent="0.3">
      <c r="A225" s="5"/>
      <c r="B225" s="5"/>
      <c r="C225" s="71"/>
      <c r="D225" s="71"/>
      <c r="E225" s="71"/>
      <c r="F225" s="71"/>
      <c r="G225" s="71"/>
    </row>
    <row r="226" spans="1:7" x14ac:dyDescent="0.25">
      <c r="A226" s="4"/>
      <c r="B226" s="114" t="s">
        <v>186</v>
      </c>
      <c r="C226" s="115"/>
      <c r="D226" s="115"/>
      <c r="E226" s="115"/>
      <c r="F226" s="115"/>
      <c r="G226" s="115"/>
    </row>
    <row r="227" spans="1:7" x14ac:dyDescent="0.25">
      <c r="A227" s="4"/>
      <c r="B227" s="116" t="s">
        <v>187</v>
      </c>
      <c r="C227" s="117">
        <f>C99-C204</f>
        <v>-179276.01645</v>
      </c>
      <c r="D227" s="117">
        <f>D99-D204</f>
        <v>-37800.312499999993</v>
      </c>
      <c r="E227" s="117"/>
      <c r="F227" s="117"/>
      <c r="G227" s="117">
        <f>G99-G204</f>
        <v>-251093.76019999999</v>
      </c>
    </row>
    <row r="228" spans="1:7" x14ac:dyDescent="0.25">
      <c r="A228" s="4"/>
      <c r="B228" s="118"/>
      <c r="C228" s="119"/>
      <c r="D228" s="119"/>
      <c r="E228" s="119"/>
      <c r="F228" s="119"/>
      <c r="G228" s="119"/>
    </row>
    <row r="229" spans="1:7" x14ac:dyDescent="0.25">
      <c r="A229" s="4"/>
      <c r="B229" s="120" t="str">
        <f t="shared" ref="B229:D230" si="67">B206</f>
        <v>Scheduled Lease Payment</v>
      </c>
      <c r="C229" s="121">
        <f t="shared" si="67"/>
        <v>0</v>
      </c>
      <c r="D229" s="121">
        <f t="shared" si="67"/>
        <v>0</v>
      </c>
      <c r="E229" s="121"/>
      <c r="F229" s="121"/>
      <c r="G229" s="121">
        <f>G206</f>
        <v>0</v>
      </c>
    </row>
    <row r="230" spans="1:7" x14ac:dyDescent="0.25">
      <c r="A230" s="4"/>
      <c r="B230" s="120" t="str">
        <f t="shared" si="67"/>
        <v>Scheduled Bond Payment</v>
      </c>
      <c r="C230" s="122">
        <f t="shared" si="67"/>
        <v>0</v>
      </c>
      <c r="D230" s="122">
        <f t="shared" si="67"/>
        <v>0</v>
      </c>
      <c r="E230" s="122"/>
      <c r="F230" s="122"/>
      <c r="G230" s="122">
        <f>G207</f>
        <v>0</v>
      </c>
    </row>
    <row r="231" spans="1:7" x14ac:dyDescent="0.25">
      <c r="A231" s="4"/>
      <c r="B231" s="120" t="str">
        <f t="shared" ref="B231:D232" si="68">B213</f>
        <v>Scheduled Bond Payment</v>
      </c>
      <c r="C231" s="122">
        <f t="shared" si="68"/>
        <v>0</v>
      </c>
      <c r="D231" s="122">
        <f t="shared" si="68"/>
        <v>0</v>
      </c>
      <c r="E231" s="122"/>
      <c r="F231" s="122"/>
      <c r="G231" s="122">
        <f>G213</f>
        <v>0</v>
      </c>
    </row>
    <row r="232" spans="1:7" x14ac:dyDescent="0.25">
      <c r="A232" s="4"/>
      <c r="B232" s="120" t="str">
        <f t="shared" si="68"/>
        <v>Scheduled Bond Payment</v>
      </c>
      <c r="C232" s="122">
        <f t="shared" si="68"/>
        <v>0</v>
      </c>
      <c r="D232" s="122">
        <f t="shared" si="68"/>
        <v>0</v>
      </c>
      <c r="E232" s="122"/>
      <c r="F232" s="122"/>
      <c r="G232" s="122">
        <f>G214</f>
        <v>0</v>
      </c>
    </row>
    <row r="233" spans="1:7" x14ac:dyDescent="0.25">
      <c r="A233" s="4"/>
      <c r="B233" s="123" t="s">
        <v>188</v>
      </c>
      <c r="C233" s="124">
        <f>SUM(C229:C232)</f>
        <v>0</v>
      </c>
      <c r="D233" s="124">
        <f>SUM(D229:D232)</f>
        <v>0</v>
      </c>
      <c r="E233" s="124"/>
      <c r="F233" s="124"/>
      <c r="G233" s="124">
        <f t="shared" ref="G233" si="69">SUM(G229:G232)</f>
        <v>0</v>
      </c>
    </row>
    <row r="234" spans="1:7" x14ac:dyDescent="0.25">
      <c r="A234" s="4"/>
      <c r="B234" s="118"/>
      <c r="C234" s="119"/>
      <c r="D234" s="119"/>
      <c r="E234" s="119"/>
      <c r="F234" s="119"/>
      <c r="G234" s="119"/>
    </row>
    <row r="235" spans="1:7" x14ac:dyDescent="0.25">
      <c r="A235" s="4"/>
      <c r="B235" s="116" t="s">
        <v>189</v>
      </c>
      <c r="C235" s="125" t="e">
        <f>C227/C233</f>
        <v>#DIV/0!</v>
      </c>
      <c r="D235" s="125" t="e">
        <f>D227/D233</f>
        <v>#DIV/0!</v>
      </c>
      <c r="E235" s="125"/>
      <c r="F235" s="125"/>
      <c r="G235" s="125" t="e">
        <f t="shared" ref="G235" si="70">G227/G233</f>
        <v>#DIV/0!</v>
      </c>
    </row>
    <row r="236" spans="1:7" x14ac:dyDescent="0.25">
      <c r="A236" s="4"/>
      <c r="B236" s="118"/>
      <c r="C236" s="126"/>
      <c r="D236" s="126"/>
      <c r="E236" s="126"/>
      <c r="F236" s="126"/>
      <c r="G236" s="126"/>
    </row>
    <row r="237" spans="1:7" x14ac:dyDescent="0.25">
      <c r="A237" s="4"/>
      <c r="B237" s="127" t="s">
        <v>190</v>
      </c>
      <c r="C237" s="128"/>
      <c r="D237" s="128"/>
      <c r="E237" s="128"/>
      <c r="F237" s="128"/>
      <c r="G237" s="128"/>
    </row>
    <row r="238" spans="1:7" x14ac:dyDescent="0.25">
      <c r="A238" s="4"/>
      <c r="B238" s="118" t="s">
        <v>191</v>
      </c>
      <c r="C238" s="129">
        <v>0</v>
      </c>
      <c r="D238" s="129">
        <v>0</v>
      </c>
      <c r="E238" s="129"/>
      <c r="F238" s="129"/>
      <c r="G238" s="129">
        <v>0</v>
      </c>
    </row>
    <row r="239" spans="1:7" x14ac:dyDescent="0.25">
      <c r="A239" s="4"/>
      <c r="B239" s="130" t="s">
        <v>192</v>
      </c>
      <c r="C239" s="122">
        <v>0</v>
      </c>
      <c r="D239" s="122">
        <v>0</v>
      </c>
      <c r="E239" s="122"/>
      <c r="F239" s="122"/>
      <c r="G239" s="122">
        <v>0</v>
      </c>
    </row>
    <row r="240" spans="1:7" x14ac:dyDescent="0.25">
      <c r="A240" s="4"/>
      <c r="B240" s="130" t="s">
        <v>193</v>
      </c>
      <c r="C240" s="122">
        <f>C99-C204-C206-C207-C213-C214</f>
        <v>-179276.01645</v>
      </c>
      <c r="D240" s="122">
        <f>D99-D204-D206-D207-D213-D214</f>
        <v>-37800.312499999993</v>
      </c>
      <c r="E240" s="122"/>
      <c r="F240" s="122"/>
      <c r="G240" s="122">
        <f>G99-G204-G206-G207-G213-G214</f>
        <v>-251093.76019999999</v>
      </c>
    </row>
    <row r="241" spans="1:7" x14ac:dyDescent="0.25">
      <c r="A241" s="4"/>
      <c r="B241" s="131" t="s">
        <v>194</v>
      </c>
      <c r="C241" s="132">
        <f>C238+C239+C240</f>
        <v>-179276.01645</v>
      </c>
      <c r="D241" s="132">
        <f>D238+D239+D240</f>
        <v>-37800.312499999993</v>
      </c>
      <c r="E241" s="132"/>
      <c r="F241" s="132"/>
      <c r="G241" s="132">
        <f t="shared" ref="G241" si="71">G238+G239+G240</f>
        <v>-251093.76019999999</v>
      </c>
    </row>
    <row r="242" spans="1:7" x14ac:dyDescent="0.25">
      <c r="A242" s="4"/>
      <c r="B242" s="116" t="s">
        <v>195</v>
      </c>
      <c r="C242" s="125">
        <f>C241/((C204+C206+C207+C213+C214)/365)</f>
        <v>-360.01969718703089</v>
      </c>
      <c r="D242" s="125">
        <f>D241/((D204+D206+D207+D213+D214)/365)</f>
        <v>-363.8449462276979</v>
      </c>
      <c r="E242" s="125"/>
      <c r="F242" s="125"/>
      <c r="G242" s="125">
        <f>G241/((G204+G206+G207+G213+G214)/365)</f>
        <v>-361.25926944654907</v>
      </c>
    </row>
    <row r="243" spans="1:7" x14ac:dyDescent="0.25">
      <c r="A243" s="4"/>
      <c r="B243" s="118"/>
      <c r="C243" s="119"/>
      <c r="D243" s="119"/>
      <c r="E243" s="119"/>
      <c r="F243" s="119"/>
      <c r="G243" s="119"/>
    </row>
    <row r="244" spans="1:7" x14ac:dyDescent="0.25">
      <c r="A244" s="4"/>
      <c r="B244" s="118"/>
      <c r="C244" s="119"/>
      <c r="D244" s="119"/>
      <c r="E244" s="119"/>
      <c r="F244" s="119"/>
      <c r="G244" s="119"/>
    </row>
    <row r="245" spans="1:7" x14ac:dyDescent="0.25">
      <c r="A245" s="4"/>
      <c r="B245" s="118"/>
      <c r="C245" s="133" t="str">
        <f>C220</f>
        <v>Operating</v>
      </c>
      <c r="D245" s="133" t="str">
        <f>D220</f>
        <v>Weights</v>
      </c>
      <c r="E245" s="133"/>
      <c r="F245" s="133"/>
      <c r="G245" s="133" t="str">
        <f>G220</f>
        <v>System</v>
      </c>
    </row>
    <row r="246" spans="1:7" x14ac:dyDescent="0.25">
      <c r="A246" s="4"/>
      <c r="B246" s="118" t="s">
        <v>196</v>
      </c>
      <c r="C246" s="119"/>
      <c r="D246" s="119"/>
      <c r="E246" s="119"/>
      <c r="F246" s="119"/>
      <c r="G246" s="119"/>
    </row>
    <row r="247" spans="1:7" x14ac:dyDescent="0.25">
      <c r="A247" s="4"/>
      <c r="B247" s="116" t="s">
        <v>187</v>
      </c>
      <c r="C247" s="117">
        <f>C86-C204</f>
        <v>-179276.01645</v>
      </c>
      <c r="D247" s="117">
        <f>D86-D204</f>
        <v>-37800.312499999993</v>
      </c>
      <c r="E247" s="117"/>
      <c r="F247" s="117"/>
      <c r="G247" s="117">
        <f>G86-G204</f>
        <v>-251093.76019999999</v>
      </c>
    </row>
    <row r="248" spans="1:7" x14ac:dyDescent="0.25">
      <c r="A248" s="4"/>
      <c r="B248" s="118"/>
      <c r="C248" s="119"/>
      <c r="D248" s="119"/>
      <c r="E248" s="119"/>
      <c r="F248" s="119"/>
      <c r="G248" s="119"/>
    </row>
    <row r="249" spans="1:7" x14ac:dyDescent="0.25">
      <c r="A249" s="4"/>
      <c r="B249" s="120" t="str">
        <f t="shared" ref="B249:D250" si="72">B206</f>
        <v>Scheduled Lease Payment</v>
      </c>
      <c r="C249" s="121">
        <f t="shared" si="72"/>
        <v>0</v>
      </c>
      <c r="D249" s="121">
        <f t="shared" si="72"/>
        <v>0</v>
      </c>
      <c r="E249" s="121"/>
      <c r="F249" s="121"/>
      <c r="G249" s="121">
        <f>G206</f>
        <v>0</v>
      </c>
    </row>
    <row r="250" spans="1:7" x14ac:dyDescent="0.25">
      <c r="A250" s="4"/>
      <c r="B250" s="120" t="str">
        <f t="shared" si="72"/>
        <v>Scheduled Bond Payment</v>
      </c>
      <c r="C250" s="122">
        <f t="shared" si="72"/>
        <v>0</v>
      </c>
      <c r="D250" s="122">
        <f t="shared" si="72"/>
        <v>0</v>
      </c>
      <c r="E250" s="122"/>
      <c r="F250" s="122"/>
      <c r="G250" s="122">
        <f>G207</f>
        <v>0</v>
      </c>
    </row>
    <row r="251" spans="1:7" x14ac:dyDescent="0.25">
      <c r="A251" s="4"/>
      <c r="B251" s="120" t="str">
        <f t="shared" ref="B251:D252" si="73">B213</f>
        <v>Scheduled Bond Payment</v>
      </c>
      <c r="C251" s="122">
        <f t="shared" si="73"/>
        <v>0</v>
      </c>
      <c r="D251" s="122">
        <f t="shared" si="73"/>
        <v>0</v>
      </c>
      <c r="E251" s="122"/>
      <c r="F251" s="122"/>
      <c r="G251" s="122">
        <f>G213</f>
        <v>0</v>
      </c>
    </row>
    <row r="252" spans="1:7" x14ac:dyDescent="0.25">
      <c r="A252" s="4"/>
      <c r="B252" s="120" t="str">
        <f t="shared" si="73"/>
        <v>Scheduled Bond Payment</v>
      </c>
      <c r="C252" s="122">
        <f t="shared" si="73"/>
        <v>0</v>
      </c>
      <c r="D252" s="122">
        <f t="shared" si="73"/>
        <v>0</v>
      </c>
      <c r="E252" s="122"/>
      <c r="F252" s="122"/>
      <c r="G252" s="122">
        <f>G214</f>
        <v>0</v>
      </c>
    </row>
    <row r="253" spans="1:7" x14ac:dyDescent="0.25">
      <c r="A253" s="4"/>
      <c r="B253" s="123" t="s">
        <v>188</v>
      </c>
      <c r="C253" s="124">
        <f>SUM(C249:C252)</f>
        <v>0</v>
      </c>
      <c r="D253" s="124">
        <f>SUM(D249:D252)</f>
        <v>0</v>
      </c>
      <c r="E253" s="124"/>
      <c r="F253" s="124"/>
      <c r="G253" s="124">
        <f t="shared" ref="G253" si="74">SUM(G249:G252)</f>
        <v>0</v>
      </c>
    </row>
    <row r="254" spans="1:7" x14ac:dyDescent="0.25">
      <c r="A254" s="4"/>
      <c r="B254" s="118"/>
      <c r="C254" s="119"/>
      <c r="D254" s="119"/>
      <c r="E254" s="119"/>
      <c r="F254" s="119"/>
      <c r="G254" s="119"/>
    </row>
    <row r="255" spans="1:7" x14ac:dyDescent="0.25">
      <c r="A255" s="4"/>
      <c r="B255" s="116" t="s">
        <v>189</v>
      </c>
      <c r="C255" s="134" t="e">
        <f>C247/C253</f>
        <v>#DIV/0!</v>
      </c>
      <c r="D255" s="134" t="e">
        <f>D247/D253</f>
        <v>#DIV/0!</v>
      </c>
      <c r="E255" s="134"/>
      <c r="F255" s="134"/>
      <c r="G255" s="134" t="e">
        <f t="shared" ref="G255" si="75">G247/G253</f>
        <v>#DIV/0!</v>
      </c>
    </row>
    <row r="256" spans="1:7" x14ac:dyDescent="0.25">
      <c r="A256" s="4"/>
      <c r="B256" s="118"/>
      <c r="C256" s="126"/>
      <c r="D256" s="126"/>
      <c r="E256" s="126"/>
      <c r="F256" s="126"/>
      <c r="G256" s="126"/>
    </row>
    <row r="257" spans="1:7" x14ac:dyDescent="0.25">
      <c r="A257" s="4"/>
      <c r="B257" s="127" t="s">
        <v>190</v>
      </c>
      <c r="C257" s="128"/>
      <c r="D257" s="128"/>
      <c r="E257" s="128"/>
      <c r="F257" s="128"/>
      <c r="G257" s="128"/>
    </row>
    <row r="258" spans="1:7" x14ac:dyDescent="0.25">
      <c r="A258" s="4"/>
      <c r="B258" s="118" t="s">
        <v>191</v>
      </c>
      <c r="C258" s="122">
        <f>C238</f>
        <v>0</v>
      </c>
      <c r="D258" s="122">
        <f>D238</f>
        <v>0</v>
      </c>
      <c r="E258" s="122"/>
      <c r="F258" s="122"/>
      <c r="G258" s="122">
        <f t="shared" ref="G258" si="76">G238</f>
        <v>0</v>
      </c>
    </row>
    <row r="259" spans="1:7" x14ac:dyDescent="0.25">
      <c r="A259" s="4"/>
      <c r="B259" s="130" t="s">
        <v>192</v>
      </c>
      <c r="C259" s="122">
        <v>0</v>
      </c>
      <c r="D259" s="122">
        <v>0</v>
      </c>
      <c r="E259" s="122"/>
      <c r="F259" s="122"/>
      <c r="G259" s="122">
        <v>0</v>
      </c>
    </row>
    <row r="260" spans="1:7" x14ac:dyDescent="0.25">
      <c r="A260" s="4"/>
      <c r="B260" s="130" t="s">
        <v>193</v>
      </c>
      <c r="C260" s="122">
        <f>C217</f>
        <v>-179276.01645</v>
      </c>
      <c r="D260" s="122">
        <f>D217</f>
        <v>-37800.312499999993</v>
      </c>
      <c r="E260" s="122"/>
      <c r="F260" s="122"/>
      <c r="G260" s="122">
        <f t="shared" ref="G260" si="77">G217</f>
        <v>-251093.76019999999</v>
      </c>
    </row>
    <row r="261" spans="1:7" x14ac:dyDescent="0.25">
      <c r="A261" s="4"/>
      <c r="B261" s="131" t="s">
        <v>194</v>
      </c>
      <c r="C261" s="132">
        <f>C258+C259+C260</f>
        <v>-179276.01645</v>
      </c>
      <c r="D261" s="132">
        <f>D258+D259+D260</f>
        <v>-37800.312499999993</v>
      </c>
      <c r="E261" s="132"/>
      <c r="F261" s="132"/>
      <c r="G261" s="132">
        <f t="shared" ref="G261" si="78">G258+G259+G260</f>
        <v>-251093.76019999999</v>
      </c>
    </row>
    <row r="262" spans="1:7" ht="15.75" thickBot="1" x14ac:dyDescent="0.3">
      <c r="A262" s="4"/>
      <c r="B262" s="135" t="s">
        <v>195</v>
      </c>
      <c r="C262" s="136">
        <f>C261/((C204+C206+C207+C213+C214)/365)</f>
        <v>-360.01969718703089</v>
      </c>
      <c r="D262" s="136">
        <f>D261/((D204+D206+D207+D213+D214)/365)</f>
        <v>-363.8449462276979</v>
      </c>
      <c r="E262" s="136"/>
      <c r="F262" s="136"/>
      <c r="G262" s="136">
        <f>G261/((G204+G206+G207+G213+G214)/365)</f>
        <v>-361.25926944654907</v>
      </c>
    </row>
    <row r="263" spans="1:7" x14ac:dyDescent="0.25">
      <c r="A263" s="4"/>
      <c r="C263" s="109"/>
      <c r="D263" s="109"/>
      <c r="E263" s="109"/>
      <c r="F263" s="109"/>
      <c r="G263" s="109"/>
    </row>
    <row r="264" spans="1:7" x14ac:dyDescent="0.25">
      <c r="A264" s="4"/>
      <c r="C264" s="109"/>
      <c r="D264" s="109"/>
      <c r="E264" s="109"/>
      <c r="F264" s="109"/>
      <c r="G264" s="10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J11"/>
  <sheetViews>
    <sheetView workbookViewId="0">
      <selection activeCell="D5" sqref="D5"/>
    </sheetView>
  </sheetViews>
  <sheetFormatPr defaultRowHeight="15" x14ac:dyDescent="0.25"/>
  <cols>
    <col min="4" max="4" width="12.140625" bestFit="1" customWidth="1"/>
    <col min="10" max="10" width="11.140625" bestFit="1" customWidth="1"/>
  </cols>
  <sheetData>
    <row r="4" spans="1:10" x14ac:dyDescent="0.25">
      <c r="D4" s="160">
        <v>0</v>
      </c>
      <c r="J4" s="160">
        <v>14200</v>
      </c>
    </row>
    <row r="5" spans="1:10" x14ac:dyDescent="0.25">
      <c r="A5" t="s">
        <v>238</v>
      </c>
      <c r="B5">
        <f>Horizon!E22</f>
        <v>81</v>
      </c>
      <c r="C5" s="157">
        <f>B5/$B$11</f>
        <v>0.12796208530805686</v>
      </c>
      <c r="D5" s="159">
        <f>C5*$D$4</f>
        <v>0</v>
      </c>
      <c r="G5" t="s">
        <v>238</v>
      </c>
      <c r="H5">
        <v>911</v>
      </c>
      <c r="I5" s="157">
        <f>H5/$H$11</f>
        <v>0.12869049300748694</v>
      </c>
      <c r="J5" s="159">
        <f>I5*$J$4</f>
        <v>1827.4050007063147</v>
      </c>
    </row>
    <row r="6" spans="1:10" x14ac:dyDescent="0.25">
      <c r="A6" t="s">
        <v>208</v>
      </c>
      <c r="B6">
        <f>Cadence!E22</f>
        <v>235</v>
      </c>
      <c r="C6" s="157">
        <f t="shared" ref="C6:C10" si="0">B6/$B$11</f>
        <v>0.37124802527646128</v>
      </c>
      <c r="D6" s="159">
        <f t="shared" ref="D6:D10" si="1">C6*$D$4</f>
        <v>0</v>
      </c>
      <c r="G6" t="s">
        <v>208</v>
      </c>
      <c r="H6">
        <v>2153</v>
      </c>
      <c r="I6" s="157">
        <f t="shared" ref="I6:I9" si="2">H6/$H$11</f>
        <v>0.30413900268399491</v>
      </c>
      <c r="J6" s="159">
        <f t="shared" ref="J6:J9" si="3">I6*$J$4</f>
        <v>4318.7738381127274</v>
      </c>
    </row>
    <row r="7" spans="1:10" x14ac:dyDescent="0.25">
      <c r="A7" t="s">
        <v>215</v>
      </c>
      <c r="B7">
        <f>'St Rose'!E22</f>
        <v>82</v>
      </c>
      <c r="C7" s="157">
        <f t="shared" si="0"/>
        <v>0.12954186413902052</v>
      </c>
      <c r="D7" s="159">
        <f t="shared" si="1"/>
        <v>0</v>
      </c>
      <c r="G7" t="s">
        <v>215</v>
      </c>
      <c r="H7">
        <v>1014</v>
      </c>
      <c r="I7" s="157">
        <f t="shared" si="2"/>
        <v>0.14324057070207658</v>
      </c>
      <c r="J7" s="159">
        <f t="shared" si="3"/>
        <v>2034.0161039694874</v>
      </c>
    </row>
    <row r="8" spans="1:10" x14ac:dyDescent="0.25">
      <c r="A8" t="s">
        <v>222</v>
      </c>
      <c r="B8">
        <f>Sloan!E22</f>
        <v>133</v>
      </c>
      <c r="C8" s="157">
        <f t="shared" si="0"/>
        <v>0.21011058451816747</v>
      </c>
      <c r="D8" s="159">
        <f t="shared" si="1"/>
        <v>0</v>
      </c>
      <c r="G8" t="s">
        <v>222</v>
      </c>
      <c r="H8">
        <v>1792</v>
      </c>
      <c r="I8" s="157">
        <f t="shared" si="2"/>
        <v>0.25314309930781181</v>
      </c>
      <c r="J8" s="159">
        <f t="shared" si="3"/>
        <v>3594.632010170928</v>
      </c>
    </row>
    <row r="9" spans="1:10" x14ac:dyDescent="0.25">
      <c r="A9" t="s">
        <v>231</v>
      </c>
      <c r="B9">
        <f>Inspirada!E22</f>
        <v>102</v>
      </c>
      <c r="C9" s="157">
        <f t="shared" si="0"/>
        <v>0.16113744075829384</v>
      </c>
      <c r="D9" s="159">
        <f t="shared" si="1"/>
        <v>0</v>
      </c>
      <c r="G9" t="s">
        <v>231</v>
      </c>
      <c r="H9">
        <v>1209</v>
      </c>
      <c r="I9" s="157">
        <f t="shared" si="2"/>
        <v>0.17078683429862976</v>
      </c>
      <c r="J9" s="159">
        <f t="shared" si="3"/>
        <v>2425.1730470405428</v>
      </c>
    </row>
    <row r="10" spans="1:10" x14ac:dyDescent="0.25">
      <c r="B10" s="156"/>
      <c r="C10" s="157">
        <f t="shared" si="0"/>
        <v>0</v>
      </c>
      <c r="D10" s="159">
        <f t="shared" si="1"/>
        <v>0</v>
      </c>
      <c r="H10" s="156"/>
      <c r="I10" s="157"/>
      <c r="J10" s="159"/>
    </row>
    <row r="11" spans="1:10" x14ac:dyDescent="0.25">
      <c r="B11">
        <f>SUM(B5:B10)</f>
        <v>633</v>
      </c>
      <c r="H11">
        <f>SUM(H5:H10)</f>
        <v>7079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X226"/>
  <sheetViews>
    <sheetView topLeftCell="A175" zoomScale="75" zoomScaleNormal="75" workbookViewId="0">
      <pane xSplit="1" topLeftCell="Y1" activePane="topRight" state="frozen"/>
      <selection activeCell="A43" sqref="A43"/>
      <selection pane="topRight" activeCell="AM150" sqref="AM150:AN150"/>
    </sheetView>
  </sheetViews>
  <sheetFormatPr defaultRowHeight="15" x14ac:dyDescent="0.25"/>
  <cols>
    <col min="1" max="1" width="46.85546875" customWidth="1"/>
    <col min="2" max="2" width="16.42578125" customWidth="1"/>
    <col min="3" max="3" width="14.85546875" customWidth="1"/>
    <col min="4" max="4" width="16.42578125" customWidth="1"/>
    <col min="5" max="6" width="14.85546875" customWidth="1"/>
    <col min="7" max="7" width="8.85546875" style="199"/>
    <col min="8" max="8" width="16.42578125" customWidth="1"/>
    <col min="9" max="9" width="14.85546875" customWidth="1"/>
    <col min="10" max="10" width="16.42578125" customWidth="1"/>
    <col min="11" max="12" width="14.85546875" customWidth="1"/>
    <col min="13" max="13" width="8.85546875" style="199"/>
    <col min="14" max="14" width="16.42578125" customWidth="1"/>
    <col min="15" max="15" width="14.85546875" customWidth="1"/>
    <col min="16" max="16" width="16.42578125" customWidth="1"/>
    <col min="17" max="18" width="14.85546875" customWidth="1"/>
    <col min="19" max="19" width="8.85546875" style="199"/>
    <col min="20" max="20" width="16.42578125" customWidth="1"/>
    <col min="21" max="21" width="14.85546875" customWidth="1"/>
    <col min="22" max="22" width="16.42578125" customWidth="1"/>
    <col min="23" max="24" width="14.85546875" customWidth="1"/>
    <col min="25" max="25" width="8.85546875" style="199"/>
    <col min="26" max="26" width="16.42578125" customWidth="1"/>
    <col min="27" max="27" width="14.85546875" customWidth="1"/>
    <col min="28" max="28" width="16.42578125" customWidth="1"/>
    <col min="29" max="30" width="14.85546875" customWidth="1"/>
    <col min="31" max="31" width="8.85546875" style="199"/>
    <col min="32" max="32" width="16.42578125" customWidth="1"/>
    <col min="33" max="33" width="14.85546875" customWidth="1"/>
    <col min="34" max="34" width="16.42578125" customWidth="1"/>
    <col min="35" max="36" width="14.85546875" customWidth="1"/>
    <col min="37" max="37" width="8.85546875" style="199"/>
    <col min="38" max="38" width="16.42578125" customWidth="1"/>
    <col min="39" max="39" width="14.85546875" customWidth="1"/>
    <col min="40" max="40" width="16.42578125" customWidth="1"/>
    <col min="41" max="42" width="14.85546875" customWidth="1"/>
    <col min="44" max="44" width="16.42578125" customWidth="1"/>
    <col min="45" max="45" width="14.85546875" customWidth="1"/>
    <col min="46" max="46" width="16.42578125" customWidth="1"/>
    <col min="47" max="47" width="14.85546875" customWidth="1"/>
    <col min="48" max="48" width="17.140625" bestFit="1" customWidth="1"/>
  </cols>
  <sheetData>
    <row r="1" spans="1:48" x14ac:dyDescent="0.25">
      <c r="A1" s="1" t="s">
        <v>239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238</v>
      </c>
      <c r="H1" s="3" t="s">
        <v>1</v>
      </c>
      <c r="I1" s="3" t="s">
        <v>2</v>
      </c>
      <c r="J1" s="3" t="s">
        <v>3</v>
      </c>
      <c r="K1" s="3" t="s">
        <v>4</v>
      </c>
      <c r="L1" s="3" t="s">
        <v>208</v>
      </c>
      <c r="N1" s="3" t="s">
        <v>1</v>
      </c>
      <c r="O1" s="3" t="s">
        <v>2</v>
      </c>
      <c r="P1" s="3" t="s">
        <v>3</v>
      </c>
      <c r="Q1" s="3" t="s">
        <v>4</v>
      </c>
      <c r="R1" s="3" t="s">
        <v>215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231</v>
      </c>
      <c r="Z1" s="3" t="s">
        <v>1</v>
      </c>
      <c r="AA1" s="3" t="s">
        <v>2</v>
      </c>
      <c r="AB1" s="3" t="s">
        <v>3</v>
      </c>
      <c r="AC1" s="3" t="s">
        <v>4</v>
      </c>
      <c r="AD1" s="3" t="s">
        <v>240</v>
      </c>
      <c r="AF1" s="3" t="s">
        <v>1</v>
      </c>
      <c r="AG1" s="3" t="s">
        <v>2</v>
      </c>
      <c r="AH1" s="3" t="s">
        <v>3</v>
      </c>
      <c r="AI1" s="3" t="s">
        <v>4</v>
      </c>
      <c r="AJ1" s="3" t="s">
        <v>241</v>
      </c>
      <c r="AL1" s="3" t="s">
        <v>1</v>
      </c>
      <c r="AM1" s="3" t="s">
        <v>2</v>
      </c>
      <c r="AN1" s="3" t="s">
        <v>3</v>
      </c>
      <c r="AO1" s="3" t="s">
        <v>4</v>
      </c>
      <c r="AP1" s="3" t="s">
        <v>242</v>
      </c>
      <c r="AR1" s="3" t="s">
        <v>1</v>
      </c>
      <c r="AS1" s="3" t="s">
        <v>2</v>
      </c>
      <c r="AT1" s="3" t="s">
        <v>3</v>
      </c>
      <c r="AU1" s="3" t="s">
        <v>4</v>
      </c>
      <c r="AV1" s="3" t="s">
        <v>243</v>
      </c>
    </row>
    <row r="2" spans="1:48" x14ac:dyDescent="0.25">
      <c r="A2" s="6" t="s">
        <v>7</v>
      </c>
      <c r="B2" s="7">
        <v>7293</v>
      </c>
      <c r="C2" s="7">
        <v>0</v>
      </c>
      <c r="D2" s="7">
        <v>0</v>
      </c>
      <c r="E2" s="7">
        <v>0</v>
      </c>
      <c r="F2" s="7">
        <f>SUM(B2:E2)</f>
        <v>7293</v>
      </c>
      <c r="H2" s="7">
        <v>7293</v>
      </c>
      <c r="I2" s="7">
        <v>0</v>
      </c>
      <c r="J2" s="7">
        <v>0</v>
      </c>
      <c r="K2" s="7">
        <v>0</v>
      </c>
      <c r="L2" s="7">
        <f>SUM(H2:K2)</f>
        <v>7293</v>
      </c>
      <c r="N2" s="7">
        <v>7293</v>
      </c>
      <c r="O2" s="7">
        <v>0</v>
      </c>
      <c r="P2" s="7">
        <v>0</v>
      </c>
      <c r="Q2" s="7">
        <v>0</v>
      </c>
      <c r="R2" s="7">
        <f>SUM(N2:Q2)</f>
        <v>7293</v>
      </c>
      <c r="T2" s="7">
        <v>7293</v>
      </c>
      <c r="U2" s="7">
        <v>0</v>
      </c>
      <c r="V2" s="7">
        <v>0</v>
      </c>
      <c r="W2" s="7">
        <v>0</v>
      </c>
      <c r="X2" s="7">
        <f>SUM(T2:W2)</f>
        <v>7293</v>
      </c>
      <c r="Z2" s="7">
        <v>7293</v>
      </c>
      <c r="AA2" s="7">
        <v>0</v>
      </c>
      <c r="AB2" s="7">
        <v>0</v>
      </c>
      <c r="AC2" s="7">
        <v>0</v>
      </c>
      <c r="AD2" s="7">
        <f>SUM(Z2:AC2)</f>
        <v>7293</v>
      </c>
      <c r="AF2" s="7">
        <v>0</v>
      </c>
      <c r="AG2" s="7">
        <v>0</v>
      </c>
      <c r="AH2" s="7">
        <v>0</v>
      </c>
      <c r="AI2" s="7">
        <v>0</v>
      </c>
      <c r="AJ2" s="7">
        <f>SUM(AF2:AI2)</f>
        <v>0</v>
      </c>
      <c r="AL2" s="7">
        <v>7073</v>
      </c>
      <c r="AM2" s="7">
        <v>0</v>
      </c>
      <c r="AN2" s="7">
        <v>0</v>
      </c>
      <c r="AO2" s="7">
        <v>0</v>
      </c>
      <c r="AP2" s="7">
        <f>SUM(AL2:AO2)</f>
        <v>7073</v>
      </c>
      <c r="AR2" s="7">
        <f>AR87/AR19</f>
        <v>7290.4309978768579</v>
      </c>
      <c r="AS2" s="7">
        <v>0</v>
      </c>
      <c r="AT2" s="7">
        <v>0</v>
      </c>
      <c r="AU2" s="7">
        <v>0</v>
      </c>
      <c r="AV2" s="7">
        <f>SUM(AR2:AU2)</f>
        <v>7290.4309978768579</v>
      </c>
    </row>
    <row r="3" spans="1:48" hidden="1" x14ac:dyDescent="0.25">
      <c r="A3" s="8"/>
      <c r="B3" s="7">
        <v>0</v>
      </c>
      <c r="C3" s="7">
        <v>0</v>
      </c>
      <c r="D3" s="7"/>
      <c r="E3" s="7">
        <v>0</v>
      </c>
      <c r="F3" s="7">
        <f>SUM(B3:E3)</f>
        <v>0</v>
      </c>
      <c r="H3" s="7">
        <v>0</v>
      </c>
      <c r="I3" s="7">
        <v>0</v>
      </c>
      <c r="J3" s="7"/>
      <c r="K3" s="7">
        <v>0</v>
      </c>
      <c r="L3" s="7">
        <f>SUM(H3:K3)</f>
        <v>0</v>
      </c>
      <c r="N3" s="7">
        <v>0</v>
      </c>
      <c r="O3" s="7">
        <v>0</v>
      </c>
      <c r="P3" s="7"/>
      <c r="Q3" s="7">
        <v>0</v>
      </c>
      <c r="R3" s="7">
        <f>SUM(N3:Q3)</f>
        <v>0</v>
      </c>
      <c r="T3" s="7">
        <v>0</v>
      </c>
      <c r="U3" s="7">
        <v>0</v>
      </c>
      <c r="V3" s="7"/>
      <c r="W3" s="7">
        <v>0</v>
      </c>
      <c r="X3" s="7">
        <f>SUM(T3:W3)</f>
        <v>0</v>
      </c>
      <c r="Z3" s="7">
        <v>0</v>
      </c>
      <c r="AA3" s="7">
        <v>0</v>
      </c>
      <c r="AB3" s="7"/>
      <c r="AC3" s="7">
        <v>0</v>
      </c>
      <c r="AD3" s="7">
        <f>SUM(Z3:AC3)</f>
        <v>0</v>
      </c>
      <c r="AF3" s="7">
        <v>0</v>
      </c>
      <c r="AG3" s="7">
        <v>0</v>
      </c>
      <c r="AH3" s="7"/>
      <c r="AI3" s="7">
        <v>0</v>
      </c>
      <c r="AJ3" s="7">
        <f>SUM(AF3:AI3)</f>
        <v>0</v>
      </c>
      <c r="AL3" s="7">
        <v>0</v>
      </c>
      <c r="AM3" s="7">
        <v>0</v>
      </c>
      <c r="AN3" s="7"/>
      <c r="AO3" s="7">
        <v>0</v>
      </c>
      <c r="AP3" s="7">
        <f>SUM(AL3:AO3)</f>
        <v>0</v>
      </c>
      <c r="AR3" s="7">
        <v>0</v>
      </c>
      <c r="AS3" s="7">
        <v>0</v>
      </c>
      <c r="AT3" s="7"/>
      <c r="AU3" s="7">
        <v>0</v>
      </c>
      <c r="AV3" s="7">
        <f>SUM(AR3:AU3)</f>
        <v>0</v>
      </c>
    </row>
    <row r="4" spans="1:48" hidden="1" x14ac:dyDescent="0.25">
      <c r="A4" s="8"/>
      <c r="B4" s="139"/>
      <c r="C4" s="139"/>
      <c r="D4" s="139"/>
      <c r="E4" s="139"/>
      <c r="F4" s="153"/>
      <c r="H4" s="139"/>
      <c r="I4" s="139"/>
      <c r="J4" s="139"/>
      <c r="K4" s="139"/>
      <c r="L4" s="153"/>
      <c r="N4" s="139"/>
      <c r="O4" s="139"/>
      <c r="P4" s="139"/>
      <c r="Q4" s="139"/>
      <c r="R4" s="153"/>
      <c r="T4" s="139"/>
      <c r="U4" s="139"/>
      <c r="V4" s="139"/>
      <c r="W4" s="139"/>
      <c r="X4" s="153"/>
      <c r="Z4" s="139"/>
      <c r="AA4" s="139"/>
      <c r="AB4" s="139"/>
      <c r="AC4" s="139"/>
      <c r="AD4" s="153"/>
      <c r="AF4" s="139"/>
      <c r="AG4" s="139"/>
      <c r="AH4" s="139"/>
      <c r="AI4" s="139"/>
      <c r="AJ4" s="153"/>
      <c r="AL4" s="139"/>
      <c r="AM4" s="139"/>
      <c r="AN4" s="139"/>
      <c r="AO4" s="139"/>
      <c r="AP4" s="153"/>
      <c r="AR4" s="139"/>
      <c r="AS4" s="139"/>
      <c r="AT4" s="139"/>
      <c r="AU4" s="139"/>
      <c r="AV4" s="153"/>
    </row>
    <row r="5" spans="1:48" x14ac:dyDescent="0.25">
      <c r="A5" s="8" t="s">
        <v>8</v>
      </c>
      <c r="B5" s="9">
        <f>B6+B7+B8+B9+B10+B11+B12+B13+B14+B15+B16+B17+B18</f>
        <v>899</v>
      </c>
      <c r="C5" s="9"/>
      <c r="D5" s="9"/>
      <c r="E5" s="9"/>
      <c r="F5" s="9">
        <f t="shared" ref="F5:F19" si="0">SUM(B5:E5)</f>
        <v>899</v>
      </c>
      <c r="H5" s="9">
        <f>H6+H7+H8+H9+H10+H11+H12+H13+H14+H15+H16+H17+H18</f>
        <v>2244</v>
      </c>
      <c r="I5" s="9"/>
      <c r="J5" s="9"/>
      <c r="K5" s="9"/>
      <c r="L5" s="9">
        <f t="shared" ref="L5:L19" si="1">SUM(H5:K5)</f>
        <v>2244</v>
      </c>
      <c r="N5" s="9">
        <f>N6+N7+N8+N9+N10+N11+N12+N13+N14+N15+N16+N17+N18</f>
        <v>1016</v>
      </c>
      <c r="O5" s="9"/>
      <c r="P5" s="9"/>
      <c r="Q5" s="9"/>
      <c r="R5" s="9">
        <f t="shared" ref="R5:R19" si="2">SUM(N5:Q5)</f>
        <v>1016</v>
      </c>
      <c r="T5" s="9">
        <f>T6+T7+T8+T9+T10+T11+T12+T13+T14+T15+T16+T17+T18</f>
        <v>1199</v>
      </c>
      <c r="U5" s="9"/>
      <c r="V5" s="9"/>
      <c r="W5" s="9"/>
      <c r="X5" s="9">
        <f t="shared" ref="X5:X19" si="3">SUM(T5:W5)</f>
        <v>1199</v>
      </c>
      <c r="Z5" s="9">
        <f>Z6+Z7+Z8+Z9+Z10+Z11+Z12+Z13+Z14+Z15+Z16+Z17+Z18</f>
        <v>2090</v>
      </c>
      <c r="AA5" s="9"/>
      <c r="AB5" s="9"/>
      <c r="AC5" s="9"/>
      <c r="AD5" s="9">
        <f t="shared" ref="AD5:AD19" si="4">SUM(Z5:AC5)</f>
        <v>2090</v>
      </c>
      <c r="AF5" s="9">
        <f>AF6+AF7+AF8+AF9+AF10+AF11+AF12+AF13+AF14+AF15+AF16+AF17+AF18</f>
        <v>0</v>
      </c>
      <c r="AG5" s="9"/>
      <c r="AH5" s="9"/>
      <c r="AI5" s="9"/>
      <c r="AJ5" s="9">
        <f t="shared" ref="AJ5:AJ19" si="5">SUM(AF5:AI5)</f>
        <v>0</v>
      </c>
      <c r="AL5" s="9">
        <f>AL6+AL7+AL8+AL9+AL10+AL11+AL12+AL13+AL14+AL15+AL16+AL17+AL18</f>
        <v>88</v>
      </c>
      <c r="AM5" s="9"/>
      <c r="AN5" s="9"/>
      <c r="AO5" s="9"/>
      <c r="AP5" s="9">
        <f t="shared" ref="AP5:AP19" si="6">SUM(AL5:AO5)</f>
        <v>88</v>
      </c>
      <c r="AR5" s="9">
        <f>B5+H5+N5+T5+Z5+AF5+AL5</f>
        <v>7536</v>
      </c>
      <c r="AS5" s="9">
        <f t="shared" ref="AS5:AU5" si="7">C5+I5+O5+U5+AA5+AG5+AM5</f>
        <v>0</v>
      </c>
      <c r="AT5" s="9">
        <f t="shared" si="7"/>
        <v>0</v>
      </c>
      <c r="AU5" s="9">
        <f t="shared" si="7"/>
        <v>0</v>
      </c>
      <c r="AV5" s="9">
        <f t="shared" ref="AV5:AV19" si="8">SUM(AR5:AU5)</f>
        <v>7536</v>
      </c>
    </row>
    <row r="6" spans="1:48" x14ac:dyDescent="0.25">
      <c r="A6" s="10" t="s">
        <v>9</v>
      </c>
      <c r="B6" s="11">
        <f>25*6</f>
        <v>150</v>
      </c>
      <c r="C6" s="11"/>
      <c r="D6" s="11"/>
      <c r="E6" s="11"/>
      <c r="F6" s="9">
        <f t="shared" si="0"/>
        <v>150</v>
      </c>
      <c r="G6" s="329">
        <f>F6/25</f>
        <v>6</v>
      </c>
      <c r="H6" s="11">
        <f>25*5</f>
        <v>125</v>
      </c>
      <c r="I6" s="11"/>
      <c r="J6" s="11"/>
      <c r="K6" s="11"/>
      <c r="L6" s="9">
        <f t="shared" si="1"/>
        <v>125</v>
      </c>
      <c r="M6" s="329">
        <f>H6/25</f>
        <v>5</v>
      </c>
      <c r="N6" s="11">
        <v>100</v>
      </c>
      <c r="O6" s="11"/>
      <c r="P6" s="11"/>
      <c r="Q6" s="11"/>
      <c r="R6" s="9">
        <f t="shared" si="2"/>
        <v>100</v>
      </c>
      <c r="S6" s="329">
        <f>R6/25</f>
        <v>4</v>
      </c>
      <c r="T6" s="11">
        <f>25*5</f>
        <v>125</v>
      </c>
      <c r="U6" s="11"/>
      <c r="V6" s="11"/>
      <c r="W6" s="11"/>
      <c r="X6" s="9">
        <f t="shared" si="3"/>
        <v>125</v>
      </c>
      <c r="Y6" s="329">
        <f>X6/25</f>
        <v>5</v>
      </c>
      <c r="Z6" s="11">
        <v>125</v>
      </c>
      <c r="AA6" s="11"/>
      <c r="AB6" s="11"/>
      <c r="AC6" s="11"/>
      <c r="AD6" s="9">
        <f t="shared" si="4"/>
        <v>125</v>
      </c>
      <c r="AE6" s="337">
        <f>AD6/25</f>
        <v>5</v>
      </c>
      <c r="AF6" s="11">
        <v>0</v>
      </c>
      <c r="AG6" s="11"/>
      <c r="AH6" s="11"/>
      <c r="AI6" s="11"/>
      <c r="AJ6" s="9">
        <f t="shared" si="5"/>
        <v>0</v>
      </c>
      <c r="AL6" s="11"/>
      <c r="AM6" s="11"/>
      <c r="AN6" s="11"/>
      <c r="AO6" s="11"/>
      <c r="AP6" s="9">
        <f t="shared" si="6"/>
        <v>0</v>
      </c>
      <c r="AR6" s="94">
        <f t="shared" ref="AR6:AR19" si="9">B6+H6+N6+T6+Z6+AF6+AL6</f>
        <v>625</v>
      </c>
      <c r="AS6" s="9">
        <f t="shared" ref="AS6:AS19" si="10">C6+I6+O6+U6+AA6+AG6+AM6</f>
        <v>0</v>
      </c>
      <c r="AT6" s="9">
        <f t="shared" ref="AT6:AT19" si="11">D6+J6+P6+V6+AB6+AH6+AN6</f>
        <v>0</v>
      </c>
      <c r="AU6" s="9">
        <f t="shared" ref="AU6:AU19" si="12">E6+K6+Q6+W6+AC6+AI6+AO6</f>
        <v>0</v>
      </c>
      <c r="AV6" s="9">
        <f t="shared" si="8"/>
        <v>625</v>
      </c>
    </row>
    <row r="7" spans="1:48" x14ac:dyDescent="0.25">
      <c r="A7" s="12" t="s">
        <v>10</v>
      </c>
      <c r="B7" s="11">
        <f>25*6</f>
        <v>150</v>
      </c>
      <c r="C7" s="11"/>
      <c r="D7" s="11"/>
      <c r="E7" s="11"/>
      <c r="F7" s="9">
        <f t="shared" si="0"/>
        <v>150</v>
      </c>
      <c r="G7" s="329">
        <f t="shared" ref="G7:G11" si="13">F7/25</f>
        <v>6</v>
      </c>
      <c r="H7" s="11">
        <f>26*5</f>
        <v>130</v>
      </c>
      <c r="I7" s="11"/>
      <c r="J7" s="11"/>
      <c r="K7" s="11"/>
      <c r="L7" s="9">
        <f t="shared" si="1"/>
        <v>130</v>
      </c>
      <c r="M7" s="329">
        <f>H7/26</f>
        <v>5</v>
      </c>
      <c r="N7" s="11">
        <v>100</v>
      </c>
      <c r="O7" s="11"/>
      <c r="P7" s="11"/>
      <c r="Q7" s="11"/>
      <c r="R7" s="9">
        <f t="shared" si="2"/>
        <v>100</v>
      </c>
      <c r="S7" s="329">
        <f t="shared" ref="S7" si="14">R7/25</f>
        <v>4</v>
      </c>
      <c r="T7" s="11">
        <f>25*5</f>
        <v>125</v>
      </c>
      <c r="U7" s="11"/>
      <c r="V7" s="11"/>
      <c r="W7" s="11"/>
      <c r="X7" s="9">
        <f t="shared" si="3"/>
        <v>125</v>
      </c>
      <c r="Y7" s="329">
        <f t="shared" ref="Y7:Y8" si="15">X7/25</f>
        <v>5</v>
      </c>
      <c r="Z7" s="11">
        <v>125</v>
      </c>
      <c r="AA7" s="11"/>
      <c r="AB7" s="11"/>
      <c r="AC7" s="11"/>
      <c r="AD7" s="9">
        <f t="shared" si="4"/>
        <v>125</v>
      </c>
      <c r="AE7" s="337">
        <f t="shared" ref="AE7" si="16">AD7/25</f>
        <v>5</v>
      </c>
      <c r="AF7" s="11">
        <v>0</v>
      </c>
      <c r="AG7" s="11"/>
      <c r="AH7" s="11"/>
      <c r="AI7" s="11"/>
      <c r="AJ7" s="9">
        <f t="shared" si="5"/>
        <v>0</v>
      </c>
      <c r="AL7" s="11"/>
      <c r="AM7" s="11"/>
      <c r="AN7" s="11"/>
      <c r="AO7" s="11"/>
      <c r="AP7" s="9">
        <f t="shared" si="6"/>
        <v>0</v>
      </c>
      <c r="AR7" s="94">
        <f t="shared" si="9"/>
        <v>630</v>
      </c>
      <c r="AS7" s="9">
        <f t="shared" si="10"/>
        <v>0</v>
      </c>
      <c r="AT7" s="9">
        <f t="shared" si="11"/>
        <v>0</v>
      </c>
      <c r="AU7" s="9">
        <f t="shared" si="12"/>
        <v>0</v>
      </c>
      <c r="AV7" s="9">
        <f t="shared" si="8"/>
        <v>630</v>
      </c>
    </row>
    <row r="8" spans="1:48" x14ac:dyDescent="0.25">
      <c r="A8" s="12" t="s">
        <v>11</v>
      </c>
      <c r="B8" s="11">
        <f>26*6</f>
        <v>156</v>
      </c>
      <c r="C8" s="11"/>
      <c r="D8" s="11"/>
      <c r="E8" s="11"/>
      <c r="F8" s="9">
        <f t="shared" si="0"/>
        <v>156</v>
      </c>
      <c r="G8" s="329">
        <f>F8/26</f>
        <v>6</v>
      </c>
      <c r="H8" s="11">
        <f>27*5</f>
        <v>135</v>
      </c>
      <c r="I8" s="11"/>
      <c r="J8" s="11"/>
      <c r="K8" s="11"/>
      <c r="L8" s="9">
        <f t="shared" si="1"/>
        <v>135</v>
      </c>
      <c r="M8" s="329">
        <f>H8/27</f>
        <v>5</v>
      </c>
      <c r="N8" s="11">
        <v>104</v>
      </c>
      <c r="O8" s="11"/>
      <c r="P8" s="11"/>
      <c r="Q8" s="11"/>
      <c r="R8" s="9">
        <f t="shared" si="2"/>
        <v>104</v>
      </c>
      <c r="S8" s="329">
        <f>R8/26</f>
        <v>4</v>
      </c>
      <c r="T8" s="11">
        <f>25*5</f>
        <v>125</v>
      </c>
      <c r="U8" s="11"/>
      <c r="V8" s="11"/>
      <c r="W8" s="11"/>
      <c r="X8" s="9">
        <f t="shared" si="3"/>
        <v>125</v>
      </c>
      <c r="Y8" s="329">
        <f t="shared" si="15"/>
        <v>5</v>
      </c>
      <c r="Z8" s="11">
        <f>26*5</f>
        <v>130</v>
      </c>
      <c r="AA8" s="11"/>
      <c r="AB8" s="11"/>
      <c r="AC8" s="11"/>
      <c r="AD8" s="9">
        <f t="shared" si="4"/>
        <v>130</v>
      </c>
      <c r="AE8" s="337">
        <f>AD8/26</f>
        <v>5</v>
      </c>
      <c r="AF8" s="11">
        <v>0</v>
      </c>
      <c r="AG8" s="11"/>
      <c r="AH8" s="11"/>
      <c r="AI8" s="11"/>
      <c r="AJ8" s="9">
        <f t="shared" si="5"/>
        <v>0</v>
      </c>
      <c r="AL8" s="11"/>
      <c r="AM8" s="11"/>
      <c r="AN8" s="11"/>
      <c r="AO8" s="11"/>
      <c r="AP8" s="9">
        <f t="shared" si="6"/>
        <v>0</v>
      </c>
      <c r="AR8" s="94">
        <f t="shared" si="9"/>
        <v>650</v>
      </c>
      <c r="AS8" s="9">
        <f t="shared" si="10"/>
        <v>0</v>
      </c>
      <c r="AT8" s="9">
        <f t="shared" si="11"/>
        <v>0</v>
      </c>
      <c r="AU8" s="9">
        <f t="shared" si="12"/>
        <v>0</v>
      </c>
      <c r="AV8" s="9">
        <f t="shared" si="8"/>
        <v>650</v>
      </c>
    </row>
    <row r="9" spans="1:48" x14ac:dyDescent="0.25">
      <c r="A9" s="13" t="s">
        <v>12</v>
      </c>
      <c r="B9" s="11">
        <f>26*6</f>
        <v>156</v>
      </c>
      <c r="C9" s="11"/>
      <c r="D9" s="11"/>
      <c r="E9" s="11"/>
      <c r="F9" s="9">
        <f t="shared" si="0"/>
        <v>156</v>
      </c>
      <c r="G9" s="329">
        <f>F9/26</f>
        <v>6</v>
      </c>
      <c r="H9" s="11">
        <f>27*5</f>
        <v>135</v>
      </c>
      <c r="I9" s="11"/>
      <c r="J9" s="11"/>
      <c r="K9" s="11"/>
      <c r="L9" s="9">
        <f t="shared" si="1"/>
        <v>135</v>
      </c>
      <c r="M9" s="329">
        <f>H9/27</f>
        <v>5</v>
      </c>
      <c r="N9" s="11">
        <v>108</v>
      </c>
      <c r="O9" s="11"/>
      <c r="P9" s="11"/>
      <c r="Q9" s="11"/>
      <c r="R9" s="9">
        <f t="shared" si="2"/>
        <v>108</v>
      </c>
      <c r="S9" s="329">
        <f>R9/27</f>
        <v>4</v>
      </c>
      <c r="T9" s="11">
        <f>26*6</f>
        <v>156</v>
      </c>
      <c r="U9" s="11"/>
      <c r="V9" s="11"/>
      <c r="W9" s="11"/>
      <c r="X9" s="9">
        <f t="shared" si="3"/>
        <v>156</v>
      </c>
      <c r="Y9" s="329">
        <f>X9/26</f>
        <v>6</v>
      </c>
      <c r="Z9" s="11">
        <f>26*6</f>
        <v>156</v>
      </c>
      <c r="AA9" s="11"/>
      <c r="AB9" s="11"/>
      <c r="AC9" s="11"/>
      <c r="AD9" s="9">
        <f t="shared" si="4"/>
        <v>156</v>
      </c>
      <c r="AE9" s="337">
        <f>AD9/26</f>
        <v>6</v>
      </c>
      <c r="AF9" s="11">
        <v>0</v>
      </c>
      <c r="AG9" s="11"/>
      <c r="AH9" s="11"/>
      <c r="AI9" s="11"/>
      <c r="AJ9" s="9">
        <f t="shared" si="5"/>
        <v>0</v>
      </c>
      <c r="AL9" s="11"/>
      <c r="AM9" s="11"/>
      <c r="AN9" s="11"/>
      <c r="AO9" s="11"/>
      <c r="AP9" s="9">
        <f t="shared" si="6"/>
        <v>0</v>
      </c>
      <c r="AR9" s="94">
        <f t="shared" si="9"/>
        <v>711</v>
      </c>
      <c r="AS9" s="9">
        <f t="shared" si="10"/>
        <v>0</v>
      </c>
      <c r="AT9" s="9">
        <f t="shared" si="11"/>
        <v>0</v>
      </c>
      <c r="AU9" s="9">
        <f t="shared" si="12"/>
        <v>0</v>
      </c>
      <c r="AV9" s="9">
        <f t="shared" si="8"/>
        <v>711</v>
      </c>
    </row>
    <row r="10" spans="1:48" x14ac:dyDescent="0.25">
      <c r="A10" s="13" t="s">
        <v>13</v>
      </c>
      <c r="B10" s="11">
        <f>27*6</f>
        <v>162</v>
      </c>
      <c r="C10" s="11"/>
      <c r="D10" s="11"/>
      <c r="E10" s="11"/>
      <c r="F10" s="9">
        <f t="shared" si="0"/>
        <v>162</v>
      </c>
      <c r="G10" s="329">
        <f>F10/27</f>
        <v>6</v>
      </c>
      <c r="H10" s="11">
        <f>28*5</f>
        <v>140</v>
      </c>
      <c r="I10" s="11"/>
      <c r="J10" s="11"/>
      <c r="K10" s="11"/>
      <c r="L10" s="9">
        <f t="shared" si="1"/>
        <v>140</v>
      </c>
      <c r="M10" s="329">
        <f>H10/28</f>
        <v>5</v>
      </c>
      <c r="N10" s="11">
        <v>108</v>
      </c>
      <c r="O10" s="11"/>
      <c r="P10" s="11"/>
      <c r="Q10" s="11"/>
      <c r="R10" s="9">
        <f t="shared" si="2"/>
        <v>108</v>
      </c>
      <c r="S10" s="329">
        <f t="shared" ref="S10" si="17">R10/27</f>
        <v>4</v>
      </c>
      <c r="T10" s="11">
        <f>26*6</f>
        <v>156</v>
      </c>
      <c r="U10" s="11"/>
      <c r="V10" s="11"/>
      <c r="W10" s="11"/>
      <c r="X10" s="9">
        <f t="shared" si="3"/>
        <v>156</v>
      </c>
      <c r="Y10" s="329">
        <f t="shared" ref="Y10:Y11" si="18">X10/26</f>
        <v>6</v>
      </c>
      <c r="Z10" s="11">
        <f>27*5</f>
        <v>135</v>
      </c>
      <c r="AA10" s="11"/>
      <c r="AB10" s="11"/>
      <c r="AC10" s="11"/>
      <c r="AD10" s="9">
        <f t="shared" si="4"/>
        <v>135</v>
      </c>
      <c r="AE10" s="337">
        <f>AD10/27</f>
        <v>5</v>
      </c>
      <c r="AF10" s="11">
        <v>0</v>
      </c>
      <c r="AG10" s="11"/>
      <c r="AH10" s="11"/>
      <c r="AI10" s="11"/>
      <c r="AJ10" s="9">
        <f t="shared" si="5"/>
        <v>0</v>
      </c>
      <c r="AL10" s="11"/>
      <c r="AM10" s="11"/>
      <c r="AN10" s="11"/>
      <c r="AO10" s="11"/>
      <c r="AP10" s="9">
        <f t="shared" si="6"/>
        <v>0</v>
      </c>
      <c r="AR10" s="94">
        <f t="shared" si="9"/>
        <v>701</v>
      </c>
      <c r="AS10" s="9">
        <f t="shared" si="10"/>
        <v>0</v>
      </c>
      <c r="AT10" s="9">
        <f t="shared" si="11"/>
        <v>0</v>
      </c>
      <c r="AU10" s="9">
        <f t="shared" si="12"/>
        <v>0</v>
      </c>
      <c r="AV10" s="9">
        <f t="shared" si="8"/>
        <v>701</v>
      </c>
    </row>
    <row r="11" spans="1:48" x14ac:dyDescent="0.25">
      <c r="A11" s="13" t="s">
        <v>14</v>
      </c>
      <c r="B11" s="11">
        <f>25*5</f>
        <v>125</v>
      </c>
      <c r="C11" s="11"/>
      <c r="D11" s="11"/>
      <c r="E11" s="11"/>
      <c r="F11" s="9">
        <f t="shared" si="0"/>
        <v>125</v>
      </c>
      <c r="G11" s="329">
        <f t="shared" si="13"/>
        <v>5</v>
      </c>
      <c r="H11" s="11">
        <f>29*5</f>
        <v>145</v>
      </c>
      <c r="I11" s="11"/>
      <c r="J11" s="11"/>
      <c r="K11" s="11"/>
      <c r="L11" s="9">
        <f t="shared" si="1"/>
        <v>145</v>
      </c>
      <c r="M11" s="329">
        <f>H11/29</f>
        <v>5</v>
      </c>
      <c r="N11" s="11">
        <v>124</v>
      </c>
      <c r="O11" s="11"/>
      <c r="P11" s="11"/>
      <c r="Q11" s="11"/>
      <c r="R11" s="9">
        <f t="shared" si="2"/>
        <v>124</v>
      </c>
      <c r="S11" s="329">
        <f>R11/31</f>
        <v>4</v>
      </c>
      <c r="T11" s="11">
        <f>26*6</f>
        <v>156</v>
      </c>
      <c r="U11" s="11"/>
      <c r="V11" s="11"/>
      <c r="W11" s="11"/>
      <c r="X11" s="9">
        <f t="shared" si="3"/>
        <v>156</v>
      </c>
      <c r="Y11" s="329">
        <f t="shared" si="18"/>
        <v>6</v>
      </c>
      <c r="Z11" s="11">
        <f>27*5</f>
        <v>135</v>
      </c>
      <c r="AA11" s="11"/>
      <c r="AB11" s="11"/>
      <c r="AC11" s="11"/>
      <c r="AD11" s="9">
        <f t="shared" si="4"/>
        <v>135</v>
      </c>
      <c r="AE11" s="337">
        <f>AD11/27</f>
        <v>5</v>
      </c>
      <c r="AF11" s="11">
        <v>0</v>
      </c>
      <c r="AG11" s="11"/>
      <c r="AH11" s="11"/>
      <c r="AI11" s="11"/>
      <c r="AJ11" s="9">
        <f t="shared" si="5"/>
        <v>0</v>
      </c>
      <c r="AL11" s="11"/>
      <c r="AM11" s="11"/>
      <c r="AN11" s="11"/>
      <c r="AO11" s="11"/>
      <c r="AP11" s="9">
        <f t="shared" si="6"/>
        <v>0</v>
      </c>
      <c r="AR11" s="94">
        <f t="shared" si="9"/>
        <v>685</v>
      </c>
      <c r="AS11" s="9">
        <f t="shared" si="10"/>
        <v>0</v>
      </c>
      <c r="AT11" s="9">
        <f t="shared" si="11"/>
        <v>0</v>
      </c>
      <c r="AU11" s="9">
        <f t="shared" si="12"/>
        <v>0</v>
      </c>
      <c r="AV11" s="9">
        <f t="shared" si="8"/>
        <v>685</v>
      </c>
    </row>
    <row r="12" spans="1:48" x14ac:dyDescent="0.25">
      <c r="A12" s="13" t="s">
        <v>15</v>
      </c>
      <c r="B12" s="11"/>
      <c r="C12" s="7"/>
      <c r="D12" s="7"/>
      <c r="E12" s="7"/>
      <c r="F12" s="9">
        <f t="shared" si="0"/>
        <v>0</v>
      </c>
      <c r="H12" s="11">
        <f>31*8</f>
        <v>248</v>
      </c>
      <c r="I12" s="7"/>
      <c r="J12" s="7"/>
      <c r="K12" s="7"/>
      <c r="L12" s="9">
        <f t="shared" si="1"/>
        <v>248</v>
      </c>
      <c r="M12" s="329">
        <f>H12/31</f>
        <v>8</v>
      </c>
      <c r="N12" s="11">
        <v>124</v>
      </c>
      <c r="O12" s="7"/>
      <c r="P12" s="7"/>
      <c r="Q12" s="7"/>
      <c r="R12" s="9">
        <f t="shared" si="2"/>
        <v>124</v>
      </c>
      <c r="S12" s="329">
        <f t="shared" ref="S12:S14" si="19">R12/31</f>
        <v>4</v>
      </c>
      <c r="T12" s="11">
        <v>124</v>
      </c>
      <c r="U12" s="7"/>
      <c r="V12" s="7"/>
      <c r="W12" s="7"/>
      <c r="X12" s="9">
        <f t="shared" si="3"/>
        <v>124</v>
      </c>
      <c r="Y12" s="329">
        <f>X12/31</f>
        <v>4</v>
      </c>
      <c r="Z12" s="11">
        <f>31*8+4</f>
        <v>252</v>
      </c>
      <c r="AA12" s="7"/>
      <c r="AB12" s="7"/>
      <c r="AC12" s="7"/>
      <c r="AD12" s="9">
        <f t="shared" si="4"/>
        <v>252</v>
      </c>
      <c r="AE12" s="337">
        <f>AD12/31.5</f>
        <v>8</v>
      </c>
      <c r="AF12" s="11">
        <v>0</v>
      </c>
      <c r="AG12" s="7"/>
      <c r="AH12" s="7"/>
      <c r="AI12" s="7"/>
      <c r="AJ12" s="9">
        <f t="shared" si="5"/>
        <v>0</v>
      </c>
      <c r="AL12" s="11">
        <v>22</v>
      </c>
      <c r="AM12" s="7"/>
      <c r="AN12" s="7"/>
      <c r="AO12" s="7"/>
      <c r="AP12" s="9">
        <f t="shared" si="6"/>
        <v>22</v>
      </c>
      <c r="AR12" s="94">
        <f t="shared" si="9"/>
        <v>770</v>
      </c>
      <c r="AS12" s="9">
        <f t="shared" si="10"/>
        <v>0</v>
      </c>
      <c r="AT12" s="9">
        <f t="shared" si="11"/>
        <v>0</v>
      </c>
      <c r="AU12" s="9">
        <f t="shared" si="12"/>
        <v>0</v>
      </c>
      <c r="AV12" s="9">
        <f t="shared" si="8"/>
        <v>770</v>
      </c>
    </row>
    <row r="13" spans="1:48" x14ac:dyDescent="0.25">
      <c r="A13" s="13" t="s">
        <v>16</v>
      </c>
      <c r="B13" s="11"/>
      <c r="C13" s="7"/>
      <c r="D13" s="7"/>
      <c r="E13" s="7"/>
      <c r="F13" s="9">
        <f t="shared" si="0"/>
        <v>0</v>
      </c>
      <c r="H13" s="11">
        <f>31*8</f>
        <v>248</v>
      </c>
      <c r="I13" s="7"/>
      <c r="J13" s="7"/>
      <c r="K13" s="7"/>
      <c r="L13" s="9">
        <f t="shared" si="1"/>
        <v>248</v>
      </c>
      <c r="M13" s="329">
        <f>H13/31</f>
        <v>8</v>
      </c>
      <c r="N13" s="11">
        <v>124</v>
      </c>
      <c r="O13" s="7"/>
      <c r="P13" s="7"/>
      <c r="Q13" s="7"/>
      <c r="R13" s="9">
        <f t="shared" si="2"/>
        <v>124</v>
      </c>
      <c r="S13" s="329">
        <f t="shared" si="19"/>
        <v>4</v>
      </c>
      <c r="T13" s="11">
        <f>120-2</f>
        <v>118</v>
      </c>
      <c r="U13" s="7"/>
      <c r="V13" s="7"/>
      <c r="W13" s="7"/>
      <c r="X13" s="9">
        <f t="shared" si="3"/>
        <v>118</v>
      </c>
      <c r="Y13" s="329">
        <v>4</v>
      </c>
      <c r="Z13" s="11">
        <f>31*7+3</f>
        <v>220</v>
      </c>
      <c r="AA13" s="7"/>
      <c r="AB13" s="7"/>
      <c r="AC13" s="7"/>
      <c r="AD13" s="9">
        <f t="shared" si="4"/>
        <v>220</v>
      </c>
      <c r="AE13" s="337">
        <v>7</v>
      </c>
      <c r="AF13" s="11">
        <v>0</v>
      </c>
      <c r="AG13" s="7"/>
      <c r="AH13" s="7"/>
      <c r="AI13" s="7"/>
      <c r="AJ13" s="9">
        <f t="shared" si="5"/>
        <v>0</v>
      </c>
      <c r="AL13" s="11">
        <v>20</v>
      </c>
      <c r="AM13" s="7"/>
      <c r="AN13" s="7"/>
      <c r="AO13" s="7"/>
      <c r="AP13" s="9">
        <f t="shared" si="6"/>
        <v>20</v>
      </c>
      <c r="AR13" s="94">
        <f t="shared" si="9"/>
        <v>730</v>
      </c>
      <c r="AS13" s="9">
        <f t="shared" si="10"/>
        <v>0</v>
      </c>
      <c r="AT13" s="9">
        <f t="shared" si="11"/>
        <v>0</v>
      </c>
      <c r="AU13" s="9">
        <f t="shared" si="12"/>
        <v>0</v>
      </c>
      <c r="AV13" s="9">
        <f t="shared" si="8"/>
        <v>730</v>
      </c>
    </row>
    <row r="14" spans="1:48" x14ac:dyDescent="0.25">
      <c r="A14" s="13" t="s">
        <v>17</v>
      </c>
      <c r="B14" s="11"/>
      <c r="C14" s="7"/>
      <c r="D14" s="7"/>
      <c r="E14" s="7"/>
      <c r="F14" s="9">
        <f t="shared" si="0"/>
        <v>0</v>
      </c>
      <c r="H14" s="11">
        <f>31*8</f>
        <v>248</v>
      </c>
      <c r="I14" s="7"/>
      <c r="J14" s="7"/>
      <c r="K14" s="7"/>
      <c r="L14" s="9">
        <f t="shared" si="1"/>
        <v>248</v>
      </c>
      <c r="M14" s="329">
        <f>H14/31</f>
        <v>8</v>
      </c>
      <c r="N14" s="11">
        <v>124</v>
      </c>
      <c r="O14" s="7"/>
      <c r="P14" s="7"/>
      <c r="Q14" s="7"/>
      <c r="R14" s="9">
        <f t="shared" si="2"/>
        <v>124</v>
      </c>
      <c r="S14" s="329">
        <f t="shared" si="19"/>
        <v>4</v>
      </c>
      <c r="T14" s="11">
        <f>120-2-4</f>
        <v>114</v>
      </c>
      <c r="U14" s="7"/>
      <c r="V14" s="7"/>
      <c r="W14" s="7"/>
      <c r="X14" s="9">
        <f t="shared" si="3"/>
        <v>114</v>
      </c>
      <c r="Y14" s="329">
        <v>4</v>
      </c>
      <c r="Z14" s="11">
        <f>31*5</f>
        <v>155</v>
      </c>
      <c r="AA14" s="7"/>
      <c r="AB14" s="7"/>
      <c r="AC14" s="7"/>
      <c r="AD14" s="9">
        <f t="shared" si="4"/>
        <v>155</v>
      </c>
      <c r="AE14" s="337">
        <f>AD14/31</f>
        <v>5</v>
      </c>
      <c r="AF14" s="11">
        <v>0</v>
      </c>
      <c r="AG14" s="7"/>
      <c r="AH14" s="7"/>
      <c r="AI14" s="7"/>
      <c r="AJ14" s="9">
        <f t="shared" si="5"/>
        <v>0</v>
      </c>
      <c r="AL14" s="11">
        <v>12</v>
      </c>
      <c r="AM14" s="7"/>
      <c r="AN14" s="7"/>
      <c r="AO14" s="7"/>
      <c r="AP14" s="9">
        <f t="shared" si="6"/>
        <v>12</v>
      </c>
      <c r="AR14" s="94">
        <f t="shared" si="9"/>
        <v>653</v>
      </c>
      <c r="AS14" s="9">
        <f t="shared" si="10"/>
        <v>0</v>
      </c>
      <c r="AT14" s="9">
        <f t="shared" si="11"/>
        <v>0</v>
      </c>
      <c r="AU14" s="9">
        <f t="shared" si="12"/>
        <v>0</v>
      </c>
      <c r="AV14" s="9">
        <f t="shared" si="8"/>
        <v>653</v>
      </c>
    </row>
    <row r="15" spans="1:48" x14ac:dyDescent="0.25">
      <c r="A15" s="13" t="s">
        <v>18</v>
      </c>
      <c r="B15" s="11"/>
      <c r="C15" s="7"/>
      <c r="D15" s="7"/>
      <c r="E15" s="7"/>
      <c r="F15" s="9">
        <f t="shared" si="0"/>
        <v>0</v>
      </c>
      <c r="H15" s="162">
        <v>217</v>
      </c>
      <c r="I15" s="7"/>
      <c r="J15" s="7"/>
      <c r="K15" s="7"/>
      <c r="L15" s="9">
        <f t="shared" si="1"/>
        <v>217</v>
      </c>
      <c r="M15" s="329">
        <f>L15/31</f>
        <v>7</v>
      </c>
      <c r="N15" s="11">
        <v>0</v>
      </c>
      <c r="O15" s="7"/>
      <c r="P15" s="7"/>
      <c r="Q15" s="7"/>
      <c r="R15" s="9">
        <f t="shared" si="2"/>
        <v>0</v>
      </c>
      <c r="T15" s="15">
        <v>0</v>
      </c>
      <c r="U15" s="7"/>
      <c r="V15" s="7"/>
      <c r="W15" s="7"/>
      <c r="X15" s="9">
        <f t="shared" si="3"/>
        <v>0</v>
      </c>
      <c r="Z15" s="162">
        <f>31*8+2</f>
        <v>250</v>
      </c>
      <c r="AA15" s="7"/>
      <c r="AB15" s="7"/>
      <c r="AC15" s="7"/>
      <c r="AD15" s="9">
        <f t="shared" si="4"/>
        <v>250</v>
      </c>
      <c r="AE15" s="337">
        <v>8</v>
      </c>
      <c r="AF15" s="11">
        <v>0</v>
      </c>
      <c r="AG15" s="7"/>
      <c r="AH15" s="7"/>
      <c r="AI15" s="7"/>
      <c r="AJ15" s="9">
        <f t="shared" si="5"/>
        <v>0</v>
      </c>
      <c r="AL15" s="11">
        <v>22</v>
      </c>
      <c r="AM15" s="7"/>
      <c r="AN15" s="7"/>
      <c r="AO15" s="7"/>
      <c r="AP15" s="9">
        <f t="shared" si="6"/>
        <v>22</v>
      </c>
      <c r="AR15" s="94">
        <f t="shared" si="9"/>
        <v>489</v>
      </c>
      <c r="AS15" s="9">
        <f t="shared" si="10"/>
        <v>0</v>
      </c>
      <c r="AT15" s="9">
        <f t="shared" si="11"/>
        <v>0</v>
      </c>
      <c r="AU15" s="9">
        <f t="shared" si="12"/>
        <v>0</v>
      </c>
      <c r="AV15" s="9">
        <f t="shared" si="8"/>
        <v>489</v>
      </c>
    </row>
    <row r="16" spans="1:48" x14ac:dyDescent="0.25">
      <c r="A16" s="13" t="s">
        <v>19</v>
      </c>
      <c r="B16" s="11"/>
      <c r="C16" s="7"/>
      <c r="D16" s="7"/>
      <c r="E16" s="7"/>
      <c r="F16" s="9">
        <f t="shared" si="0"/>
        <v>0</v>
      </c>
      <c r="H16" s="11">
        <v>207</v>
      </c>
      <c r="I16" s="7"/>
      <c r="J16" s="7"/>
      <c r="K16" s="7"/>
      <c r="L16" s="9">
        <f t="shared" si="1"/>
        <v>207</v>
      </c>
      <c r="M16" s="329">
        <v>7</v>
      </c>
      <c r="N16" s="11">
        <v>0</v>
      </c>
      <c r="O16" s="7"/>
      <c r="P16" s="7"/>
      <c r="Q16" s="7"/>
      <c r="R16" s="9">
        <f t="shared" si="2"/>
        <v>0</v>
      </c>
      <c r="T16" s="15">
        <v>0</v>
      </c>
      <c r="U16" s="7"/>
      <c r="V16" s="7"/>
      <c r="W16" s="7"/>
      <c r="X16" s="9">
        <f t="shared" si="3"/>
        <v>0</v>
      </c>
      <c r="Z16" s="11">
        <v>173</v>
      </c>
      <c r="AA16" s="7"/>
      <c r="AB16" s="7"/>
      <c r="AC16" s="7"/>
      <c r="AD16" s="9">
        <f t="shared" si="4"/>
        <v>173</v>
      </c>
      <c r="AE16" s="337">
        <v>6</v>
      </c>
      <c r="AF16" s="11">
        <v>0</v>
      </c>
      <c r="AG16" s="7"/>
      <c r="AH16" s="7"/>
      <c r="AI16" s="7"/>
      <c r="AJ16" s="9">
        <f t="shared" si="5"/>
        <v>0</v>
      </c>
      <c r="AL16" s="11">
        <v>12</v>
      </c>
      <c r="AM16" s="7"/>
      <c r="AN16" s="7"/>
      <c r="AO16" s="7"/>
      <c r="AP16" s="9">
        <f t="shared" si="6"/>
        <v>12</v>
      </c>
      <c r="AR16" s="94">
        <f t="shared" si="9"/>
        <v>392</v>
      </c>
      <c r="AS16" s="9">
        <f t="shared" si="10"/>
        <v>0</v>
      </c>
      <c r="AT16" s="9">
        <f t="shared" si="11"/>
        <v>0</v>
      </c>
      <c r="AU16" s="9">
        <f t="shared" si="12"/>
        <v>0</v>
      </c>
      <c r="AV16" s="9">
        <f t="shared" si="8"/>
        <v>392</v>
      </c>
    </row>
    <row r="17" spans="1:50" x14ac:dyDescent="0.25">
      <c r="A17" s="13" t="s">
        <v>20</v>
      </c>
      <c r="B17" s="11"/>
      <c r="C17" s="7"/>
      <c r="D17" s="7"/>
      <c r="E17" s="7"/>
      <c r="F17" s="9">
        <f t="shared" si="0"/>
        <v>0</v>
      </c>
      <c r="H17" s="11">
        <v>167</v>
      </c>
      <c r="I17" s="7"/>
      <c r="J17" s="7"/>
      <c r="K17" s="7"/>
      <c r="L17" s="9">
        <f t="shared" si="1"/>
        <v>167</v>
      </c>
      <c r="M17" s="329">
        <v>5</v>
      </c>
      <c r="N17" s="11">
        <v>0</v>
      </c>
      <c r="O17" s="7"/>
      <c r="P17" s="7"/>
      <c r="Q17" s="7"/>
      <c r="R17" s="9">
        <f t="shared" si="2"/>
        <v>0</v>
      </c>
      <c r="T17" s="7">
        <v>0</v>
      </c>
      <c r="U17" s="7"/>
      <c r="V17" s="7"/>
      <c r="W17" s="7"/>
      <c r="X17" s="9">
        <f t="shared" si="3"/>
        <v>0</v>
      </c>
      <c r="Z17" s="11">
        <v>139</v>
      </c>
      <c r="AA17" s="7"/>
      <c r="AB17" s="7"/>
      <c r="AC17" s="7"/>
      <c r="AD17" s="9">
        <f t="shared" si="4"/>
        <v>139</v>
      </c>
      <c r="AE17" s="337">
        <v>5</v>
      </c>
      <c r="AF17" s="11">
        <v>0</v>
      </c>
      <c r="AG17" s="7"/>
      <c r="AH17" s="7"/>
      <c r="AI17" s="7"/>
      <c r="AJ17" s="9">
        <f t="shared" si="5"/>
        <v>0</v>
      </c>
      <c r="AL17" s="11"/>
      <c r="AM17" s="7"/>
      <c r="AN17" s="7"/>
      <c r="AO17" s="7"/>
      <c r="AP17" s="9">
        <f t="shared" si="6"/>
        <v>0</v>
      </c>
      <c r="AR17" s="94">
        <f t="shared" si="9"/>
        <v>306</v>
      </c>
      <c r="AS17" s="9">
        <f t="shared" si="10"/>
        <v>0</v>
      </c>
      <c r="AT17" s="9">
        <f t="shared" si="11"/>
        <v>0</v>
      </c>
      <c r="AU17" s="9">
        <f t="shared" si="12"/>
        <v>0</v>
      </c>
      <c r="AV17" s="9">
        <f t="shared" si="8"/>
        <v>306</v>
      </c>
    </row>
    <row r="18" spans="1:50" x14ac:dyDescent="0.25">
      <c r="A18" s="13" t="s">
        <v>21</v>
      </c>
      <c r="B18" s="11"/>
      <c r="C18" s="7"/>
      <c r="D18" s="7"/>
      <c r="E18" s="7"/>
      <c r="F18" s="9">
        <f t="shared" si="0"/>
        <v>0</v>
      </c>
      <c r="H18" s="11">
        <v>99</v>
      </c>
      <c r="I18" s="7"/>
      <c r="J18" s="7"/>
      <c r="K18" s="7"/>
      <c r="L18" s="9">
        <f t="shared" si="1"/>
        <v>99</v>
      </c>
      <c r="M18" s="329">
        <f>H18/33</f>
        <v>3</v>
      </c>
      <c r="N18" s="11">
        <v>0</v>
      </c>
      <c r="O18" s="7"/>
      <c r="P18" s="7"/>
      <c r="Q18" s="7"/>
      <c r="R18" s="9">
        <f t="shared" si="2"/>
        <v>0</v>
      </c>
      <c r="T18" s="7">
        <v>0</v>
      </c>
      <c r="U18" s="7"/>
      <c r="V18" s="7"/>
      <c r="W18" s="7"/>
      <c r="X18" s="9">
        <f t="shared" si="3"/>
        <v>0</v>
      </c>
      <c r="Z18" s="15">
        <v>95</v>
      </c>
      <c r="AA18" s="7"/>
      <c r="AB18" s="7"/>
      <c r="AC18" s="7"/>
      <c r="AD18" s="9">
        <f t="shared" si="4"/>
        <v>95</v>
      </c>
      <c r="AE18" s="337">
        <v>3</v>
      </c>
      <c r="AF18" s="11">
        <v>0</v>
      </c>
      <c r="AG18" s="7"/>
      <c r="AH18" s="7"/>
      <c r="AI18" s="7"/>
      <c r="AJ18" s="9">
        <f t="shared" si="5"/>
        <v>0</v>
      </c>
      <c r="AL18" s="11"/>
      <c r="AM18" s="7"/>
      <c r="AN18" s="7"/>
      <c r="AO18" s="7"/>
      <c r="AP18" s="9">
        <f t="shared" si="6"/>
        <v>0</v>
      </c>
      <c r="AR18" s="94">
        <f t="shared" si="9"/>
        <v>194</v>
      </c>
      <c r="AS18" s="9">
        <f t="shared" si="10"/>
        <v>0</v>
      </c>
      <c r="AT18" s="9">
        <f t="shared" si="11"/>
        <v>0</v>
      </c>
      <c r="AU18" s="9">
        <f t="shared" si="12"/>
        <v>0</v>
      </c>
      <c r="AV18" s="9">
        <f t="shared" si="8"/>
        <v>194</v>
      </c>
    </row>
    <row r="19" spans="1:50" x14ac:dyDescent="0.25">
      <c r="A19" s="13" t="s">
        <v>8</v>
      </c>
      <c r="B19" s="9">
        <f>SUM(B6:B18)</f>
        <v>899</v>
      </c>
      <c r="C19" s="9"/>
      <c r="D19" s="9"/>
      <c r="E19" s="9"/>
      <c r="F19" s="9">
        <f t="shared" si="0"/>
        <v>899</v>
      </c>
      <c r="H19" s="9">
        <f>SUM(H6:H18)</f>
        <v>2244</v>
      </c>
      <c r="I19" s="9"/>
      <c r="J19" s="9"/>
      <c r="K19" s="9"/>
      <c r="L19" s="9">
        <f t="shared" si="1"/>
        <v>2244</v>
      </c>
      <c r="N19" s="9">
        <f>SUM(N6:N18)</f>
        <v>1016</v>
      </c>
      <c r="O19" s="9"/>
      <c r="P19" s="9"/>
      <c r="Q19" s="9"/>
      <c r="R19" s="9">
        <f t="shared" si="2"/>
        <v>1016</v>
      </c>
      <c r="T19" s="9">
        <f>SUM(T6:T18)</f>
        <v>1199</v>
      </c>
      <c r="U19" s="9"/>
      <c r="V19" s="9"/>
      <c r="W19" s="9"/>
      <c r="X19" s="9">
        <f t="shared" si="3"/>
        <v>1199</v>
      </c>
      <c r="Z19" s="9">
        <f>SUM(Z6:Z18)</f>
        <v>2090</v>
      </c>
      <c r="AA19" s="9"/>
      <c r="AB19" s="9"/>
      <c r="AC19" s="9"/>
      <c r="AD19" s="9">
        <f t="shared" si="4"/>
        <v>2090</v>
      </c>
      <c r="AF19" s="9">
        <f>SUM(AF6:AF18)</f>
        <v>0</v>
      </c>
      <c r="AG19" s="9"/>
      <c r="AH19" s="9"/>
      <c r="AI19" s="9"/>
      <c r="AJ19" s="9">
        <f t="shared" si="5"/>
        <v>0</v>
      </c>
      <c r="AL19" s="9">
        <f>SUM(AL6:AL18)</f>
        <v>88</v>
      </c>
      <c r="AM19" s="9"/>
      <c r="AN19" s="9"/>
      <c r="AO19" s="9"/>
      <c r="AP19" s="9">
        <f t="shared" si="6"/>
        <v>88</v>
      </c>
      <c r="AR19" s="9">
        <f t="shared" si="9"/>
        <v>7536</v>
      </c>
      <c r="AS19" s="9">
        <f t="shared" si="10"/>
        <v>0</v>
      </c>
      <c r="AT19" s="9">
        <f t="shared" si="11"/>
        <v>0</v>
      </c>
      <c r="AU19" s="9">
        <f t="shared" si="12"/>
        <v>0</v>
      </c>
      <c r="AV19" s="9">
        <f t="shared" si="8"/>
        <v>7536</v>
      </c>
      <c r="AW19" s="224" t="b">
        <f>AV19='Use this enrollment'!C70</f>
        <v>1</v>
      </c>
    </row>
    <row r="20" spans="1:50" x14ac:dyDescent="0.25">
      <c r="A20" s="16"/>
      <c r="B20" s="7"/>
      <c r="C20" s="7"/>
      <c r="D20" s="7"/>
      <c r="E20" s="7"/>
      <c r="F20" s="7"/>
      <c r="H20" s="7"/>
      <c r="I20" s="7"/>
      <c r="J20" s="7"/>
      <c r="K20" s="7"/>
      <c r="L20" s="7"/>
      <c r="N20" s="7"/>
      <c r="O20" s="7"/>
      <c r="P20" s="7"/>
      <c r="Q20" s="7"/>
      <c r="R20" s="7"/>
      <c r="T20" s="7"/>
      <c r="U20" s="7"/>
      <c r="V20" s="7"/>
      <c r="W20" s="7"/>
      <c r="X20" s="7"/>
      <c r="Z20" s="7"/>
      <c r="AA20" s="7"/>
      <c r="AB20" s="7"/>
      <c r="AC20" s="7"/>
      <c r="AD20" s="7"/>
      <c r="AF20" s="7"/>
      <c r="AG20" s="7"/>
      <c r="AH20" s="7"/>
      <c r="AI20" s="7"/>
      <c r="AJ20" s="7"/>
      <c r="AL20" s="7"/>
      <c r="AM20" s="7"/>
      <c r="AN20" s="7"/>
      <c r="AO20" s="7"/>
      <c r="AP20" s="7"/>
      <c r="AR20" s="7"/>
      <c r="AS20" s="7"/>
      <c r="AT20" s="7"/>
      <c r="AU20" s="7"/>
      <c r="AV20" s="7"/>
    </row>
    <row r="21" spans="1:50" x14ac:dyDescent="0.25">
      <c r="A21" s="17" t="s">
        <v>22</v>
      </c>
      <c r="B21" s="18"/>
      <c r="C21" s="18"/>
      <c r="D21" s="18"/>
      <c r="E21" s="18"/>
      <c r="F21" s="18"/>
      <c r="H21" s="18"/>
      <c r="I21" s="18"/>
      <c r="J21" s="18"/>
      <c r="K21" s="18"/>
      <c r="L21" s="18"/>
      <c r="N21" s="18"/>
      <c r="O21" s="18"/>
      <c r="P21" s="18"/>
      <c r="Q21" s="18"/>
      <c r="R21" s="18"/>
      <c r="T21" s="18"/>
      <c r="U21" s="18"/>
      <c r="V21" s="18"/>
      <c r="W21" s="18"/>
      <c r="X21" s="18"/>
      <c r="Z21" s="18"/>
      <c r="AA21" s="18"/>
      <c r="AB21" s="18"/>
      <c r="AC21" s="18"/>
      <c r="AD21" s="18"/>
      <c r="AF21" s="18"/>
      <c r="AG21" s="18"/>
      <c r="AH21" s="18"/>
      <c r="AI21" s="18"/>
      <c r="AJ21" s="18"/>
      <c r="AL21" s="18"/>
      <c r="AM21" s="18"/>
      <c r="AN21" s="18"/>
      <c r="AO21" s="18"/>
      <c r="AP21" s="18"/>
      <c r="AR21" s="18"/>
      <c r="AS21" s="18"/>
      <c r="AT21" s="18"/>
      <c r="AU21" s="18"/>
      <c r="AV21" s="18"/>
    </row>
    <row r="22" spans="1:50" x14ac:dyDescent="0.25">
      <c r="A22" s="140" t="s">
        <v>23</v>
      </c>
      <c r="B22" s="7"/>
      <c r="C22" s="7"/>
      <c r="D22" s="7">
        <v>97</v>
      </c>
      <c r="E22" s="7"/>
      <c r="F22" s="7">
        <f t="shared" ref="F22:F27" si="20">SUM(B22:E22)</f>
        <v>97</v>
      </c>
      <c r="H22" s="7"/>
      <c r="I22" s="7"/>
      <c r="J22" s="7">
        <v>285</v>
      </c>
      <c r="K22" s="7"/>
      <c r="L22" s="7">
        <f t="shared" ref="L22:L27" si="21">SUM(H22:K22)</f>
        <v>285</v>
      </c>
      <c r="N22" s="7"/>
      <c r="O22" s="7"/>
      <c r="P22" s="7">
        <v>74</v>
      </c>
      <c r="Q22" s="7"/>
      <c r="R22" s="7">
        <f t="shared" ref="R22:R27" si="22">SUM(N22:Q22)</f>
        <v>74</v>
      </c>
      <c r="T22" s="7"/>
      <c r="U22" s="7"/>
      <c r="V22" s="7">
        <v>108</v>
      </c>
      <c r="W22" s="7"/>
      <c r="X22" s="7">
        <f t="shared" ref="X22:X27" si="23">SUM(T22:W22)</f>
        <v>108</v>
      </c>
      <c r="Z22" s="7"/>
      <c r="AA22" s="7"/>
      <c r="AB22" s="7">
        <v>171</v>
      </c>
      <c r="AC22" s="7"/>
      <c r="AD22" s="7">
        <f t="shared" ref="AD22:AD27" si="24">SUM(Z22:AC22)</f>
        <v>171</v>
      </c>
      <c r="AF22" s="7"/>
      <c r="AG22" s="7"/>
      <c r="AH22" s="7">
        <v>0</v>
      </c>
      <c r="AI22" s="7"/>
      <c r="AJ22" s="7">
        <f t="shared" ref="AJ22:AJ27" si="25">SUM(AF22:AI22)</f>
        <v>0</v>
      </c>
      <c r="AL22" s="7"/>
      <c r="AM22" s="7"/>
      <c r="AN22" s="7">
        <v>10</v>
      </c>
      <c r="AO22" s="7"/>
      <c r="AP22" s="7">
        <f t="shared" ref="AP22:AP27" si="26">SUM(AL22:AO22)</f>
        <v>10</v>
      </c>
      <c r="AR22" s="7">
        <f>B22+H22+N22+T22+Z22+AF22+AL22</f>
        <v>0</v>
      </c>
      <c r="AS22" s="7">
        <f t="shared" ref="AS22:AU22" si="27">C22+I22+O22+U22+AA22+AG22+AM22</f>
        <v>0</v>
      </c>
      <c r="AT22" s="7">
        <f t="shared" si="27"/>
        <v>745</v>
      </c>
      <c r="AU22" s="7">
        <f t="shared" si="27"/>
        <v>0</v>
      </c>
      <c r="AV22" s="7">
        <f t="shared" ref="AV22:AV27" si="28">SUM(AR22:AU22)</f>
        <v>745</v>
      </c>
    </row>
    <row r="23" spans="1:50" x14ac:dyDescent="0.25">
      <c r="A23" s="140" t="s">
        <v>24</v>
      </c>
      <c r="B23" s="7"/>
      <c r="C23" s="7">
        <v>15</v>
      </c>
      <c r="D23" s="7"/>
      <c r="E23" s="7"/>
      <c r="F23" s="7">
        <f t="shared" si="20"/>
        <v>15</v>
      </c>
      <c r="H23" s="7"/>
      <c r="I23" s="7">
        <v>33</v>
      </c>
      <c r="J23" s="7"/>
      <c r="K23" s="7"/>
      <c r="L23" s="7">
        <f t="shared" si="21"/>
        <v>33</v>
      </c>
      <c r="N23" s="7"/>
      <c r="O23" s="7">
        <v>18</v>
      </c>
      <c r="P23" s="7"/>
      <c r="Q23" s="7"/>
      <c r="R23" s="7">
        <f t="shared" si="22"/>
        <v>18</v>
      </c>
      <c r="T23" s="7"/>
      <c r="U23" s="7">
        <v>8</v>
      </c>
      <c r="V23" s="7"/>
      <c r="W23" s="7"/>
      <c r="X23" s="7">
        <f t="shared" si="23"/>
        <v>8</v>
      </c>
      <c r="Z23" s="7"/>
      <c r="AA23" s="7">
        <v>23</v>
      </c>
      <c r="AB23" s="7"/>
      <c r="AC23" s="7"/>
      <c r="AD23" s="7">
        <f t="shared" si="24"/>
        <v>23</v>
      </c>
      <c r="AF23" s="7"/>
      <c r="AG23" s="7">
        <v>0</v>
      </c>
      <c r="AH23" s="7"/>
      <c r="AI23" s="7"/>
      <c r="AJ23" s="7">
        <f t="shared" si="25"/>
        <v>0</v>
      </c>
      <c r="AL23" s="7"/>
      <c r="AM23" s="7">
        <v>0</v>
      </c>
      <c r="AN23" s="7"/>
      <c r="AO23" s="7"/>
      <c r="AP23" s="7">
        <f t="shared" si="26"/>
        <v>0</v>
      </c>
      <c r="AR23" s="7">
        <f t="shared" ref="AR23:AR26" si="29">B23+H23+N23+T23+Z23+AF23+AL23</f>
        <v>0</v>
      </c>
      <c r="AS23" s="7">
        <f t="shared" ref="AS23:AS26" si="30">C23+I23+O23+U23+AA23+AG23+AM23</f>
        <v>97</v>
      </c>
      <c r="AT23" s="7">
        <f t="shared" ref="AT23:AT26" si="31">D23+J23+P23+V23+AB23+AH23+AN23</f>
        <v>0</v>
      </c>
      <c r="AU23" s="7">
        <f t="shared" ref="AU23:AU26" si="32">E23+K23+Q23+W23+AC23+AI23+AO23</f>
        <v>0</v>
      </c>
      <c r="AV23" s="7">
        <f t="shared" si="28"/>
        <v>97</v>
      </c>
    </row>
    <row r="24" spans="1:50" x14ac:dyDescent="0.25">
      <c r="A24" s="140" t="s">
        <v>25</v>
      </c>
      <c r="B24" s="7"/>
      <c r="C24" s="7">
        <v>44</v>
      </c>
      <c r="D24" s="7"/>
      <c r="E24" s="7"/>
      <c r="F24" s="7">
        <f t="shared" si="20"/>
        <v>44</v>
      </c>
      <c r="H24" s="7"/>
      <c r="I24" s="7">
        <v>52</v>
      </c>
      <c r="J24" s="7"/>
      <c r="K24" s="7"/>
      <c r="L24" s="7">
        <f t="shared" si="21"/>
        <v>52</v>
      </c>
      <c r="N24" s="7"/>
      <c r="O24" s="7">
        <v>46</v>
      </c>
      <c r="P24" s="7"/>
      <c r="Q24" s="7"/>
      <c r="R24" s="7">
        <f t="shared" si="22"/>
        <v>46</v>
      </c>
      <c r="T24" s="7"/>
      <c r="U24" s="7">
        <v>77</v>
      </c>
      <c r="V24" s="7"/>
      <c r="W24" s="7"/>
      <c r="X24" s="7">
        <f t="shared" si="23"/>
        <v>77</v>
      </c>
      <c r="Z24" s="7"/>
      <c r="AA24" s="7">
        <v>64</v>
      </c>
      <c r="AB24" s="7"/>
      <c r="AC24" s="7"/>
      <c r="AD24" s="7">
        <f t="shared" si="24"/>
        <v>64</v>
      </c>
      <c r="AF24" s="7"/>
      <c r="AG24" s="7">
        <v>0</v>
      </c>
      <c r="AH24" s="7"/>
      <c r="AI24" s="7"/>
      <c r="AJ24" s="7">
        <f t="shared" si="25"/>
        <v>0</v>
      </c>
      <c r="AL24" s="7"/>
      <c r="AM24" s="7">
        <v>0</v>
      </c>
      <c r="AN24" s="7"/>
      <c r="AO24" s="7"/>
      <c r="AP24" s="7">
        <f t="shared" si="26"/>
        <v>0</v>
      </c>
      <c r="AR24" s="7">
        <f t="shared" si="29"/>
        <v>0</v>
      </c>
      <c r="AS24" s="7">
        <f t="shared" si="30"/>
        <v>283</v>
      </c>
      <c r="AT24" s="7">
        <f t="shared" si="31"/>
        <v>0</v>
      </c>
      <c r="AU24" s="7">
        <f t="shared" si="32"/>
        <v>0</v>
      </c>
      <c r="AV24" s="7">
        <f t="shared" si="28"/>
        <v>283</v>
      </c>
      <c r="AX24" s="278">
        <f>AV24/AV19</f>
        <v>3.7553078556263268E-2</v>
      </c>
    </row>
    <row r="25" spans="1:50" x14ac:dyDescent="0.25">
      <c r="A25" s="140" t="s">
        <v>26</v>
      </c>
      <c r="B25" s="19"/>
      <c r="C25" s="19"/>
      <c r="D25" s="19"/>
      <c r="E25" s="161">
        <v>0.32379999999999998</v>
      </c>
      <c r="F25" s="19">
        <f t="shared" si="20"/>
        <v>0.32379999999999998</v>
      </c>
      <c r="H25" s="19"/>
      <c r="I25" s="19"/>
      <c r="J25" s="19"/>
      <c r="K25" s="161">
        <v>0.32390000000000002</v>
      </c>
      <c r="L25" s="19">
        <f t="shared" si="21"/>
        <v>0.32390000000000002</v>
      </c>
      <c r="N25" s="19"/>
      <c r="O25" s="19"/>
      <c r="P25" s="19"/>
      <c r="Q25" s="161">
        <v>0.28079999999999999</v>
      </c>
      <c r="R25" s="19">
        <f t="shared" si="22"/>
        <v>0.28079999999999999</v>
      </c>
      <c r="T25" s="19"/>
      <c r="U25" s="19"/>
      <c r="V25" s="19"/>
      <c r="W25" s="161">
        <v>0.13320000000000001</v>
      </c>
      <c r="X25" s="19">
        <f t="shared" si="23"/>
        <v>0.13320000000000001</v>
      </c>
      <c r="Z25" s="19"/>
      <c r="AA25" s="19"/>
      <c r="AB25" s="19"/>
      <c r="AC25" s="161">
        <v>0.17349999999999999</v>
      </c>
      <c r="AD25" s="19">
        <f t="shared" si="24"/>
        <v>0.17349999999999999</v>
      </c>
      <c r="AF25" s="19"/>
      <c r="AG25" s="19"/>
      <c r="AH25" s="19"/>
      <c r="AI25" s="19">
        <v>0</v>
      </c>
      <c r="AJ25" s="19">
        <f t="shared" si="25"/>
        <v>0</v>
      </c>
      <c r="AL25" s="19"/>
      <c r="AM25" s="19"/>
      <c r="AN25" s="19"/>
      <c r="AO25" s="19">
        <v>0</v>
      </c>
      <c r="AP25" s="19">
        <f t="shared" si="26"/>
        <v>0</v>
      </c>
      <c r="AR25" s="7">
        <f t="shared" si="29"/>
        <v>0</v>
      </c>
      <c r="AS25" s="7">
        <f t="shared" si="30"/>
        <v>0</v>
      </c>
      <c r="AT25" s="7">
        <f t="shared" si="31"/>
        <v>0</v>
      </c>
      <c r="AU25" s="226">
        <f>((E25*B19)+(K25*H19)+(Q25*N19)+(W25*T19)+(AC25*Z19))/AR19</f>
        <v>0.24224288747346073</v>
      </c>
      <c r="AV25" s="19">
        <f t="shared" si="28"/>
        <v>0.24224288747346073</v>
      </c>
    </row>
    <row r="26" spans="1:50" x14ac:dyDescent="0.25">
      <c r="A26" s="140" t="s">
        <v>27</v>
      </c>
      <c r="B26" s="7"/>
      <c r="C26" s="7">
        <v>232</v>
      </c>
      <c r="D26" s="7"/>
      <c r="E26" s="7"/>
      <c r="F26" s="7">
        <f t="shared" si="20"/>
        <v>232</v>
      </c>
      <c r="H26" s="7"/>
      <c r="I26" s="7">
        <v>517</v>
      </c>
      <c r="J26" s="7"/>
      <c r="K26" s="7"/>
      <c r="L26" s="7">
        <f t="shared" si="21"/>
        <v>517</v>
      </c>
      <c r="N26" s="7"/>
      <c r="O26" s="7">
        <v>241</v>
      </c>
      <c r="P26" s="7"/>
      <c r="Q26" s="7"/>
      <c r="R26" s="7">
        <f t="shared" si="22"/>
        <v>241</v>
      </c>
      <c r="T26" s="7"/>
      <c r="U26" s="7">
        <v>131</v>
      </c>
      <c r="V26" s="7"/>
      <c r="W26" s="7"/>
      <c r="X26" s="7">
        <f t="shared" si="23"/>
        <v>131</v>
      </c>
      <c r="Z26" s="7"/>
      <c r="AA26" s="7">
        <v>245</v>
      </c>
      <c r="AB26" s="7"/>
      <c r="AC26" s="7"/>
      <c r="AD26" s="7">
        <f t="shared" si="24"/>
        <v>245</v>
      </c>
      <c r="AF26" s="7"/>
      <c r="AG26" s="7">
        <v>0</v>
      </c>
      <c r="AH26" s="7"/>
      <c r="AI26" s="7"/>
      <c r="AJ26" s="7">
        <f t="shared" si="25"/>
        <v>0</v>
      </c>
      <c r="AL26" s="7"/>
      <c r="AM26" s="7">
        <v>0</v>
      </c>
      <c r="AN26" s="7"/>
      <c r="AO26" s="7"/>
      <c r="AP26" s="7">
        <f t="shared" si="26"/>
        <v>0</v>
      </c>
      <c r="AR26" s="7">
        <f t="shared" si="29"/>
        <v>0</v>
      </c>
      <c r="AS26" s="7">
        <f t="shared" si="30"/>
        <v>1366</v>
      </c>
      <c r="AT26" s="7">
        <f t="shared" si="31"/>
        <v>0</v>
      </c>
      <c r="AU26" s="7">
        <f t="shared" si="32"/>
        <v>0</v>
      </c>
      <c r="AV26" s="7">
        <f t="shared" si="28"/>
        <v>1366</v>
      </c>
    </row>
    <row r="27" spans="1:50" x14ac:dyDescent="0.25">
      <c r="A27" s="20"/>
      <c r="B27" s="7"/>
      <c r="C27" s="7"/>
      <c r="D27" s="7"/>
      <c r="E27" s="7"/>
      <c r="F27" s="7">
        <f t="shared" si="20"/>
        <v>0</v>
      </c>
      <c r="H27" s="7"/>
      <c r="I27" s="7"/>
      <c r="J27" s="7"/>
      <c r="K27" s="7"/>
      <c r="L27" s="7">
        <f t="shared" si="21"/>
        <v>0</v>
      </c>
      <c r="N27" s="7"/>
      <c r="O27" s="7"/>
      <c r="P27" s="7"/>
      <c r="Q27" s="7"/>
      <c r="R27" s="7">
        <f t="shared" si="22"/>
        <v>0</v>
      </c>
      <c r="T27" s="7"/>
      <c r="U27" s="7"/>
      <c r="V27" s="7"/>
      <c r="W27" s="7"/>
      <c r="X27" s="7">
        <f t="shared" si="23"/>
        <v>0</v>
      </c>
      <c r="Z27" s="7"/>
      <c r="AA27" s="7"/>
      <c r="AB27" s="7"/>
      <c r="AC27" s="7"/>
      <c r="AD27" s="7">
        <f t="shared" si="24"/>
        <v>0</v>
      </c>
      <c r="AF27" s="7"/>
      <c r="AG27" s="7"/>
      <c r="AH27" s="7"/>
      <c r="AI27" s="7"/>
      <c r="AJ27" s="7">
        <f t="shared" si="25"/>
        <v>0</v>
      </c>
      <c r="AL27" s="7"/>
      <c r="AM27" s="7"/>
      <c r="AN27" s="7"/>
      <c r="AO27" s="7"/>
      <c r="AP27" s="7">
        <f t="shared" si="26"/>
        <v>0</v>
      </c>
      <c r="AR27" s="7"/>
      <c r="AS27" s="7"/>
      <c r="AT27" s="7"/>
      <c r="AU27" s="7"/>
      <c r="AV27" s="7">
        <f t="shared" si="28"/>
        <v>0</v>
      </c>
    </row>
    <row r="28" spans="1:50" x14ac:dyDescent="0.25">
      <c r="A28" s="17" t="s">
        <v>28</v>
      </c>
      <c r="B28" s="18"/>
      <c r="C28" s="18"/>
      <c r="D28" s="18"/>
      <c r="E28" s="18"/>
      <c r="F28" s="18"/>
      <c r="H28" s="18"/>
      <c r="I28" s="18"/>
      <c r="J28" s="18"/>
      <c r="K28" s="18"/>
      <c r="L28" s="18"/>
      <c r="N28" s="18"/>
      <c r="O28" s="18"/>
      <c r="P28" s="18"/>
      <c r="Q28" s="18"/>
      <c r="R28" s="18"/>
      <c r="T28" s="18"/>
      <c r="U28" s="18"/>
      <c r="V28" s="18"/>
      <c r="W28" s="18"/>
      <c r="X28" s="18"/>
      <c r="Z28" s="18"/>
      <c r="AA28" s="18"/>
      <c r="AB28" s="18"/>
      <c r="AC28" s="18"/>
      <c r="AD28" s="18"/>
      <c r="AF28" s="18"/>
      <c r="AG28" s="18"/>
      <c r="AH28" s="18"/>
      <c r="AI28" s="18"/>
      <c r="AJ28" s="18"/>
      <c r="AL28" s="18"/>
      <c r="AM28" s="18"/>
      <c r="AN28" s="18"/>
      <c r="AO28" s="18"/>
      <c r="AP28" s="18"/>
      <c r="AR28" s="18"/>
      <c r="AS28" s="18"/>
      <c r="AT28" s="18"/>
      <c r="AU28" s="18"/>
      <c r="AV28" s="18"/>
    </row>
    <row r="29" spans="1:50" x14ac:dyDescent="0.25">
      <c r="A29" s="21" t="s">
        <v>29</v>
      </c>
      <c r="B29" s="23">
        <v>35</v>
      </c>
      <c r="C29" s="23">
        <v>0</v>
      </c>
      <c r="D29" s="23">
        <v>0</v>
      </c>
      <c r="E29" s="23">
        <v>0</v>
      </c>
      <c r="F29" s="23">
        <f t="shared" ref="F29:F38" si="33">SUM(B29:E29)</f>
        <v>35</v>
      </c>
      <c r="H29" s="23">
        <v>76</v>
      </c>
      <c r="I29" s="23">
        <v>0</v>
      </c>
      <c r="J29" s="23">
        <v>0</v>
      </c>
      <c r="K29" s="23">
        <v>0</v>
      </c>
      <c r="L29" s="23">
        <f t="shared" ref="L29:L38" si="34">SUM(H29:K29)</f>
        <v>76</v>
      </c>
      <c r="M29" s="200">
        <f>L29/6</f>
        <v>12.666666666666666</v>
      </c>
      <c r="N29" s="23">
        <v>36</v>
      </c>
      <c r="O29" s="23">
        <v>0</v>
      </c>
      <c r="P29" s="23">
        <v>0</v>
      </c>
      <c r="Q29" s="23">
        <v>0</v>
      </c>
      <c r="R29" s="23">
        <f t="shared" ref="R29:R38" si="35">SUM(N29:Q29)</f>
        <v>36</v>
      </c>
      <c r="S29" s="200">
        <f>R29/6</f>
        <v>6</v>
      </c>
      <c r="T29" s="23">
        <v>45</v>
      </c>
      <c r="U29" s="23">
        <v>0</v>
      </c>
      <c r="V29" s="23">
        <v>0</v>
      </c>
      <c r="W29" s="23">
        <v>0</v>
      </c>
      <c r="X29" s="23">
        <f t="shared" ref="X29:X38" si="36">SUM(T29:W29)</f>
        <v>45</v>
      </c>
      <c r="Y29" s="200">
        <f>X29/6</f>
        <v>7.5</v>
      </c>
      <c r="Z29" s="23">
        <v>73</v>
      </c>
      <c r="AA29" s="23">
        <v>0</v>
      </c>
      <c r="AB29" s="23">
        <v>0</v>
      </c>
      <c r="AC29" s="23">
        <v>0</v>
      </c>
      <c r="AD29" s="23">
        <f t="shared" ref="AD29:AD38" si="37">SUM(Z29:AC29)</f>
        <v>73</v>
      </c>
      <c r="AE29" s="200">
        <f>AD29/6</f>
        <v>12.166666666666666</v>
      </c>
      <c r="AF29" s="23">
        <v>0</v>
      </c>
      <c r="AG29" s="23">
        <v>0</v>
      </c>
      <c r="AH29" s="23">
        <v>0</v>
      </c>
      <c r="AI29" s="23">
        <v>0</v>
      </c>
      <c r="AJ29" s="23">
        <f t="shared" ref="AJ29:AJ38" si="38">SUM(AF29:AI29)</f>
        <v>0</v>
      </c>
      <c r="AK29" s="200">
        <f>AJ29/6</f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f t="shared" ref="AP29:AP38" si="39">SUM(AL29:AO29)</f>
        <v>0</v>
      </c>
      <c r="AR29" s="23">
        <f>B29+H29+N29+T29+Z29+AF29+AL29</f>
        <v>265</v>
      </c>
      <c r="AS29" s="23">
        <f t="shared" ref="AS29:AU29" si="40">C29+I29+O29+U29+AA29+AG29+AM29</f>
        <v>0</v>
      </c>
      <c r="AT29" s="23">
        <f t="shared" si="40"/>
        <v>0</v>
      </c>
      <c r="AU29" s="23">
        <f t="shared" si="40"/>
        <v>0</v>
      </c>
      <c r="AV29" s="23">
        <f t="shared" ref="AV29:AV38" si="41">SUM(AR29:AU29)</f>
        <v>265</v>
      </c>
    </row>
    <row r="30" spans="1:50" x14ac:dyDescent="0.25">
      <c r="A30" s="21" t="s">
        <v>30</v>
      </c>
      <c r="B30" s="23">
        <v>0</v>
      </c>
      <c r="C30" s="23">
        <v>0</v>
      </c>
      <c r="D30" s="23">
        <v>4</v>
      </c>
      <c r="E30" s="23">
        <v>0</v>
      </c>
      <c r="F30" s="23">
        <f t="shared" si="33"/>
        <v>4</v>
      </c>
      <c r="H30" s="23">
        <v>0</v>
      </c>
      <c r="I30" s="23">
        <v>0</v>
      </c>
      <c r="J30" s="23">
        <v>13</v>
      </c>
      <c r="K30" s="23">
        <v>0</v>
      </c>
      <c r="L30" s="23">
        <f t="shared" si="34"/>
        <v>13</v>
      </c>
      <c r="M30" s="199">
        <f>(H19*0.13)/23</f>
        <v>12.683478260869567</v>
      </c>
      <c r="N30" s="23">
        <v>0</v>
      </c>
      <c r="O30" s="23">
        <v>0</v>
      </c>
      <c r="P30" s="23">
        <v>4</v>
      </c>
      <c r="Q30" s="23">
        <v>0</v>
      </c>
      <c r="R30" s="23">
        <f t="shared" si="35"/>
        <v>4</v>
      </c>
      <c r="S30" s="199">
        <f>(N19*0.13)/23</f>
        <v>5.7426086956521747</v>
      </c>
      <c r="T30" s="23">
        <v>0</v>
      </c>
      <c r="U30" s="23">
        <v>0</v>
      </c>
      <c r="V30" s="23">
        <v>5</v>
      </c>
      <c r="W30" s="23">
        <v>0</v>
      </c>
      <c r="X30" s="23">
        <f t="shared" si="36"/>
        <v>5</v>
      </c>
      <c r="Y30" s="199">
        <f>(T19*0.13)/23</f>
        <v>6.7769565217391303</v>
      </c>
      <c r="Z30" s="23">
        <v>0</v>
      </c>
      <c r="AA30" s="23">
        <v>0</v>
      </c>
      <c r="AB30" s="23">
        <v>10</v>
      </c>
      <c r="AC30" s="23">
        <v>0</v>
      </c>
      <c r="AD30" s="23">
        <f t="shared" si="37"/>
        <v>10</v>
      </c>
      <c r="AE30" s="199">
        <f>(Z19*0.13)/23</f>
        <v>11.81304347826087</v>
      </c>
      <c r="AF30" s="23">
        <v>0</v>
      </c>
      <c r="AG30" s="23">
        <v>0</v>
      </c>
      <c r="AH30" s="23">
        <v>0</v>
      </c>
      <c r="AI30" s="23">
        <v>0</v>
      </c>
      <c r="AJ30" s="23">
        <f t="shared" si="38"/>
        <v>0</v>
      </c>
      <c r="AK30" s="199">
        <f>(AF19*0.13)/23</f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f t="shared" si="39"/>
        <v>0</v>
      </c>
      <c r="AR30" s="23">
        <f t="shared" ref="AR30:AR38" si="42">B30+H30+N30+T30+Z30+AF30+AL30</f>
        <v>0</v>
      </c>
      <c r="AS30" s="23">
        <f t="shared" ref="AS30:AS38" si="43">C30+I30+O30+U30+AA30+AG30+AM30</f>
        <v>0</v>
      </c>
      <c r="AT30" s="23">
        <f t="shared" ref="AT30:AT38" si="44">D30+J30+P30+V30+AB30+AH30+AN30</f>
        <v>36</v>
      </c>
      <c r="AU30" s="23">
        <f t="shared" ref="AU30:AU38" si="45">E30+K30+Q30+W30+AC30+AI30+AO30</f>
        <v>0</v>
      </c>
      <c r="AV30" s="23">
        <f t="shared" si="41"/>
        <v>36</v>
      </c>
    </row>
    <row r="31" spans="1:50" x14ac:dyDescent="0.25">
      <c r="A31" s="21" t="s">
        <v>31</v>
      </c>
      <c r="B31" s="23">
        <v>1</v>
      </c>
      <c r="C31" s="23">
        <v>0</v>
      </c>
      <c r="D31" s="23">
        <v>0</v>
      </c>
      <c r="E31" s="23">
        <v>0</v>
      </c>
      <c r="F31" s="23">
        <f t="shared" si="33"/>
        <v>1</v>
      </c>
      <c r="H31" s="23">
        <v>2</v>
      </c>
      <c r="I31" s="23">
        <v>0</v>
      </c>
      <c r="J31" s="23">
        <v>0</v>
      </c>
      <c r="K31" s="23">
        <v>0</v>
      </c>
      <c r="L31" s="23">
        <f t="shared" si="34"/>
        <v>2</v>
      </c>
      <c r="N31" s="23">
        <v>1</v>
      </c>
      <c r="O31" s="23">
        <v>0</v>
      </c>
      <c r="P31" s="23">
        <v>0</v>
      </c>
      <c r="Q31" s="23">
        <v>0</v>
      </c>
      <c r="R31" s="23">
        <f t="shared" si="35"/>
        <v>1</v>
      </c>
      <c r="T31" s="23">
        <v>1</v>
      </c>
      <c r="U31" s="23">
        <v>0</v>
      </c>
      <c r="V31" s="23">
        <v>0</v>
      </c>
      <c r="W31" s="23">
        <v>0</v>
      </c>
      <c r="X31" s="23">
        <f t="shared" si="36"/>
        <v>1</v>
      </c>
      <c r="Z31" s="23">
        <v>2</v>
      </c>
      <c r="AA31" s="23">
        <v>0</v>
      </c>
      <c r="AB31" s="23">
        <v>0</v>
      </c>
      <c r="AC31" s="23">
        <v>0</v>
      </c>
      <c r="AD31" s="23">
        <f t="shared" si="37"/>
        <v>2</v>
      </c>
      <c r="AF31" s="23">
        <v>0</v>
      </c>
      <c r="AG31" s="23">
        <v>0</v>
      </c>
      <c r="AH31" s="23">
        <v>0</v>
      </c>
      <c r="AI31" s="23">
        <v>0</v>
      </c>
      <c r="AJ31" s="23">
        <f t="shared" si="38"/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f t="shared" si="39"/>
        <v>0</v>
      </c>
      <c r="AR31" s="23">
        <f t="shared" si="42"/>
        <v>7</v>
      </c>
      <c r="AS31" s="23">
        <f t="shared" si="43"/>
        <v>0</v>
      </c>
      <c r="AT31" s="23">
        <f t="shared" si="44"/>
        <v>0</v>
      </c>
      <c r="AU31" s="23">
        <f t="shared" si="45"/>
        <v>0</v>
      </c>
      <c r="AV31" s="23">
        <f t="shared" si="41"/>
        <v>7</v>
      </c>
    </row>
    <row r="32" spans="1:50" x14ac:dyDescent="0.25">
      <c r="A32" s="21" t="s">
        <v>32</v>
      </c>
      <c r="B32" s="23">
        <v>1</v>
      </c>
      <c r="C32" s="23">
        <v>0</v>
      </c>
      <c r="D32" s="23">
        <v>0</v>
      </c>
      <c r="E32" s="23">
        <v>0</v>
      </c>
      <c r="F32" s="23">
        <f t="shared" si="33"/>
        <v>1</v>
      </c>
      <c r="H32" s="23">
        <v>2</v>
      </c>
      <c r="I32" s="23">
        <v>0</v>
      </c>
      <c r="J32" s="23">
        <v>0</v>
      </c>
      <c r="K32" s="23">
        <v>0</v>
      </c>
      <c r="L32" s="23">
        <f t="shared" si="34"/>
        <v>2</v>
      </c>
      <c r="N32" s="23">
        <v>1</v>
      </c>
      <c r="O32" s="23">
        <v>0</v>
      </c>
      <c r="P32" s="23">
        <v>0</v>
      </c>
      <c r="Q32" s="23">
        <v>0</v>
      </c>
      <c r="R32" s="23">
        <f t="shared" si="35"/>
        <v>1</v>
      </c>
      <c r="T32" s="23">
        <v>1</v>
      </c>
      <c r="U32" s="23">
        <v>0</v>
      </c>
      <c r="V32" s="23">
        <v>0</v>
      </c>
      <c r="W32" s="23">
        <v>0</v>
      </c>
      <c r="X32" s="23">
        <f t="shared" si="36"/>
        <v>1</v>
      </c>
      <c r="Z32" s="23">
        <v>2</v>
      </c>
      <c r="AA32" s="23">
        <v>0</v>
      </c>
      <c r="AB32" s="23">
        <v>0</v>
      </c>
      <c r="AC32" s="23">
        <v>0</v>
      </c>
      <c r="AD32" s="23">
        <f t="shared" si="37"/>
        <v>2</v>
      </c>
      <c r="AF32" s="23">
        <v>0</v>
      </c>
      <c r="AG32" s="23">
        <v>0</v>
      </c>
      <c r="AH32" s="23">
        <v>0</v>
      </c>
      <c r="AI32" s="23">
        <v>0</v>
      </c>
      <c r="AJ32" s="23">
        <f t="shared" si="38"/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f t="shared" si="39"/>
        <v>0</v>
      </c>
      <c r="AR32" s="23">
        <f t="shared" si="42"/>
        <v>7</v>
      </c>
      <c r="AS32" s="23">
        <f t="shared" si="43"/>
        <v>0</v>
      </c>
      <c r="AT32" s="23">
        <f t="shared" si="44"/>
        <v>0</v>
      </c>
      <c r="AU32" s="23">
        <f t="shared" si="45"/>
        <v>0</v>
      </c>
      <c r="AV32" s="23">
        <f t="shared" si="41"/>
        <v>7</v>
      </c>
    </row>
    <row r="33" spans="1:48" x14ac:dyDescent="0.25">
      <c r="A33" s="21" t="s">
        <v>33</v>
      </c>
      <c r="B33" s="23">
        <v>1</v>
      </c>
      <c r="C33" s="23">
        <v>0</v>
      </c>
      <c r="D33" s="23">
        <v>0</v>
      </c>
      <c r="E33" s="23">
        <v>0</v>
      </c>
      <c r="F33" s="23">
        <f t="shared" si="33"/>
        <v>1</v>
      </c>
      <c r="H33" s="23">
        <v>3</v>
      </c>
      <c r="I33" s="23">
        <v>0</v>
      </c>
      <c r="J33" s="23">
        <v>0</v>
      </c>
      <c r="K33" s="23">
        <v>0</v>
      </c>
      <c r="L33" s="23">
        <f t="shared" si="34"/>
        <v>3</v>
      </c>
      <c r="N33" s="23">
        <v>1</v>
      </c>
      <c r="O33" s="23">
        <v>0</v>
      </c>
      <c r="P33" s="23">
        <v>0</v>
      </c>
      <c r="Q33" s="23">
        <v>0</v>
      </c>
      <c r="R33" s="23">
        <f t="shared" si="35"/>
        <v>1</v>
      </c>
      <c r="T33" s="23">
        <v>1</v>
      </c>
      <c r="U33" s="23">
        <v>0</v>
      </c>
      <c r="V33" s="23">
        <v>0</v>
      </c>
      <c r="W33" s="23">
        <v>0</v>
      </c>
      <c r="X33" s="23">
        <f t="shared" si="36"/>
        <v>1</v>
      </c>
      <c r="Z33" s="23">
        <v>2</v>
      </c>
      <c r="AA33" s="23">
        <v>0</v>
      </c>
      <c r="AB33" s="23">
        <v>0</v>
      </c>
      <c r="AC33" s="23">
        <v>0</v>
      </c>
      <c r="AD33" s="23">
        <f t="shared" si="37"/>
        <v>2</v>
      </c>
      <c r="AF33" s="23">
        <v>0</v>
      </c>
      <c r="AG33" s="23">
        <v>0</v>
      </c>
      <c r="AH33" s="23">
        <v>0</v>
      </c>
      <c r="AI33" s="23">
        <v>0</v>
      </c>
      <c r="AJ33" s="23">
        <f t="shared" si="38"/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f t="shared" si="39"/>
        <v>0</v>
      </c>
      <c r="AR33" s="23">
        <f t="shared" si="42"/>
        <v>8</v>
      </c>
      <c r="AS33" s="23">
        <f t="shared" si="43"/>
        <v>0</v>
      </c>
      <c r="AT33" s="23">
        <f t="shared" si="44"/>
        <v>0</v>
      </c>
      <c r="AU33" s="23">
        <f t="shared" si="45"/>
        <v>0</v>
      </c>
      <c r="AV33" s="23">
        <f t="shared" si="41"/>
        <v>8</v>
      </c>
    </row>
    <row r="34" spans="1:48" x14ac:dyDescent="0.25">
      <c r="A34" s="24" t="s">
        <v>34</v>
      </c>
      <c r="B34" s="23">
        <v>0</v>
      </c>
      <c r="C34" s="23">
        <v>0</v>
      </c>
      <c r="D34" s="23">
        <v>0</v>
      </c>
      <c r="E34" s="23">
        <v>0</v>
      </c>
      <c r="F34" s="23">
        <f t="shared" si="33"/>
        <v>0</v>
      </c>
      <c r="H34" s="23">
        <v>0</v>
      </c>
      <c r="I34" s="23">
        <v>0</v>
      </c>
      <c r="J34" s="23">
        <v>0</v>
      </c>
      <c r="K34" s="23">
        <v>0</v>
      </c>
      <c r="L34" s="23">
        <f t="shared" si="34"/>
        <v>0</v>
      </c>
      <c r="N34" s="23">
        <v>0</v>
      </c>
      <c r="O34" s="23">
        <v>0</v>
      </c>
      <c r="P34" s="23">
        <v>0</v>
      </c>
      <c r="Q34" s="23">
        <v>0</v>
      </c>
      <c r="R34" s="23">
        <f t="shared" si="35"/>
        <v>0</v>
      </c>
      <c r="T34" s="23">
        <v>0</v>
      </c>
      <c r="U34" s="23">
        <v>0</v>
      </c>
      <c r="V34" s="23">
        <v>0</v>
      </c>
      <c r="W34" s="23">
        <v>0</v>
      </c>
      <c r="X34" s="23">
        <f t="shared" si="36"/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f t="shared" si="37"/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f t="shared" si="38"/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f t="shared" si="39"/>
        <v>0</v>
      </c>
      <c r="AR34" s="23">
        <f t="shared" si="42"/>
        <v>0</v>
      </c>
      <c r="AS34" s="23">
        <f t="shared" si="43"/>
        <v>0</v>
      </c>
      <c r="AT34" s="23">
        <f t="shared" si="44"/>
        <v>0</v>
      </c>
      <c r="AU34" s="23">
        <f t="shared" si="45"/>
        <v>0</v>
      </c>
      <c r="AV34" s="23">
        <f t="shared" si="41"/>
        <v>0</v>
      </c>
    </row>
    <row r="35" spans="1:48" x14ac:dyDescent="0.25">
      <c r="A35" s="27" t="s">
        <v>35</v>
      </c>
      <c r="B35" s="23">
        <v>1</v>
      </c>
      <c r="C35" s="23">
        <v>0</v>
      </c>
      <c r="D35" s="23">
        <v>0</v>
      </c>
      <c r="E35" s="23">
        <v>0</v>
      </c>
      <c r="F35" s="23">
        <f t="shared" si="33"/>
        <v>1</v>
      </c>
      <c r="H35" s="23">
        <v>2</v>
      </c>
      <c r="I35" s="23">
        <v>0</v>
      </c>
      <c r="J35" s="23">
        <v>0</v>
      </c>
      <c r="K35" s="23">
        <v>0</v>
      </c>
      <c r="L35" s="23">
        <f t="shared" si="34"/>
        <v>2</v>
      </c>
      <c r="N35" s="23">
        <v>1</v>
      </c>
      <c r="O35" s="23">
        <v>0</v>
      </c>
      <c r="P35" s="23">
        <v>0</v>
      </c>
      <c r="Q35" s="23">
        <v>0</v>
      </c>
      <c r="R35" s="23">
        <f t="shared" si="35"/>
        <v>1</v>
      </c>
      <c r="T35" s="23">
        <v>1</v>
      </c>
      <c r="U35" s="23">
        <v>0</v>
      </c>
      <c r="V35" s="23">
        <v>0</v>
      </c>
      <c r="W35" s="23">
        <v>0</v>
      </c>
      <c r="X35" s="23">
        <f t="shared" si="36"/>
        <v>1</v>
      </c>
      <c r="Z35" s="23">
        <v>0</v>
      </c>
      <c r="AA35" s="23">
        <v>0</v>
      </c>
      <c r="AB35" s="23">
        <v>0</v>
      </c>
      <c r="AC35" s="23">
        <v>0</v>
      </c>
      <c r="AD35" s="23">
        <f t="shared" si="37"/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f t="shared" si="38"/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f t="shared" si="39"/>
        <v>0</v>
      </c>
      <c r="AR35" s="23">
        <f t="shared" si="42"/>
        <v>5</v>
      </c>
      <c r="AS35" s="23">
        <f t="shared" si="43"/>
        <v>0</v>
      </c>
      <c r="AT35" s="23">
        <f t="shared" si="44"/>
        <v>0</v>
      </c>
      <c r="AU35" s="23">
        <f t="shared" si="45"/>
        <v>0</v>
      </c>
      <c r="AV35" s="23">
        <f t="shared" si="41"/>
        <v>5</v>
      </c>
    </row>
    <row r="36" spans="1:48" x14ac:dyDescent="0.25">
      <c r="A36" s="28" t="s">
        <v>36</v>
      </c>
      <c r="B36" s="23">
        <v>0</v>
      </c>
      <c r="C36" s="23">
        <v>0</v>
      </c>
      <c r="D36" s="23">
        <v>0</v>
      </c>
      <c r="E36" s="23">
        <v>0</v>
      </c>
      <c r="F36" s="23">
        <f t="shared" si="33"/>
        <v>0</v>
      </c>
      <c r="H36" s="23">
        <v>0</v>
      </c>
      <c r="I36" s="23">
        <v>0</v>
      </c>
      <c r="J36" s="23">
        <v>0</v>
      </c>
      <c r="K36" s="23">
        <v>0</v>
      </c>
      <c r="L36" s="23">
        <f t="shared" si="34"/>
        <v>0</v>
      </c>
      <c r="N36" s="23">
        <v>0</v>
      </c>
      <c r="O36" s="23">
        <v>0</v>
      </c>
      <c r="P36" s="23">
        <v>0</v>
      </c>
      <c r="Q36" s="23">
        <v>0</v>
      </c>
      <c r="R36" s="23">
        <f t="shared" si="35"/>
        <v>0</v>
      </c>
      <c r="T36" s="23">
        <v>0</v>
      </c>
      <c r="U36" s="23">
        <v>0</v>
      </c>
      <c r="V36" s="23">
        <v>0</v>
      </c>
      <c r="W36" s="23">
        <v>0</v>
      </c>
      <c r="X36" s="23">
        <f t="shared" si="36"/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f t="shared" si="37"/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f t="shared" si="38"/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f t="shared" si="39"/>
        <v>0</v>
      </c>
      <c r="AR36" s="23">
        <f t="shared" si="42"/>
        <v>0</v>
      </c>
      <c r="AS36" s="23">
        <f t="shared" si="43"/>
        <v>0</v>
      </c>
      <c r="AT36" s="23">
        <f t="shared" si="44"/>
        <v>0</v>
      </c>
      <c r="AU36" s="23">
        <f t="shared" si="45"/>
        <v>0</v>
      </c>
      <c r="AV36" s="23">
        <f t="shared" si="41"/>
        <v>0</v>
      </c>
    </row>
    <row r="37" spans="1:48" x14ac:dyDescent="0.25">
      <c r="A37" s="27" t="s">
        <v>37</v>
      </c>
      <c r="B37" s="23">
        <v>1</v>
      </c>
      <c r="C37" s="23">
        <v>0</v>
      </c>
      <c r="D37" s="23">
        <v>0</v>
      </c>
      <c r="E37" s="23">
        <v>0</v>
      </c>
      <c r="F37" s="23">
        <f t="shared" si="33"/>
        <v>1</v>
      </c>
      <c r="H37" s="23">
        <v>2</v>
      </c>
      <c r="I37" s="23">
        <v>0</v>
      </c>
      <c r="J37" s="23">
        <v>0</v>
      </c>
      <c r="K37" s="23">
        <v>0</v>
      </c>
      <c r="L37" s="23">
        <f t="shared" si="34"/>
        <v>2</v>
      </c>
      <c r="N37" s="23">
        <v>1</v>
      </c>
      <c r="O37" s="23">
        <v>0</v>
      </c>
      <c r="P37" s="23">
        <v>0</v>
      </c>
      <c r="Q37" s="23">
        <v>0</v>
      </c>
      <c r="R37" s="23">
        <f t="shared" si="35"/>
        <v>1</v>
      </c>
      <c r="T37" s="23">
        <v>1</v>
      </c>
      <c r="U37" s="23">
        <v>0</v>
      </c>
      <c r="V37" s="23">
        <v>0</v>
      </c>
      <c r="W37" s="23">
        <v>0</v>
      </c>
      <c r="X37" s="23">
        <f t="shared" si="36"/>
        <v>1</v>
      </c>
      <c r="Z37" s="23">
        <v>2</v>
      </c>
      <c r="AA37" s="23">
        <v>0</v>
      </c>
      <c r="AB37" s="23">
        <v>0</v>
      </c>
      <c r="AC37" s="23">
        <v>0</v>
      </c>
      <c r="AD37" s="23">
        <f t="shared" si="37"/>
        <v>2</v>
      </c>
      <c r="AF37" s="23">
        <v>0</v>
      </c>
      <c r="AG37" s="23">
        <v>0</v>
      </c>
      <c r="AH37" s="23">
        <v>0</v>
      </c>
      <c r="AI37" s="23">
        <v>0</v>
      </c>
      <c r="AJ37" s="23">
        <f t="shared" si="38"/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f t="shared" si="39"/>
        <v>0</v>
      </c>
      <c r="AR37" s="23">
        <f t="shared" si="42"/>
        <v>7</v>
      </c>
      <c r="AS37" s="23">
        <f t="shared" si="43"/>
        <v>0</v>
      </c>
      <c r="AT37" s="23">
        <f t="shared" si="44"/>
        <v>0</v>
      </c>
      <c r="AU37" s="23">
        <f t="shared" si="45"/>
        <v>0</v>
      </c>
      <c r="AV37" s="23">
        <f t="shared" si="41"/>
        <v>7</v>
      </c>
    </row>
    <row r="38" spans="1:48" x14ac:dyDescent="0.25">
      <c r="A38" s="27" t="s">
        <v>38</v>
      </c>
      <c r="B38" s="23">
        <v>0.5</v>
      </c>
      <c r="C38" s="23">
        <v>0</v>
      </c>
      <c r="D38" s="23">
        <v>0</v>
      </c>
      <c r="E38" s="23">
        <v>0</v>
      </c>
      <c r="F38" s="23">
        <f t="shared" si="33"/>
        <v>0.5</v>
      </c>
      <c r="H38" s="23">
        <v>3</v>
      </c>
      <c r="I38" s="23">
        <v>0</v>
      </c>
      <c r="J38" s="23">
        <v>0</v>
      </c>
      <c r="K38" s="23">
        <v>0</v>
      </c>
      <c r="L38" s="23">
        <f t="shared" si="34"/>
        <v>3</v>
      </c>
      <c r="N38" s="23">
        <v>2</v>
      </c>
      <c r="O38" s="23">
        <v>0</v>
      </c>
      <c r="P38" s="23">
        <v>0</v>
      </c>
      <c r="Q38" s="23">
        <v>0</v>
      </c>
      <c r="R38" s="23">
        <f t="shared" si="35"/>
        <v>2</v>
      </c>
      <c r="T38" s="23">
        <v>3</v>
      </c>
      <c r="U38" s="23">
        <v>0</v>
      </c>
      <c r="V38" s="23">
        <v>0</v>
      </c>
      <c r="W38" s="23">
        <v>0</v>
      </c>
      <c r="X38" s="23">
        <f t="shared" si="36"/>
        <v>3</v>
      </c>
      <c r="Z38" s="23">
        <v>4</v>
      </c>
      <c r="AA38" s="23">
        <v>0</v>
      </c>
      <c r="AB38" s="23">
        <v>0</v>
      </c>
      <c r="AC38" s="23">
        <v>0</v>
      </c>
      <c r="AD38" s="23">
        <f t="shared" si="37"/>
        <v>4</v>
      </c>
      <c r="AF38" s="23">
        <v>0</v>
      </c>
      <c r="AG38" s="23">
        <v>0</v>
      </c>
      <c r="AH38" s="23">
        <v>0</v>
      </c>
      <c r="AI38" s="23">
        <v>0</v>
      </c>
      <c r="AJ38" s="23">
        <f t="shared" si="38"/>
        <v>0</v>
      </c>
      <c r="AL38" s="23">
        <v>0</v>
      </c>
      <c r="AM38" s="23">
        <v>0</v>
      </c>
      <c r="AN38" s="23">
        <v>0</v>
      </c>
      <c r="AO38" s="23">
        <v>0</v>
      </c>
      <c r="AP38" s="23">
        <f t="shared" si="39"/>
        <v>0</v>
      </c>
      <c r="AR38" s="23">
        <f t="shared" si="42"/>
        <v>12.5</v>
      </c>
      <c r="AS38" s="23">
        <f t="shared" si="43"/>
        <v>0</v>
      </c>
      <c r="AT38" s="23">
        <f t="shared" si="44"/>
        <v>0</v>
      </c>
      <c r="AU38" s="23">
        <f t="shared" si="45"/>
        <v>0</v>
      </c>
      <c r="AV38" s="23">
        <f t="shared" si="41"/>
        <v>12.5</v>
      </c>
    </row>
    <row r="39" spans="1:48" x14ac:dyDescent="0.25">
      <c r="A39" s="29" t="s">
        <v>39</v>
      </c>
      <c r="B39" s="30">
        <f>SUM(B29:B38)</f>
        <v>40.5</v>
      </c>
      <c r="C39" s="30">
        <f>SUM(C29:C38)</f>
        <v>0</v>
      </c>
      <c r="D39" s="30">
        <f t="shared" ref="D39:F39" si="46">SUM(D29:D38)</f>
        <v>4</v>
      </c>
      <c r="E39" s="30">
        <f t="shared" si="46"/>
        <v>0</v>
      </c>
      <c r="F39" s="30">
        <f t="shared" si="46"/>
        <v>44.5</v>
      </c>
      <c r="H39" s="30">
        <f>SUM(H29:H38)</f>
        <v>90</v>
      </c>
      <c r="I39" s="30">
        <f>SUM(I29:I38)</f>
        <v>0</v>
      </c>
      <c r="J39" s="30">
        <f t="shared" ref="J39:L39" si="47">SUM(J29:J38)</f>
        <v>13</v>
      </c>
      <c r="K39" s="30">
        <f t="shared" si="47"/>
        <v>0</v>
      </c>
      <c r="L39" s="30">
        <f t="shared" si="47"/>
        <v>103</v>
      </c>
      <c r="N39" s="30">
        <f>SUM(N29:N38)</f>
        <v>43</v>
      </c>
      <c r="O39" s="30">
        <f>SUM(O29:O38)</f>
        <v>0</v>
      </c>
      <c r="P39" s="30">
        <f t="shared" ref="P39:R39" si="48">SUM(P29:P38)</f>
        <v>4</v>
      </c>
      <c r="Q39" s="30">
        <f t="shared" si="48"/>
        <v>0</v>
      </c>
      <c r="R39" s="30">
        <f t="shared" si="48"/>
        <v>47</v>
      </c>
      <c r="T39" s="30">
        <f>SUM(T29:T38)</f>
        <v>53</v>
      </c>
      <c r="U39" s="30">
        <f>SUM(U29:U38)</f>
        <v>0</v>
      </c>
      <c r="V39" s="30">
        <f t="shared" ref="V39:X39" si="49">SUM(V29:V38)</f>
        <v>5</v>
      </c>
      <c r="W39" s="30">
        <f t="shared" si="49"/>
        <v>0</v>
      </c>
      <c r="X39" s="30">
        <f t="shared" si="49"/>
        <v>58</v>
      </c>
      <c r="Z39" s="30">
        <f>SUM(Z29:Z38)</f>
        <v>85</v>
      </c>
      <c r="AA39" s="30">
        <f>SUM(AA29:AA38)</f>
        <v>0</v>
      </c>
      <c r="AB39" s="30">
        <f t="shared" ref="AB39:AD39" si="50">SUM(AB29:AB38)</f>
        <v>10</v>
      </c>
      <c r="AC39" s="30">
        <f t="shared" si="50"/>
        <v>0</v>
      </c>
      <c r="AD39" s="30">
        <f t="shared" si="50"/>
        <v>95</v>
      </c>
      <c r="AF39" s="30">
        <f>SUM(AF29:AF38)</f>
        <v>0</v>
      </c>
      <c r="AG39" s="30">
        <f>SUM(AG29:AG38)</f>
        <v>0</v>
      </c>
      <c r="AH39" s="30">
        <f t="shared" ref="AH39:AJ39" si="51">SUM(AH29:AH38)</f>
        <v>0</v>
      </c>
      <c r="AI39" s="30">
        <f t="shared" si="51"/>
        <v>0</v>
      </c>
      <c r="AJ39" s="30">
        <f t="shared" si="51"/>
        <v>0</v>
      </c>
      <c r="AL39" s="30">
        <f>SUM(AL29:AL38)</f>
        <v>0</v>
      </c>
      <c r="AM39" s="30">
        <f>SUM(AM29:AM38)</f>
        <v>0</v>
      </c>
      <c r="AN39" s="30">
        <f t="shared" ref="AN39:AP39" si="52">SUM(AN29:AN38)</f>
        <v>0</v>
      </c>
      <c r="AO39" s="30">
        <f t="shared" si="52"/>
        <v>0</v>
      </c>
      <c r="AP39" s="30">
        <f t="shared" si="52"/>
        <v>0</v>
      </c>
      <c r="AR39" s="30">
        <f>SUM(AR29:AR38)</f>
        <v>311.5</v>
      </c>
      <c r="AS39" s="30">
        <f>SUM(AS29:AS38)</f>
        <v>0</v>
      </c>
      <c r="AT39" s="30">
        <f t="shared" ref="AT39:AV39" si="53">SUM(AT29:AT38)</f>
        <v>36</v>
      </c>
      <c r="AU39" s="30">
        <f t="shared" si="53"/>
        <v>0</v>
      </c>
      <c r="AV39" s="30">
        <f t="shared" si="53"/>
        <v>347.5</v>
      </c>
    </row>
    <row r="40" spans="1:48" x14ac:dyDescent="0.25">
      <c r="A40" s="31"/>
      <c r="B40" s="23"/>
      <c r="C40" s="23"/>
      <c r="D40" s="23"/>
      <c r="E40" s="23"/>
      <c r="F40" s="23"/>
      <c r="H40" s="23"/>
      <c r="I40" s="23"/>
      <c r="J40" s="23"/>
      <c r="K40" s="23"/>
      <c r="L40" s="23"/>
      <c r="N40" s="23"/>
      <c r="O40" s="23"/>
      <c r="P40" s="23"/>
      <c r="Q40" s="23"/>
      <c r="R40" s="23"/>
      <c r="T40" s="23"/>
      <c r="U40" s="23"/>
      <c r="V40" s="23"/>
      <c r="W40" s="23"/>
      <c r="X40" s="23"/>
      <c r="Z40" s="23"/>
      <c r="AA40" s="23"/>
      <c r="AB40" s="23"/>
      <c r="AC40" s="23"/>
      <c r="AD40" s="23"/>
      <c r="AF40" s="23"/>
      <c r="AG40" s="23"/>
      <c r="AH40" s="23"/>
      <c r="AI40" s="23"/>
      <c r="AJ40" s="23"/>
      <c r="AL40" s="23"/>
      <c r="AM40" s="23"/>
      <c r="AN40" s="23"/>
      <c r="AO40" s="23"/>
      <c r="AP40" s="23"/>
      <c r="AR40" s="23"/>
      <c r="AS40" s="23"/>
      <c r="AT40" s="23"/>
      <c r="AU40" s="23"/>
      <c r="AV40" s="23"/>
    </row>
    <row r="41" spans="1:48" x14ac:dyDescent="0.25">
      <c r="A41" s="17" t="s">
        <v>40</v>
      </c>
      <c r="B41" s="32" t="str">
        <f>B1</f>
        <v>Operating</v>
      </c>
      <c r="C41" s="32" t="str">
        <f t="shared" ref="C41:F41" si="54">C1</f>
        <v>Weights</v>
      </c>
      <c r="D41" s="32" t="str">
        <f t="shared" si="54"/>
        <v>SPED</v>
      </c>
      <c r="E41" s="32" t="str">
        <f t="shared" si="54"/>
        <v>NSLP</v>
      </c>
      <c r="F41" s="32" t="str">
        <f t="shared" si="54"/>
        <v>Horizon</v>
      </c>
      <c r="H41" s="32" t="str">
        <f>H1</f>
        <v>Operating</v>
      </c>
      <c r="I41" s="32" t="str">
        <f t="shared" ref="I41:L41" si="55">I1</f>
        <v>Weights</v>
      </c>
      <c r="J41" s="32" t="str">
        <f t="shared" si="55"/>
        <v>SPED</v>
      </c>
      <c r="K41" s="32" t="str">
        <f t="shared" si="55"/>
        <v>NSLP</v>
      </c>
      <c r="L41" s="32" t="str">
        <f t="shared" si="55"/>
        <v>Cadence</v>
      </c>
      <c r="N41" s="32" t="str">
        <f>N1</f>
        <v>Operating</v>
      </c>
      <c r="O41" s="32" t="str">
        <f t="shared" ref="O41:R41" si="56">O1</f>
        <v>Weights</v>
      </c>
      <c r="P41" s="32" t="str">
        <f t="shared" si="56"/>
        <v>SPED</v>
      </c>
      <c r="Q41" s="32" t="str">
        <f t="shared" si="56"/>
        <v>NSLP</v>
      </c>
      <c r="R41" s="32" t="str">
        <f t="shared" si="56"/>
        <v>St. Rose</v>
      </c>
      <c r="T41" s="32" t="str">
        <f>T1</f>
        <v>Operating</v>
      </c>
      <c r="U41" s="32" t="str">
        <f t="shared" ref="U41:X41" si="57">U1</f>
        <v>Weights</v>
      </c>
      <c r="V41" s="32" t="str">
        <f t="shared" si="57"/>
        <v>SPED</v>
      </c>
      <c r="W41" s="32" t="str">
        <f t="shared" si="57"/>
        <v>NSLP</v>
      </c>
      <c r="X41" s="32" t="str">
        <f t="shared" si="57"/>
        <v>Inspirada</v>
      </c>
      <c r="Z41" s="32" t="str">
        <f>Z1</f>
        <v>Operating</v>
      </c>
      <c r="AA41" s="32" t="str">
        <f t="shared" ref="AA41:AD41" si="58">AA1</f>
        <v>Weights</v>
      </c>
      <c r="AB41" s="32" t="str">
        <f t="shared" si="58"/>
        <v>SPED</v>
      </c>
      <c r="AC41" s="32" t="str">
        <f t="shared" si="58"/>
        <v>NSLP</v>
      </c>
      <c r="AD41" s="32" t="str">
        <f t="shared" si="58"/>
        <v>Sloan Canyon</v>
      </c>
      <c r="AF41" s="32" t="str">
        <f>AF1</f>
        <v>Operating</v>
      </c>
      <c r="AG41" s="32" t="str">
        <f t="shared" ref="AG41:AJ41" si="59">AG1</f>
        <v>Weights</v>
      </c>
      <c r="AH41" s="32" t="str">
        <f t="shared" si="59"/>
        <v>SPED</v>
      </c>
      <c r="AI41" s="32" t="str">
        <f t="shared" si="59"/>
        <v>NSLP</v>
      </c>
      <c r="AJ41" s="32" t="str">
        <f t="shared" si="59"/>
        <v>System Wide</v>
      </c>
      <c r="AL41" s="32" t="str">
        <f>AL1</f>
        <v>Operating</v>
      </c>
      <c r="AM41" s="32" t="str">
        <f t="shared" ref="AM41:AP41" si="60">AM1</f>
        <v>Weights</v>
      </c>
      <c r="AN41" s="32" t="str">
        <f t="shared" si="60"/>
        <v>SPED</v>
      </c>
      <c r="AO41" s="32" t="str">
        <f t="shared" si="60"/>
        <v>NSLP</v>
      </c>
      <c r="AP41" s="32" t="str">
        <f t="shared" si="60"/>
        <v>Virtual</v>
      </c>
      <c r="AR41" s="32" t="str">
        <f>AR1</f>
        <v>Operating</v>
      </c>
      <c r="AS41" s="32" t="str">
        <f t="shared" ref="AS41:AV41" si="61">AS1</f>
        <v>Weights</v>
      </c>
      <c r="AT41" s="32" t="str">
        <f t="shared" si="61"/>
        <v>SPED</v>
      </c>
      <c r="AU41" s="32" t="str">
        <f t="shared" si="61"/>
        <v>NSLP</v>
      </c>
      <c r="AV41" s="32" t="str">
        <f t="shared" si="61"/>
        <v>Pinecrest System</v>
      </c>
    </row>
    <row r="42" spans="1:48" x14ac:dyDescent="0.25">
      <c r="A42" s="21" t="s">
        <v>41</v>
      </c>
      <c r="B42" s="23">
        <v>1</v>
      </c>
      <c r="C42" s="23">
        <v>0</v>
      </c>
      <c r="D42" s="23">
        <v>0</v>
      </c>
      <c r="E42" s="23">
        <v>0</v>
      </c>
      <c r="F42" s="23">
        <f>SUM(B42:E42)</f>
        <v>1</v>
      </c>
      <c r="H42" s="328">
        <v>1</v>
      </c>
      <c r="I42" s="328"/>
      <c r="J42" s="328"/>
      <c r="K42" s="328"/>
      <c r="L42" s="23">
        <f>SUM(H42:K42)</f>
        <v>1</v>
      </c>
      <c r="N42" s="328">
        <v>1</v>
      </c>
      <c r="O42" s="328"/>
      <c r="P42" s="328"/>
      <c r="Q42" s="328"/>
      <c r="R42" s="23">
        <f>SUM(N42:Q42)</f>
        <v>1</v>
      </c>
      <c r="T42" s="328">
        <v>1</v>
      </c>
      <c r="U42" s="328"/>
      <c r="V42" s="328"/>
      <c r="W42" s="328"/>
      <c r="X42" s="23">
        <f>SUM(T42:W42)</f>
        <v>1</v>
      </c>
      <c r="Z42" s="328">
        <v>1</v>
      </c>
      <c r="AA42" s="328"/>
      <c r="AB42" s="328"/>
      <c r="AC42" s="328"/>
      <c r="AD42" s="23">
        <f>SUM(Z42:AC42)</f>
        <v>1</v>
      </c>
      <c r="AF42" s="23">
        <v>0</v>
      </c>
      <c r="AG42" s="23">
        <v>0</v>
      </c>
      <c r="AH42" s="23">
        <v>0</v>
      </c>
      <c r="AI42" s="23">
        <v>0</v>
      </c>
      <c r="AJ42" s="23">
        <f>SUM(AF42:AI42)</f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f>SUM(AL42:AO42)</f>
        <v>0</v>
      </c>
      <c r="AR42" s="23">
        <f>B42+H42+N42+T42+Z42+AF42+AL42</f>
        <v>5</v>
      </c>
      <c r="AS42" s="23">
        <f t="shared" ref="AS42:AU42" si="62">C42+I42+O42+U42+AA42+AG42+AM42</f>
        <v>0</v>
      </c>
      <c r="AT42" s="23">
        <f t="shared" si="62"/>
        <v>0</v>
      </c>
      <c r="AU42" s="23">
        <f t="shared" si="62"/>
        <v>0</v>
      </c>
      <c r="AV42" s="23">
        <f>SUM(AR42:AU42)</f>
        <v>5</v>
      </c>
    </row>
    <row r="43" spans="1:48" x14ac:dyDescent="0.25">
      <c r="A43" s="21" t="s">
        <v>42</v>
      </c>
      <c r="B43" s="23">
        <v>2</v>
      </c>
      <c r="C43" s="23">
        <v>1</v>
      </c>
      <c r="D43" s="23">
        <v>0</v>
      </c>
      <c r="E43" s="23">
        <v>0</v>
      </c>
      <c r="F43" s="23">
        <f t="shared" ref="F43:F61" si="63">SUM(B43:E43)</f>
        <v>3</v>
      </c>
      <c r="H43" s="328">
        <v>4</v>
      </c>
      <c r="I43" s="328"/>
      <c r="J43" s="328"/>
      <c r="K43" s="328"/>
      <c r="L43" s="23">
        <f t="shared" ref="L43:L61" si="64">SUM(H43:K43)</f>
        <v>4</v>
      </c>
      <c r="N43" s="328">
        <v>2</v>
      </c>
      <c r="O43" s="328"/>
      <c r="P43" s="328"/>
      <c r="Q43" s="328"/>
      <c r="R43" s="23">
        <f t="shared" ref="R43:R61" si="65">SUM(N43:Q43)</f>
        <v>2</v>
      </c>
      <c r="T43" s="328">
        <v>2</v>
      </c>
      <c r="U43" s="328"/>
      <c r="V43" s="328"/>
      <c r="W43" s="328"/>
      <c r="X43" s="23">
        <f t="shared" ref="X43:X61" si="66">SUM(T43:W43)</f>
        <v>2</v>
      </c>
      <c r="Z43" s="328">
        <v>3</v>
      </c>
      <c r="AA43" s="328"/>
      <c r="AB43" s="328">
        <v>1</v>
      </c>
      <c r="AC43" s="328"/>
      <c r="AD43" s="23">
        <f t="shared" ref="AD43:AD61" si="67">SUM(Z43:AC43)</f>
        <v>4</v>
      </c>
      <c r="AF43" s="23">
        <v>0</v>
      </c>
      <c r="AG43" s="23">
        <v>0</v>
      </c>
      <c r="AH43" s="23">
        <v>0</v>
      </c>
      <c r="AI43" s="23">
        <v>0</v>
      </c>
      <c r="AJ43" s="23">
        <f t="shared" ref="AJ43:AJ61" si="68">SUM(AF43:AI43)</f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f t="shared" ref="AP43:AP61" si="69">SUM(AL43:AO43)</f>
        <v>0</v>
      </c>
      <c r="AR43" s="23">
        <f t="shared" ref="AR43:AR61" si="70">B43+H43+N43+T43+Z43+AF43+AL43</f>
        <v>13</v>
      </c>
      <c r="AS43" s="23">
        <f t="shared" ref="AS43:AS61" si="71">C43+I43+O43+U43+AA43+AG43+AM43</f>
        <v>1</v>
      </c>
      <c r="AT43" s="23">
        <f t="shared" ref="AT43:AT61" si="72">D43+J43+P43+V43+AB43+AH43+AN43</f>
        <v>1</v>
      </c>
      <c r="AU43" s="23">
        <f t="shared" ref="AU43:AU61" si="73">E43+K43+Q43+W43+AC43+AI43+AO43</f>
        <v>0</v>
      </c>
      <c r="AV43" s="23">
        <f t="shared" ref="AV43:AV61" si="74">SUM(AR43:AU43)</f>
        <v>15</v>
      </c>
    </row>
    <row r="44" spans="1:48" x14ac:dyDescent="0.25">
      <c r="A44" s="34" t="s">
        <v>43</v>
      </c>
      <c r="B44" s="23">
        <v>0</v>
      </c>
      <c r="C44" s="23">
        <v>0</v>
      </c>
      <c r="D44" s="23">
        <v>0</v>
      </c>
      <c r="E44" s="23">
        <v>0</v>
      </c>
      <c r="F44" s="23">
        <f t="shared" si="63"/>
        <v>0</v>
      </c>
      <c r="H44" s="328">
        <v>0</v>
      </c>
      <c r="I44" s="328"/>
      <c r="J44" s="328"/>
      <c r="K44" s="328"/>
      <c r="L44" s="23">
        <f t="shared" si="64"/>
        <v>0</v>
      </c>
      <c r="N44" s="328">
        <v>0</v>
      </c>
      <c r="O44" s="328"/>
      <c r="P44" s="328"/>
      <c r="Q44" s="328"/>
      <c r="R44" s="23">
        <f t="shared" si="65"/>
        <v>0</v>
      </c>
      <c r="T44" s="328">
        <v>0</v>
      </c>
      <c r="U44" s="328"/>
      <c r="V44" s="328"/>
      <c r="W44" s="328"/>
      <c r="X44" s="23">
        <f t="shared" si="66"/>
        <v>0</v>
      </c>
      <c r="Z44" s="328">
        <v>0</v>
      </c>
      <c r="AA44" s="328"/>
      <c r="AB44" s="328"/>
      <c r="AC44" s="328"/>
      <c r="AD44" s="23">
        <f t="shared" si="67"/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f t="shared" si="68"/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f t="shared" si="69"/>
        <v>0</v>
      </c>
      <c r="AR44" s="23">
        <f t="shared" si="70"/>
        <v>0</v>
      </c>
      <c r="AS44" s="23">
        <f t="shared" si="71"/>
        <v>0</v>
      </c>
      <c r="AT44" s="23">
        <f t="shared" si="72"/>
        <v>0</v>
      </c>
      <c r="AU44" s="23">
        <f t="shared" si="73"/>
        <v>0</v>
      </c>
      <c r="AV44" s="23">
        <f t="shared" si="74"/>
        <v>0</v>
      </c>
    </row>
    <row r="45" spans="1:48" x14ac:dyDescent="0.25">
      <c r="A45" s="33" t="s">
        <v>44</v>
      </c>
      <c r="B45" s="23">
        <v>1</v>
      </c>
      <c r="C45" s="23">
        <v>0</v>
      </c>
      <c r="D45" s="23">
        <v>0</v>
      </c>
      <c r="E45" s="23">
        <v>0</v>
      </c>
      <c r="F45" s="23">
        <f t="shared" si="63"/>
        <v>1</v>
      </c>
      <c r="H45" s="328">
        <v>5</v>
      </c>
      <c r="I45" s="328"/>
      <c r="J45" s="328"/>
      <c r="K45" s="328"/>
      <c r="L45" s="23">
        <f t="shared" si="64"/>
        <v>5</v>
      </c>
      <c r="N45" s="328">
        <v>1</v>
      </c>
      <c r="O45" s="328"/>
      <c r="P45" s="328"/>
      <c r="Q45" s="328"/>
      <c r="R45" s="23">
        <f t="shared" si="65"/>
        <v>1</v>
      </c>
      <c r="T45" s="328">
        <v>1</v>
      </c>
      <c r="U45" s="328"/>
      <c r="V45" s="328"/>
      <c r="W45" s="328"/>
      <c r="X45" s="23">
        <f t="shared" si="66"/>
        <v>1</v>
      </c>
      <c r="Z45" s="328">
        <v>2</v>
      </c>
      <c r="AA45" s="328"/>
      <c r="AB45" s="328"/>
      <c r="AC45" s="328"/>
      <c r="AD45" s="23">
        <f t="shared" si="67"/>
        <v>2</v>
      </c>
      <c r="AF45" s="23">
        <v>0</v>
      </c>
      <c r="AG45" s="23">
        <v>0</v>
      </c>
      <c r="AH45" s="23">
        <v>0</v>
      </c>
      <c r="AI45" s="23">
        <v>0</v>
      </c>
      <c r="AJ45" s="23">
        <f t="shared" si="68"/>
        <v>0</v>
      </c>
      <c r="AL45" s="23">
        <v>0</v>
      </c>
      <c r="AM45" s="23">
        <v>0</v>
      </c>
      <c r="AN45" s="23">
        <v>0</v>
      </c>
      <c r="AO45" s="23">
        <v>0</v>
      </c>
      <c r="AP45" s="23">
        <f t="shared" si="69"/>
        <v>0</v>
      </c>
      <c r="AR45" s="23">
        <f t="shared" si="70"/>
        <v>10</v>
      </c>
      <c r="AS45" s="23">
        <f t="shared" si="71"/>
        <v>0</v>
      </c>
      <c r="AT45" s="23">
        <f t="shared" si="72"/>
        <v>0</v>
      </c>
      <c r="AU45" s="23">
        <f t="shared" si="73"/>
        <v>0</v>
      </c>
      <c r="AV45" s="23">
        <f t="shared" si="74"/>
        <v>10</v>
      </c>
    </row>
    <row r="46" spans="1:48" x14ac:dyDescent="0.25">
      <c r="A46" s="33" t="s">
        <v>45</v>
      </c>
      <c r="B46" s="23">
        <v>0</v>
      </c>
      <c r="C46" s="23">
        <v>0</v>
      </c>
      <c r="D46" s="23">
        <v>0</v>
      </c>
      <c r="E46" s="23">
        <v>0</v>
      </c>
      <c r="F46" s="23">
        <f t="shared" si="63"/>
        <v>0</v>
      </c>
      <c r="H46" s="328">
        <v>1</v>
      </c>
      <c r="I46" s="328">
        <v>1</v>
      </c>
      <c r="J46" s="328"/>
      <c r="K46" s="328"/>
      <c r="L46" s="23">
        <f t="shared" si="64"/>
        <v>2</v>
      </c>
      <c r="N46" s="328">
        <v>1</v>
      </c>
      <c r="O46" s="328"/>
      <c r="P46" s="328"/>
      <c r="Q46" s="328"/>
      <c r="R46" s="23">
        <f t="shared" si="65"/>
        <v>1</v>
      </c>
      <c r="T46" s="328">
        <v>2</v>
      </c>
      <c r="U46" s="328"/>
      <c r="V46" s="328"/>
      <c r="W46" s="328"/>
      <c r="X46" s="23">
        <f t="shared" si="66"/>
        <v>2</v>
      </c>
      <c r="Z46" s="328">
        <v>2</v>
      </c>
      <c r="AA46" s="328"/>
      <c r="AB46" s="328"/>
      <c r="AC46" s="328"/>
      <c r="AD46" s="23">
        <f t="shared" si="67"/>
        <v>2</v>
      </c>
      <c r="AF46" s="23">
        <v>1</v>
      </c>
      <c r="AG46" s="23">
        <v>0</v>
      </c>
      <c r="AH46" s="23">
        <v>0</v>
      </c>
      <c r="AI46" s="23">
        <v>0</v>
      </c>
      <c r="AJ46" s="23">
        <f t="shared" si="68"/>
        <v>1</v>
      </c>
      <c r="AL46" s="23">
        <v>0</v>
      </c>
      <c r="AM46" s="23">
        <v>0</v>
      </c>
      <c r="AN46" s="23">
        <v>0</v>
      </c>
      <c r="AO46" s="23">
        <v>0</v>
      </c>
      <c r="AP46" s="23">
        <f t="shared" si="69"/>
        <v>0</v>
      </c>
      <c r="AR46" s="23">
        <f t="shared" si="70"/>
        <v>7</v>
      </c>
      <c r="AS46" s="23">
        <f t="shared" si="71"/>
        <v>1</v>
      </c>
      <c r="AT46" s="23">
        <f t="shared" si="72"/>
        <v>0</v>
      </c>
      <c r="AU46" s="23">
        <f t="shared" si="73"/>
        <v>0</v>
      </c>
      <c r="AV46" s="23">
        <f t="shared" si="74"/>
        <v>8</v>
      </c>
    </row>
    <row r="47" spans="1:48" x14ac:dyDescent="0.25">
      <c r="A47" s="21" t="s">
        <v>200</v>
      </c>
      <c r="B47" s="23">
        <v>1</v>
      </c>
      <c r="C47" s="23">
        <v>0</v>
      </c>
      <c r="D47" s="23">
        <v>0</v>
      </c>
      <c r="E47" s="23">
        <v>0</v>
      </c>
      <c r="F47" s="23">
        <f t="shared" si="63"/>
        <v>1</v>
      </c>
      <c r="H47" s="328">
        <v>2</v>
      </c>
      <c r="I47" s="328"/>
      <c r="J47" s="328"/>
      <c r="K47" s="328"/>
      <c r="L47" s="23">
        <f t="shared" si="64"/>
        <v>2</v>
      </c>
      <c r="N47" s="328">
        <v>1</v>
      </c>
      <c r="O47" s="328"/>
      <c r="P47" s="328"/>
      <c r="Q47" s="328"/>
      <c r="R47" s="23">
        <f t="shared" si="65"/>
        <v>1</v>
      </c>
      <c r="T47" s="328">
        <v>1</v>
      </c>
      <c r="U47" s="328"/>
      <c r="V47" s="328"/>
      <c r="W47" s="328"/>
      <c r="X47" s="23">
        <f t="shared" si="66"/>
        <v>1</v>
      </c>
      <c r="Z47" s="328">
        <v>2</v>
      </c>
      <c r="AA47" s="328"/>
      <c r="AB47" s="328"/>
      <c r="AC47" s="328"/>
      <c r="AD47" s="23">
        <f t="shared" si="67"/>
        <v>2</v>
      </c>
      <c r="AF47" s="23">
        <v>1</v>
      </c>
      <c r="AG47" s="23">
        <v>0</v>
      </c>
      <c r="AH47" s="23">
        <v>0</v>
      </c>
      <c r="AI47" s="23">
        <v>0</v>
      </c>
      <c r="AJ47" s="23">
        <f t="shared" si="68"/>
        <v>1</v>
      </c>
      <c r="AL47" s="23">
        <v>0</v>
      </c>
      <c r="AM47" s="23">
        <v>0</v>
      </c>
      <c r="AN47" s="23">
        <v>0</v>
      </c>
      <c r="AO47" s="23">
        <v>0</v>
      </c>
      <c r="AP47" s="23">
        <f t="shared" si="69"/>
        <v>0</v>
      </c>
      <c r="AR47" s="23">
        <f t="shared" si="70"/>
        <v>8</v>
      </c>
      <c r="AS47" s="23">
        <f t="shared" si="71"/>
        <v>0</v>
      </c>
      <c r="AT47" s="23">
        <f t="shared" si="72"/>
        <v>0</v>
      </c>
      <c r="AU47" s="23">
        <f t="shared" si="73"/>
        <v>0</v>
      </c>
      <c r="AV47" s="23">
        <f t="shared" si="74"/>
        <v>8</v>
      </c>
    </row>
    <row r="48" spans="1:48" x14ac:dyDescent="0.25">
      <c r="A48" s="21" t="s">
        <v>47</v>
      </c>
      <c r="B48" s="23">
        <v>1</v>
      </c>
      <c r="C48" s="23">
        <v>0</v>
      </c>
      <c r="D48" s="23">
        <v>0</v>
      </c>
      <c r="E48" s="23">
        <v>0</v>
      </c>
      <c r="F48" s="23">
        <f t="shared" si="63"/>
        <v>1</v>
      </c>
      <c r="H48" s="328">
        <v>2</v>
      </c>
      <c r="I48" s="328"/>
      <c r="J48" s="328"/>
      <c r="K48" s="328"/>
      <c r="L48" s="23">
        <f t="shared" si="64"/>
        <v>2</v>
      </c>
      <c r="N48" s="328">
        <v>1</v>
      </c>
      <c r="O48" s="328"/>
      <c r="P48" s="328"/>
      <c r="Q48" s="328"/>
      <c r="R48" s="23">
        <f t="shared" si="65"/>
        <v>1</v>
      </c>
      <c r="T48" s="328">
        <v>1</v>
      </c>
      <c r="U48" s="328"/>
      <c r="V48" s="328"/>
      <c r="W48" s="328"/>
      <c r="X48" s="23">
        <f t="shared" si="66"/>
        <v>1</v>
      </c>
      <c r="Z48" s="328">
        <v>1.5</v>
      </c>
      <c r="AA48" s="328"/>
      <c r="AB48" s="328"/>
      <c r="AC48" s="328"/>
      <c r="AD48" s="23">
        <f t="shared" si="67"/>
        <v>1.5</v>
      </c>
      <c r="AF48" s="23">
        <v>0</v>
      </c>
      <c r="AG48" s="23">
        <v>0</v>
      </c>
      <c r="AH48" s="23">
        <v>0</v>
      </c>
      <c r="AI48" s="23">
        <v>0</v>
      </c>
      <c r="AJ48" s="23">
        <f t="shared" si="68"/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f t="shared" si="69"/>
        <v>0</v>
      </c>
      <c r="AR48" s="23">
        <f t="shared" si="70"/>
        <v>6.5</v>
      </c>
      <c r="AS48" s="23">
        <f t="shared" si="71"/>
        <v>0</v>
      </c>
      <c r="AT48" s="23">
        <f t="shared" si="72"/>
        <v>0</v>
      </c>
      <c r="AU48" s="23">
        <f t="shared" si="73"/>
        <v>0</v>
      </c>
      <c r="AV48" s="23">
        <f t="shared" si="74"/>
        <v>6.5</v>
      </c>
    </row>
    <row r="49" spans="1:48" x14ac:dyDescent="0.25">
      <c r="A49" s="21" t="s">
        <v>48</v>
      </c>
      <c r="B49" s="23">
        <v>1</v>
      </c>
      <c r="C49" s="23">
        <v>0</v>
      </c>
      <c r="D49" s="23">
        <v>0</v>
      </c>
      <c r="E49" s="23">
        <v>0</v>
      </c>
      <c r="F49" s="23">
        <f t="shared" si="63"/>
        <v>1</v>
      </c>
      <c r="H49" s="328">
        <v>2</v>
      </c>
      <c r="I49" s="328"/>
      <c r="J49" s="328"/>
      <c r="K49" s="328"/>
      <c r="L49" s="23">
        <f t="shared" si="64"/>
        <v>2</v>
      </c>
      <c r="N49" s="328">
        <v>1</v>
      </c>
      <c r="O49" s="328"/>
      <c r="P49" s="328"/>
      <c r="Q49" s="328"/>
      <c r="R49" s="23">
        <f t="shared" si="65"/>
        <v>1</v>
      </c>
      <c r="T49" s="328">
        <v>1</v>
      </c>
      <c r="U49" s="328"/>
      <c r="V49" s="328"/>
      <c r="W49" s="328"/>
      <c r="X49" s="23">
        <f t="shared" si="66"/>
        <v>1</v>
      </c>
      <c r="Z49" s="328">
        <v>2</v>
      </c>
      <c r="AA49" s="328"/>
      <c r="AB49" s="328"/>
      <c r="AC49" s="328"/>
      <c r="AD49" s="23">
        <f t="shared" si="67"/>
        <v>2</v>
      </c>
      <c r="AF49" s="23">
        <v>0</v>
      </c>
      <c r="AG49" s="23">
        <v>0</v>
      </c>
      <c r="AH49" s="23">
        <v>0</v>
      </c>
      <c r="AI49" s="23">
        <v>0</v>
      </c>
      <c r="AJ49" s="23">
        <f t="shared" si="68"/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f t="shared" si="69"/>
        <v>0</v>
      </c>
      <c r="AR49" s="23">
        <f t="shared" si="70"/>
        <v>7</v>
      </c>
      <c r="AS49" s="23">
        <f t="shared" si="71"/>
        <v>0</v>
      </c>
      <c r="AT49" s="23">
        <f t="shared" si="72"/>
        <v>0</v>
      </c>
      <c r="AU49" s="23">
        <f t="shared" si="73"/>
        <v>0</v>
      </c>
      <c r="AV49" s="23">
        <f t="shared" si="74"/>
        <v>7</v>
      </c>
    </row>
    <row r="50" spans="1:48" x14ac:dyDescent="0.25">
      <c r="A50" s="21" t="s">
        <v>49</v>
      </c>
      <c r="B50" s="23">
        <v>1</v>
      </c>
      <c r="C50" s="23">
        <v>0</v>
      </c>
      <c r="D50" s="23">
        <v>0</v>
      </c>
      <c r="E50" s="23">
        <v>0</v>
      </c>
      <c r="F50" s="23">
        <f t="shared" si="63"/>
        <v>1</v>
      </c>
      <c r="H50" s="328">
        <v>2</v>
      </c>
      <c r="I50" s="328"/>
      <c r="J50" s="328"/>
      <c r="K50" s="328"/>
      <c r="L50" s="23">
        <f t="shared" si="64"/>
        <v>2</v>
      </c>
      <c r="N50" s="328">
        <v>1</v>
      </c>
      <c r="O50" s="328"/>
      <c r="P50" s="328"/>
      <c r="Q50" s="328"/>
      <c r="R50" s="23">
        <f t="shared" si="65"/>
        <v>1</v>
      </c>
      <c r="T50" s="328">
        <v>1</v>
      </c>
      <c r="U50" s="328"/>
      <c r="V50" s="328"/>
      <c r="W50" s="328"/>
      <c r="X50" s="23">
        <f t="shared" si="66"/>
        <v>1</v>
      </c>
      <c r="Z50" s="328">
        <v>2</v>
      </c>
      <c r="AA50" s="328"/>
      <c r="AB50" s="328"/>
      <c r="AC50" s="328"/>
      <c r="AD50" s="23">
        <f t="shared" si="67"/>
        <v>2</v>
      </c>
      <c r="AF50" s="23">
        <v>0</v>
      </c>
      <c r="AG50" s="23">
        <v>0</v>
      </c>
      <c r="AH50" s="23">
        <v>0</v>
      </c>
      <c r="AI50" s="23">
        <v>0</v>
      </c>
      <c r="AJ50" s="23">
        <f t="shared" si="68"/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f t="shared" si="69"/>
        <v>0</v>
      </c>
      <c r="AR50" s="23">
        <f t="shared" si="70"/>
        <v>7</v>
      </c>
      <c r="AS50" s="23">
        <f t="shared" si="71"/>
        <v>0</v>
      </c>
      <c r="AT50" s="23">
        <f t="shared" si="72"/>
        <v>0</v>
      </c>
      <c r="AU50" s="23">
        <f t="shared" si="73"/>
        <v>0</v>
      </c>
      <c r="AV50" s="23">
        <f t="shared" si="74"/>
        <v>7</v>
      </c>
    </row>
    <row r="51" spans="1:48" x14ac:dyDescent="0.25">
      <c r="A51" s="21" t="s">
        <v>50</v>
      </c>
      <c r="B51" s="23">
        <v>0</v>
      </c>
      <c r="C51" s="23">
        <v>1.5</v>
      </c>
      <c r="D51" s="23">
        <v>4</v>
      </c>
      <c r="E51" s="23">
        <v>0</v>
      </c>
      <c r="F51" s="23">
        <f t="shared" si="63"/>
        <v>5.5</v>
      </c>
      <c r="H51" s="328">
        <v>0</v>
      </c>
      <c r="I51" s="328">
        <v>4</v>
      </c>
      <c r="J51" s="328">
        <v>13</v>
      </c>
      <c r="K51" s="328">
        <v>0</v>
      </c>
      <c r="L51" s="23">
        <f t="shared" si="64"/>
        <v>17</v>
      </c>
      <c r="N51" s="328">
        <v>0</v>
      </c>
      <c r="O51" s="328">
        <v>4.5</v>
      </c>
      <c r="P51" s="328">
        <v>4</v>
      </c>
      <c r="Q51" s="328">
        <v>0</v>
      </c>
      <c r="R51" s="23">
        <f t="shared" si="65"/>
        <v>8.5</v>
      </c>
      <c r="T51" s="328">
        <v>1.5</v>
      </c>
      <c r="U51" s="328">
        <v>2</v>
      </c>
      <c r="V51" s="328">
        <v>5</v>
      </c>
      <c r="W51" s="328">
        <v>0</v>
      </c>
      <c r="X51" s="23">
        <f t="shared" si="66"/>
        <v>8.5</v>
      </c>
      <c r="Z51" s="328">
        <v>0</v>
      </c>
      <c r="AA51" s="328">
        <v>2</v>
      </c>
      <c r="AB51" s="328">
        <v>10</v>
      </c>
      <c r="AC51" s="328">
        <v>0</v>
      </c>
      <c r="AD51" s="23">
        <f t="shared" si="67"/>
        <v>12</v>
      </c>
      <c r="AF51" s="23">
        <v>1</v>
      </c>
      <c r="AG51" s="23">
        <v>0</v>
      </c>
      <c r="AH51" s="23">
        <v>0</v>
      </c>
      <c r="AI51" s="23">
        <v>0</v>
      </c>
      <c r="AJ51" s="23">
        <f t="shared" si="68"/>
        <v>1</v>
      </c>
      <c r="AL51" s="23">
        <v>0</v>
      </c>
      <c r="AM51" s="23">
        <v>0</v>
      </c>
      <c r="AN51" s="23">
        <v>1</v>
      </c>
      <c r="AO51" s="23">
        <v>0</v>
      </c>
      <c r="AP51" s="23">
        <f t="shared" si="69"/>
        <v>1</v>
      </c>
      <c r="AR51" s="23">
        <f t="shared" si="70"/>
        <v>2.5</v>
      </c>
      <c r="AS51" s="23">
        <f t="shared" si="71"/>
        <v>14</v>
      </c>
      <c r="AT51" s="23">
        <f t="shared" si="72"/>
        <v>37</v>
      </c>
      <c r="AU51" s="23">
        <f t="shared" si="73"/>
        <v>0</v>
      </c>
      <c r="AV51" s="23">
        <f t="shared" si="74"/>
        <v>53.5</v>
      </c>
    </row>
    <row r="52" spans="1:48" x14ac:dyDescent="0.25">
      <c r="A52" s="21" t="s">
        <v>51</v>
      </c>
      <c r="B52" s="23">
        <v>1</v>
      </c>
      <c r="C52" s="23">
        <v>0</v>
      </c>
      <c r="D52" s="23">
        <v>0</v>
      </c>
      <c r="E52" s="23">
        <v>0</v>
      </c>
      <c r="F52" s="23">
        <f t="shared" si="63"/>
        <v>1</v>
      </c>
      <c r="H52" s="328">
        <v>5</v>
      </c>
      <c r="I52" s="328"/>
      <c r="J52" s="328"/>
      <c r="K52" s="328"/>
      <c r="L52" s="23">
        <f t="shared" si="64"/>
        <v>5</v>
      </c>
      <c r="N52" s="328">
        <v>2</v>
      </c>
      <c r="O52" s="328"/>
      <c r="P52" s="328"/>
      <c r="Q52" s="328"/>
      <c r="R52" s="23">
        <f t="shared" si="65"/>
        <v>2</v>
      </c>
      <c r="T52" s="328">
        <v>2</v>
      </c>
      <c r="U52" s="328"/>
      <c r="V52" s="328"/>
      <c r="W52" s="328"/>
      <c r="X52" s="23">
        <f t="shared" si="66"/>
        <v>2</v>
      </c>
      <c r="Z52" s="328">
        <v>4</v>
      </c>
      <c r="AA52" s="328"/>
      <c r="AB52" s="328"/>
      <c r="AC52" s="328"/>
      <c r="AD52" s="23">
        <f t="shared" si="67"/>
        <v>4</v>
      </c>
      <c r="AF52" s="23">
        <v>0</v>
      </c>
      <c r="AG52" s="23">
        <v>0</v>
      </c>
      <c r="AH52" s="23">
        <v>0</v>
      </c>
      <c r="AI52" s="23">
        <v>0</v>
      </c>
      <c r="AJ52" s="23">
        <f t="shared" si="68"/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f t="shared" si="69"/>
        <v>0</v>
      </c>
      <c r="AR52" s="23">
        <f t="shared" si="70"/>
        <v>14</v>
      </c>
      <c r="AS52" s="23">
        <f t="shared" si="71"/>
        <v>0</v>
      </c>
      <c r="AT52" s="23">
        <f t="shared" si="72"/>
        <v>0</v>
      </c>
      <c r="AU52" s="23">
        <f t="shared" si="73"/>
        <v>0</v>
      </c>
      <c r="AV52" s="23">
        <f t="shared" si="74"/>
        <v>14</v>
      </c>
    </row>
    <row r="53" spans="1:48" x14ac:dyDescent="0.25">
      <c r="A53" s="21" t="s">
        <v>52</v>
      </c>
      <c r="B53" s="23">
        <v>0</v>
      </c>
      <c r="C53" s="23">
        <v>0</v>
      </c>
      <c r="D53" s="23">
        <v>0</v>
      </c>
      <c r="E53" s="23">
        <v>1</v>
      </c>
      <c r="F53" s="23">
        <f t="shared" si="63"/>
        <v>1</v>
      </c>
      <c r="H53" s="328">
        <v>0</v>
      </c>
      <c r="I53" s="328"/>
      <c r="J53" s="328"/>
      <c r="K53" s="328">
        <v>3</v>
      </c>
      <c r="L53" s="23">
        <f t="shared" si="64"/>
        <v>3</v>
      </c>
      <c r="N53" s="328"/>
      <c r="O53" s="328"/>
      <c r="P53" s="328"/>
      <c r="Q53" s="328">
        <v>1</v>
      </c>
      <c r="R53" s="23">
        <f t="shared" si="65"/>
        <v>1</v>
      </c>
      <c r="T53" s="328"/>
      <c r="U53" s="328"/>
      <c r="V53" s="328"/>
      <c r="W53" s="328">
        <v>1</v>
      </c>
      <c r="X53" s="23">
        <f t="shared" si="66"/>
        <v>1</v>
      </c>
      <c r="Z53" s="328"/>
      <c r="AA53" s="328"/>
      <c r="AB53" s="328"/>
      <c r="AC53" s="328">
        <v>2</v>
      </c>
      <c r="AD53" s="23">
        <f t="shared" si="67"/>
        <v>2</v>
      </c>
      <c r="AF53" s="23">
        <v>0</v>
      </c>
      <c r="AG53" s="23">
        <v>0</v>
      </c>
      <c r="AH53" s="23">
        <v>0</v>
      </c>
      <c r="AI53" s="23">
        <v>0</v>
      </c>
      <c r="AJ53" s="23">
        <f t="shared" si="68"/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f t="shared" si="69"/>
        <v>0</v>
      </c>
      <c r="AR53" s="23">
        <f t="shared" si="70"/>
        <v>0</v>
      </c>
      <c r="AS53" s="23">
        <f t="shared" si="71"/>
        <v>0</v>
      </c>
      <c r="AT53" s="23">
        <f t="shared" si="72"/>
        <v>0</v>
      </c>
      <c r="AU53" s="23">
        <f t="shared" si="73"/>
        <v>8</v>
      </c>
      <c r="AV53" s="23">
        <f t="shared" si="74"/>
        <v>8</v>
      </c>
    </row>
    <row r="54" spans="1:48" x14ac:dyDescent="0.25">
      <c r="A54" s="21" t="s">
        <v>244</v>
      </c>
      <c r="B54" s="23">
        <v>0</v>
      </c>
      <c r="C54" s="23">
        <v>0</v>
      </c>
      <c r="D54" s="23">
        <v>0</v>
      </c>
      <c r="E54" s="23">
        <v>0</v>
      </c>
      <c r="F54" s="23">
        <f t="shared" si="63"/>
        <v>0</v>
      </c>
      <c r="H54" s="328">
        <v>0</v>
      </c>
      <c r="I54" s="328">
        <v>0</v>
      </c>
      <c r="J54" s="328"/>
      <c r="K54" s="328"/>
      <c r="L54" s="23">
        <f t="shared" si="64"/>
        <v>0</v>
      </c>
      <c r="N54" s="328">
        <v>0</v>
      </c>
      <c r="O54" s="328">
        <v>0</v>
      </c>
      <c r="P54" s="328"/>
      <c r="Q54" s="328"/>
      <c r="R54" s="23">
        <f t="shared" si="65"/>
        <v>0</v>
      </c>
      <c r="T54" s="328">
        <v>0</v>
      </c>
      <c r="U54" s="328">
        <v>0</v>
      </c>
      <c r="V54" s="328"/>
      <c r="W54" s="328"/>
      <c r="X54" s="23">
        <f t="shared" si="66"/>
        <v>0</v>
      </c>
      <c r="Z54" s="328">
        <v>0</v>
      </c>
      <c r="AA54" s="328">
        <v>0</v>
      </c>
      <c r="AB54" s="328"/>
      <c r="AC54" s="328"/>
      <c r="AD54" s="23">
        <f t="shared" si="67"/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f t="shared" si="68"/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f t="shared" si="69"/>
        <v>0</v>
      </c>
      <c r="AR54" s="23">
        <f t="shared" si="70"/>
        <v>0</v>
      </c>
      <c r="AS54" s="23">
        <f t="shared" si="71"/>
        <v>0</v>
      </c>
      <c r="AT54" s="23">
        <f t="shared" si="72"/>
        <v>0</v>
      </c>
      <c r="AU54" s="23">
        <f t="shared" si="73"/>
        <v>0</v>
      </c>
      <c r="AV54" s="23">
        <f t="shared" si="74"/>
        <v>0</v>
      </c>
    </row>
    <row r="55" spans="1:48" x14ac:dyDescent="0.25">
      <c r="A55" s="34" t="s">
        <v>54</v>
      </c>
      <c r="B55" s="23">
        <v>0</v>
      </c>
      <c r="C55" s="23">
        <v>0</v>
      </c>
      <c r="D55" s="23">
        <v>1</v>
      </c>
      <c r="E55" s="23">
        <v>0</v>
      </c>
      <c r="F55" s="23">
        <f t="shared" si="63"/>
        <v>1</v>
      </c>
      <c r="H55" s="328">
        <v>0</v>
      </c>
      <c r="I55" s="328"/>
      <c r="J55" s="328">
        <v>1</v>
      </c>
      <c r="K55" s="328"/>
      <c r="L55" s="23">
        <f t="shared" si="64"/>
        <v>1</v>
      </c>
      <c r="N55" s="328">
        <v>0</v>
      </c>
      <c r="O55" s="328"/>
      <c r="P55" s="328">
        <v>0.33</v>
      </c>
      <c r="Q55" s="328"/>
      <c r="R55" s="23">
        <f t="shared" si="65"/>
        <v>0.33</v>
      </c>
      <c r="T55" s="328">
        <v>0</v>
      </c>
      <c r="U55" s="328"/>
      <c r="V55" s="328">
        <v>1</v>
      </c>
      <c r="W55" s="328"/>
      <c r="X55" s="23">
        <f t="shared" si="66"/>
        <v>1</v>
      </c>
      <c r="Z55" s="328">
        <v>0</v>
      </c>
      <c r="AA55" s="328"/>
      <c r="AB55" s="328">
        <v>0</v>
      </c>
      <c r="AC55" s="328"/>
      <c r="AD55" s="23">
        <f t="shared" si="67"/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f t="shared" si="68"/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f t="shared" si="69"/>
        <v>0</v>
      </c>
      <c r="AR55" s="23">
        <f t="shared" si="70"/>
        <v>0</v>
      </c>
      <c r="AS55" s="23">
        <f t="shared" si="71"/>
        <v>0</v>
      </c>
      <c r="AT55" s="23">
        <f t="shared" si="72"/>
        <v>3.33</v>
      </c>
      <c r="AU55" s="23">
        <f t="shared" si="73"/>
        <v>0</v>
      </c>
      <c r="AV55" s="23">
        <f t="shared" si="74"/>
        <v>3.33</v>
      </c>
    </row>
    <row r="56" spans="1:48" x14ac:dyDescent="0.25">
      <c r="A56" s="34" t="s">
        <v>55</v>
      </c>
      <c r="B56" s="23">
        <v>0</v>
      </c>
      <c r="C56" s="23">
        <v>0</v>
      </c>
      <c r="D56" s="23">
        <v>0</v>
      </c>
      <c r="E56" s="23">
        <v>0</v>
      </c>
      <c r="F56" s="23">
        <f t="shared" si="63"/>
        <v>0</v>
      </c>
      <c r="H56" s="328">
        <v>0</v>
      </c>
      <c r="I56" s="328">
        <v>0</v>
      </c>
      <c r="J56" s="328">
        <v>1</v>
      </c>
      <c r="K56" s="328"/>
      <c r="L56" s="23">
        <f t="shared" si="64"/>
        <v>1</v>
      </c>
      <c r="N56" s="328">
        <v>0</v>
      </c>
      <c r="O56" s="328">
        <v>0</v>
      </c>
      <c r="P56" s="328"/>
      <c r="Q56" s="328"/>
      <c r="R56" s="23">
        <f t="shared" si="65"/>
        <v>0</v>
      </c>
      <c r="T56" s="328">
        <v>0</v>
      </c>
      <c r="U56" s="328">
        <v>0</v>
      </c>
      <c r="V56" s="328">
        <v>1</v>
      </c>
      <c r="W56" s="328"/>
      <c r="X56" s="23">
        <f t="shared" si="66"/>
        <v>1</v>
      </c>
      <c r="Z56" s="328">
        <v>0</v>
      </c>
      <c r="AA56" s="328">
        <v>0</v>
      </c>
      <c r="AB56" s="328">
        <v>0</v>
      </c>
      <c r="AC56" s="328"/>
      <c r="AD56" s="23">
        <f t="shared" si="67"/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f t="shared" si="68"/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f t="shared" si="69"/>
        <v>0</v>
      </c>
      <c r="AR56" s="23">
        <f t="shared" si="70"/>
        <v>0</v>
      </c>
      <c r="AS56" s="23">
        <f t="shared" si="71"/>
        <v>0</v>
      </c>
      <c r="AT56" s="23">
        <f t="shared" si="72"/>
        <v>2</v>
      </c>
      <c r="AU56" s="23">
        <f t="shared" si="73"/>
        <v>0</v>
      </c>
      <c r="AV56" s="23">
        <f t="shared" si="74"/>
        <v>2</v>
      </c>
    </row>
    <row r="57" spans="1:48" x14ac:dyDescent="0.25">
      <c r="A57" s="34" t="s">
        <v>56</v>
      </c>
      <c r="B57" s="23">
        <v>0</v>
      </c>
      <c r="C57" s="23">
        <v>0</v>
      </c>
      <c r="D57" s="23">
        <v>0</v>
      </c>
      <c r="E57" s="23">
        <v>0</v>
      </c>
      <c r="F57" s="23">
        <f t="shared" si="63"/>
        <v>0</v>
      </c>
      <c r="H57" s="328">
        <v>0</v>
      </c>
      <c r="I57" s="328">
        <v>0</v>
      </c>
      <c r="J57" s="328">
        <v>0</v>
      </c>
      <c r="K57" s="328"/>
      <c r="L57" s="23">
        <f t="shared" si="64"/>
        <v>0</v>
      </c>
      <c r="N57" s="328">
        <v>0</v>
      </c>
      <c r="O57" s="328">
        <v>0</v>
      </c>
      <c r="P57" s="328"/>
      <c r="Q57" s="328"/>
      <c r="R57" s="23">
        <f t="shared" si="65"/>
        <v>0</v>
      </c>
      <c r="T57" s="328">
        <v>0</v>
      </c>
      <c r="U57" s="328">
        <v>0</v>
      </c>
      <c r="V57" s="328">
        <v>1</v>
      </c>
      <c r="W57" s="328"/>
      <c r="X57" s="23">
        <f t="shared" si="66"/>
        <v>1</v>
      </c>
      <c r="Z57" s="328">
        <v>0</v>
      </c>
      <c r="AA57" s="328">
        <v>0</v>
      </c>
      <c r="AB57" s="328">
        <v>0.5</v>
      </c>
      <c r="AC57" s="328"/>
      <c r="AD57" s="23">
        <f t="shared" si="67"/>
        <v>0.5</v>
      </c>
      <c r="AF57" s="23">
        <v>0</v>
      </c>
      <c r="AG57" s="23">
        <v>0</v>
      </c>
      <c r="AH57" s="23">
        <v>0</v>
      </c>
      <c r="AI57" s="23">
        <v>0</v>
      </c>
      <c r="AJ57" s="23">
        <f t="shared" si="68"/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f t="shared" si="69"/>
        <v>0</v>
      </c>
      <c r="AR57" s="23">
        <f t="shared" si="70"/>
        <v>0</v>
      </c>
      <c r="AS57" s="23">
        <f t="shared" si="71"/>
        <v>0</v>
      </c>
      <c r="AT57" s="23">
        <f t="shared" si="72"/>
        <v>1.5</v>
      </c>
      <c r="AU57" s="23">
        <f t="shared" si="73"/>
        <v>0</v>
      </c>
      <c r="AV57" s="23">
        <f t="shared" si="74"/>
        <v>1.5</v>
      </c>
    </row>
    <row r="58" spans="1:48" x14ac:dyDescent="0.25">
      <c r="A58" s="34" t="s">
        <v>57</v>
      </c>
      <c r="B58" s="23">
        <v>0</v>
      </c>
      <c r="C58" s="23">
        <v>0</v>
      </c>
      <c r="D58" s="23">
        <v>0</v>
      </c>
      <c r="E58" s="23">
        <v>0</v>
      </c>
      <c r="F58" s="23">
        <f t="shared" si="63"/>
        <v>0</v>
      </c>
      <c r="H58" s="328">
        <v>0</v>
      </c>
      <c r="I58" s="328">
        <v>0</v>
      </c>
      <c r="J58" s="328"/>
      <c r="K58" s="328"/>
      <c r="L58" s="23">
        <f t="shared" si="64"/>
        <v>0</v>
      </c>
      <c r="N58" s="328">
        <v>0</v>
      </c>
      <c r="O58" s="328">
        <v>0</v>
      </c>
      <c r="P58" s="328"/>
      <c r="Q58" s="328"/>
      <c r="R58" s="23">
        <f t="shared" si="65"/>
        <v>0</v>
      </c>
      <c r="T58" s="328">
        <v>0</v>
      </c>
      <c r="U58" s="328">
        <v>0</v>
      </c>
      <c r="V58" s="328">
        <v>0.34</v>
      </c>
      <c r="W58" s="328"/>
      <c r="X58" s="23">
        <f t="shared" si="66"/>
        <v>0.34</v>
      </c>
      <c r="Z58" s="328">
        <v>0</v>
      </c>
      <c r="AA58" s="328">
        <v>0</v>
      </c>
      <c r="AB58" s="328">
        <v>0.33</v>
      </c>
      <c r="AC58" s="328"/>
      <c r="AD58" s="23">
        <f t="shared" si="67"/>
        <v>0.33</v>
      </c>
      <c r="AF58" s="23">
        <v>0</v>
      </c>
      <c r="AG58" s="23">
        <v>0</v>
      </c>
      <c r="AH58" s="23">
        <v>0</v>
      </c>
      <c r="AI58" s="23">
        <v>0</v>
      </c>
      <c r="AJ58" s="23">
        <f t="shared" si="68"/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f t="shared" si="69"/>
        <v>0</v>
      </c>
      <c r="AR58" s="23">
        <f t="shared" si="70"/>
        <v>0</v>
      </c>
      <c r="AS58" s="23">
        <f t="shared" si="71"/>
        <v>0</v>
      </c>
      <c r="AT58" s="23">
        <f t="shared" si="72"/>
        <v>0.67</v>
      </c>
      <c r="AU58" s="23">
        <f t="shared" si="73"/>
        <v>0</v>
      </c>
      <c r="AV58" s="23">
        <f t="shared" si="74"/>
        <v>0.67</v>
      </c>
    </row>
    <row r="59" spans="1:48" x14ac:dyDescent="0.25">
      <c r="A59" s="34" t="s">
        <v>58</v>
      </c>
      <c r="B59" s="23">
        <v>0</v>
      </c>
      <c r="C59" s="23">
        <v>0</v>
      </c>
      <c r="D59" s="23">
        <v>0</v>
      </c>
      <c r="E59" s="23">
        <v>0</v>
      </c>
      <c r="F59" s="23">
        <f t="shared" si="63"/>
        <v>0</v>
      </c>
      <c r="H59" s="328">
        <v>0</v>
      </c>
      <c r="I59" s="328">
        <v>0</v>
      </c>
      <c r="J59" s="328">
        <v>1</v>
      </c>
      <c r="K59" s="328"/>
      <c r="L59" s="23">
        <f t="shared" si="64"/>
        <v>1</v>
      </c>
      <c r="N59" s="328">
        <v>0</v>
      </c>
      <c r="O59" s="328">
        <v>0</v>
      </c>
      <c r="P59" s="328"/>
      <c r="Q59" s="328"/>
      <c r="R59" s="23">
        <f t="shared" si="65"/>
        <v>0</v>
      </c>
      <c r="T59" s="328">
        <v>0</v>
      </c>
      <c r="U59" s="328">
        <v>0</v>
      </c>
      <c r="V59" s="328"/>
      <c r="W59" s="328"/>
      <c r="X59" s="23">
        <f t="shared" si="66"/>
        <v>0</v>
      </c>
      <c r="Z59" s="328">
        <v>0</v>
      </c>
      <c r="AA59" s="328">
        <v>0</v>
      </c>
      <c r="AB59" s="328">
        <v>1</v>
      </c>
      <c r="AC59" s="328"/>
      <c r="AD59" s="23">
        <f t="shared" si="67"/>
        <v>1</v>
      </c>
      <c r="AF59" s="23">
        <v>0</v>
      </c>
      <c r="AG59" s="23">
        <v>0</v>
      </c>
      <c r="AH59" s="23">
        <v>0</v>
      </c>
      <c r="AI59" s="23">
        <v>0</v>
      </c>
      <c r="AJ59" s="23">
        <f t="shared" si="68"/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f t="shared" si="69"/>
        <v>0</v>
      </c>
      <c r="AR59" s="23">
        <f t="shared" si="70"/>
        <v>0</v>
      </c>
      <c r="AS59" s="23">
        <f t="shared" si="71"/>
        <v>0</v>
      </c>
      <c r="AT59" s="23">
        <f t="shared" si="72"/>
        <v>2</v>
      </c>
      <c r="AU59" s="23">
        <f t="shared" si="73"/>
        <v>0</v>
      </c>
      <c r="AV59" s="23">
        <f t="shared" si="74"/>
        <v>2</v>
      </c>
    </row>
    <row r="60" spans="1:48" x14ac:dyDescent="0.25">
      <c r="A60" s="34" t="s">
        <v>59</v>
      </c>
      <c r="B60" s="23">
        <v>0</v>
      </c>
      <c r="C60" s="23">
        <v>0.5</v>
      </c>
      <c r="D60" s="23">
        <v>0</v>
      </c>
      <c r="E60" s="23">
        <v>0</v>
      </c>
      <c r="F60" s="23">
        <f t="shared" si="63"/>
        <v>0.5</v>
      </c>
      <c r="H60" s="328">
        <v>0</v>
      </c>
      <c r="I60" s="328">
        <v>1</v>
      </c>
      <c r="J60" s="328"/>
      <c r="K60" s="328"/>
      <c r="L60" s="23">
        <f t="shared" si="64"/>
        <v>1</v>
      </c>
      <c r="N60" s="328">
        <v>0</v>
      </c>
      <c r="O60" s="328">
        <v>0.5</v>
      </c>
      <c r="P60" s="328"/>
      <c r="Q60" s="328"/>
      <c r="R60" s="23">
        <f t="shared" si="65"/>
        <v>0.5</v>
      </c>
      <c r="T60" s="328">
        <v>0</v>
      </c>
      <c r="U60" s="328">
        <v>1.5</v>
      </c>
      <c r="V60" s="328"/>
      <c r="W60" s="328"/>
      <c r="X60" s="23">
        <f t="shared" si="66"/>
        <v>1.5</v>
      </c>
      <c r="Z60" s="328">
        <v>0</v>
      </c>
      <c r="AA60" s="328">
        <v>1.5</v>
      </c>
      <c r="AB60" s="328"/>
      <c r="AC60" s="328"/>
      <c r="AD60" s="23">
        <f t="shared" si="67"/>
        <v>1.5</v>
      </c>
      <c r="AF60" s="23">
        <v>0</v>
      </c>
      <c r="AG60" s="23">
        <v>0.5</v>
      </c>
      <c r="AH60" s="23">
        <v>0</v>
      </c>
      <c r="AI60" s="23">
        <v>0</v>
      </c>
      <c r="AJ60" s="23">
        <f t="shared" si="68"/>
        <v>0.5</v>
      </c>
      <c r="AL60" s="23">
        <v>0</v>
      </c>
      <c r="AM60" s="23">
        <v>0</v>
      </c>
      <c r="AN60" s="23">
        <v>0</v>
      </c>
      <c r="AO60" s="23">
        <v>0</v>
      </c>
      <c r="AP60" s="23">
        <f t="shared" si="69"/>
        <v>0</v>
      </c>
      <c r="AR60" s="23">
        <f t="shared" si="70"/>
        <v>0</v>
      </c>
      <c r="AS60" s="23">
        <f t="shared" si="71"/>
        <v>5.5</v>
      </c>
      <c r="AT60" s="23">
        <f t="shared" si="72"/>
        <v>0</v>
      </c>
      <c r="AU60" s="23">
        <f t="shared" si="73"/>
        <v>0</v>
      </c>
      <c r="AV60" s="23">
        <f t="shared" si="74"/>
        <v>5.5</v>
      </c>
    </row>
    <row r="61" spans="1:48" x14ac:dyDescent="0.25">
      <c r="A61" s="35" t="s">
        <v>245</v>
      </c>
      <c r="B61" s="23">
        <v>0</v>
      </c>
      <c r="C61" s="23">
        <v>0</v>
      </c>
      <c r="D61" s="23">
        <v>0</v>
      </c>
      <c r="E61" s="23">
        <v>0</v>
      </c>
      <c r="F61" s="23">
        <f t="shared" si="63"/>
        <v>0</v>
      </c>
      <c r="H61" s="23">
        <v>0</v>
      </c>
      <c r="I61" s="23">
        <v>0</v>
      </c>
      <c r="J61" s="23">
        <v>0</v>
      </c>
      <c r="K61" s="23">
        <v>0</v>
      </c>
      <c r="L61" s="23">
        <f t="shared" si="64"/>
        <v>0</v>
      </c>
      <c r="N61" s="23">
        <v>0</v>
      </c>
      <c r="O61" s="23">
        <v>0</v>
      </c>
      <c r="P61" s="23">
        <v>0</v>
      </c>
      <c r="Q61" s="23">
        <v>0</v>
      </c>
      <c r="R61" s="23">
        <f t="shared" si="65"/>
        <v>0</v>
      </c>
      <c r="T61" s="328">
        <v>0</v>
      </c>
      <c r="U61" s="328">
        <v>0</v>
      </c>
      <c r="V61" s="328"/>
      <c r="W61" s="328"/>
      <c r="X61" s="23">
        <f t="shared" si="66"/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f t="shared" si="67"/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f t="shared" si="68"/>
        <v>0</v>
      </c>
      <c r="AL61" s="23">
        <v>1</v>
      </c>
      <c r="AM61" s="23">
        <v>0</v>
      </c>
      <c r="AN61" s="23">
        <v>0</v>
      </c>
      <c r="AO61" s="23">
        <v>0</v>
      </c>
      <c r="AP61" s="23">
        <f t="shared" si="69"/>
        <v>1</v>
      </c>
      <c r="AR61" s="23">
        <f t="shared" si="70"/>
        <v>1</v>
      </c>
      <c r="AS61" s="23">
        <f t="shared" si="71"/>
        <v>0</v>
      </c>
      <c r="AT61" s="23">
        <f t="shared" si="72"/>
        <v>0</v>
      </c>
      <c r="AU61" s="23">
        <f t="shared" si="73"/>
        <v>0</v>
      </c>
      <c r="AV61" s="23">
        <f t="shared" si="74"/>
        <v>1</v>
      </c>
    </row>
    <row r="62" spans="1:48" x14ac:dyDescent="0.25">
      <c r="A62" s="29" t="s">
        <v>60</v>
      </c>
      <c r="B62" s="30">
        <f>SUM(B42:B61)</f>
        <v>9</v>
      </c>
      <c r="C62" s="30">
        <f t="shared" ref="C62:F62" si="75">SUM(C42:C61)</f>
        <v>3</v>
      </c>
      <c r="D62" s="30">
        <f t="shared" si="75"/>
        <v>5</v>
      </c>
      <c r="E62" s="30">
        <f t="shared" si="75"/>
        <v>1</v>
      </c>
      <c r="F62" s="30">
        <f t="shared" si="75"/>
        <v>18</v>
      </c>
      <c r="H62" s="30">
        <f>SUM(H42:H61)</f>
        <v>24</v>
      </c>
      <c r="I62" s="30">
        <f t="shared" ref="I62:L62" si="76">SUM(I42:I61)</f>
        <v>6</v>
      </c>
      <c r="J62" s="30">
        <f t="shared" si="76"/>
        <v>16</v>
      </c>
      <c r="K62" s="30">
        <f t="shared" si="76"/>
        <v>3</v>
      </c>
      <c r="L62" s="30">
        <f t="shared" si="76"/>
        <v>49</v>
      </c>
      <c r="N62" s="30">
        <f>SUM(N42:N61)</f>
        <v>11</v>
      </c>
      <c r="O62" s="30">
        <f t="shared" ref="O62:R62" si="77">SUM(O42:O61)</f>
        <v>5</v>
      </c>
      <c r="P62" s="30">
        <f t="shared" si="77"/>
        <v>4.33</v>
      </c>
      <c r="Q62" s="30">
        <f t="shared" si="77"/>
        <v>1</v>
      </c>
      <c r="R62" s="30">
        <f t="shared" si="77"/>
        <v>21.33</v>
      </c>
      <c r="T62" s="30">
        <f>SUM(T42:T61)</f>
        <v>13.5</v>
      </c>
      <c r="U62" s="30">
        <f t="shared" ref="U62:X62" si="78">SUM(U42:U61)</f>
        <v>3.5</v>
      </c>
      <c r="V62" s="30">
        <f t="shared" si="78"/>
        <v>8.34</v>
      </c>
      <c r="W62" s="30">
        <f t="shared" si="78"/>
        <v>1</v>
      </c>
      <c r="X62" s="30">
        <f t="shared" si="78"/>
        <v>26.34</v>
      </c>
      <c r="Z62" s="30">
        <f>SUM(Z42:Z61)</f>
        <v>19.5</v>
      </c>
      <c r="AA62" s="30">
        <f t="shared" ref="AA62:AD62" si="79">SUM(AA42:AA61)</f>
        <v>3.5</v>
      </c>
      <c r="AB62" s="30">
        <f t="shared" si="79"/>
        <v>12.83</v>
      </c>
      <c r="AC62" s="30">
        <f t="shared" si="79"/>
        <v>2</v>
      </c>
      <c r="AD62" s="30">
        <f t="shared" si="79"/>
        <v>37.83</v>
      </c>
      <c r="AF62" s="30">
        <f>SUM(AF42:AF61)</f>
        <v>3</v>
      </c>
      <c r="AG62" s="30">
        <f t="shared" ref="AG62:AJ62" si="80">SUM(AG42:AG61)</f>
        <v>0.5</v>
      </c>
      <c r="AH62" s="30">
        <f t="shared" si="80"/>
        <v>0</v>
      </c>
      <c r="AI62" s="30">
        <f t="shared" si="80"/>
        <v>0</v>
      </c>
      <c r="AJ62" s="30">
        <f t="shared" si="80"/>
        <v>3.5</v>
      </c>
      <c r="AL62" s="30">
        <f>SUM(AL42:AL61)</f>
        <v>1</v>
      </c>
      <c r="AM62" s="30">
        <f t="shared" ref="AM62:AP62" si="81">SUM(AM42:AM61)</f>
        <v>0</v>
      </c>
      <c r="AN62" s="30">
        <f t="shared" si="81"/>
        <v>1</v>
      </c>
      <c r="AO62" s="30">
        <f t="shared" si="81"/>
        <v>0</v>
      </c>
      <c r="AP62" s="30">
        <f t="shared" si="81"/>
        <v>2</v>
      </c>
      <c r="AR62" s="30">
        <f>SUM(AR42:AR61)</f>
        <v>81</v>
      </c>
      <c r="AS62" s="30">
        <f t="shared" ref="AS62:AV62" si="82">SUM(AS42:AS61)</f>
        <v>21.5</v>
      </c>
      <c r="AT62" s="30">
        <f t="shared" si="82"/>
        <v>47.5</v>
      </c>
      <c r="AU62" s="30">
        <f t="shared" si="82"/>
        <v>8</v>
      </c>
      <c r="AV62" s="30">
        <f t="shared" si="82"/>
        <v>158</v>
      </c>
    </row>
    <row r="63" spans="1:48" ht="15.75" thickBot="1" x14ac:dyDescent="0.3">
      <c r="A63" s="36"/>
      <c r="B63" s="38"/>
      <c r="C63" s="38"/>
      <c r="D63" s="38"/>
      <c r="E63" s="38"/>
      <c r="F63" s="38"/>
      <c r="H63" s="38"/>
      <c r="I63" s="38"/>
      <c r="J63" s="38"/>
      <c r="K63" s="38"/>
      <c r="L63" s="38"/>
      <c r="N63" s="38"/>
      <c r="O63" s="38"/>
      <c r="P63" s="38"/>
      <c r="Q63" s="38"/>
      <c r="R63" s="38"/>
      <c r="T63" s="38"/>
      <c r="U63" s="38"/>
      <c r="V63" s="38"/>
      <c r="W63" s="38"/>
      <c r="X63" s="38"/>
      <c r="Z63" s="38"/>
      <c r="AA63" s="38"/>
      <c r="AB63" s="38"/>
      <c r="AC63" s="38"/>
      <c r="AD63" s="38"/>
      <c r="AF63" s="38"/>
      <c r="AG63" s="38"/>
      <c r="AH63" s="38"/>
      <c r="AI63" s="38"/>
      <c r="AJ63" s="38"/>
      <c r="AL63" s="38"/>
      <c r="AM63" s="38"/>
      <c r="AN63" s="38"/>
      <c r="AO63" s="38"/>
      <c r="AP63" s="38"/>
      <c r="AR63" s="38"/>
      <c r="AS63" s="38"/>
      <c r="AT63" s="38"/>
      <c r="AU63" s="38"/>
      <c r="AV63" s="38"/>
    </row>
    <row r="64" spans="1:48" x14ac:dyDescent="0.25">
      <c r="A64" s="40" t="s">
        <v>61</v>
      </c>
      <c r="B64" s="39">
        <f>B39</f>
        <v>40.5</v>
      </c>
      <c r="C64" s="39">
        <f>C39</f>
        <v>0</v>
      </c>
      <c r="D64" s="39">
        <f>D39</f>
        <v>4</v>
      </c>
      <c r="E64" s="39">
        <f t="shared" ref="E64" si="83">E39</f>
        <v>0</v>
      </c>
      <c r="F64" s="39">
        <f>F39</f>
        <v>44.5</v>
      </c>
      <c r="H64" s="39">
        <f>H39</f>
        <v>90</v>
      </c>
      <c r="I64" s="39">
        <f>I39</f>
        <v>0</v>
      </c>
      <c r="J64" s="39">
        <f>J39</f>
        <v>13</v>
      </c>
      <c r="K64" s="39">
        <f t="shared" ref="K64" si="84">K39</f>
        <v>0</v>
      </c>
      <c r="L64" s="39">
        <f>L39</f>
        <v>103</v>
      </c>
      <c r="N64" s="39">
        <f>N39</f>
        <v>43</v>
      </c>
      <c r="O64" s="39">
        <f>O39</f>
        <v>0</v>
      </c>
      <c r="P64" s="39">
        <f>P39</f>
        <v>4</v>
      </c>
      <c r="Q64" s="39">
        <f t="shared" ref="Q64" si="85">Q39</f>
        <v>0</v>
      </c>
      <c r="R64" s="39">
        <f>R39</f>
        <v>47</v>
      </c>
      <c r="T64" s="39">
        <f>T39</f>
        <v>53</v>
      </c>
      <c r="U64" s="39">
        <f>U39</f>
        <v>0</v>
      </c>
      <c r="V64" s="39">
        <f>V39</f>
        <v>5</v>
      </c>
      <c r="W64" s="39">
        <f t="shared" ref="W64" si="86">W39</f>
        <v>0</v>
      </c>
      <c r="X64" s="39">
        <f>X39</f>
        <v>58</v>
      </c>
      <c r="Z64" s="39">
        <f>Z39</f>
        <v>85</v>
      </c>
      <c r="AA64" s="39">
        <f>AA39</f>
        <v>0</v>
      </c>
      <c r="AB64" s="39">
        <f>AB39</f>
        <v>10</v>
      </c>
      <c r="AC64" s="39">
        <f t="shared" ref="AC64" si="87">AC39</f>
        <v>0</v>
      </c>
      <c r="AD64" s="39">
        <f>AD39</f>
        <v>95</v>
      </c>
      <c r="AF64" s="39">
        <f>AF39</f>
        <v>0</v>
      </c>
      <c r="AG64" s="39">
        <f>AG39</f>
        <v>0</v>
      </c>
      <c r="AH64" s="39">
        <f>AH39</f>
        <v>0</v>
      </c>
      <c r="AI64" s="39">
        <f t="shared" ref="AI64" si="88">AI39</f>
        <v>0</v>
      </c>
      <c r="AJ64" s="39">
        <f>AJ39</f>
        <v>0</v>
      </c>
      <c r="AL64" s="39">
        <f>AL39</f>
        <v>0</v>
      </c>
      <c r="AM64" s="39">
        <f>AM39</f>
        <v>0</v>
      </c>
      <c r="AN64" s="39">
        <f>AN39</f>
        <v>0</v>
      </c>
      <c r="AO64" s="39">
        <f t="shared" ref="AO64" si="89">AO39</f>
        <v>0</v>
      </c>
      <c r="AP64" s="39">
        <f>AP39</f>
        <v>0</v>
      </c>
      <c r="AR64" s="39">
        <f>AR39</f>
        <v>311.5</v>
      </c>
      <c r="AS64" s="39">
        <f>AS39</f>
        <v>0</v>
      </c>
      <c r="AT64" s="39">
        <f>AT39</f>
        <v>36</v>
      </c>
      <c r="AU64" s="39">
        <f t="shared" ref="AU64" si="90">AU39</f>
        <v>0</v>
      </c>
      <c r="AV64" s="39">
        <f>AV39</f>
        <v>347.5</v>
      </c>
    </row>
    <row r="65" spans="1:48" ht="15.75" thickBot="1" x14ac:dyDescent="0.3">
      <c r="A65" s="42" t="s">
        <v>62</v>
      </c>
      <c r="B65" s="41">
        <f>B62</f>
        <v>9</v>
      </c>
      <c r="C65" s="41">
        <f>C62</f>
        <v>3</v>
      </c>
      <c r="D65" s="41">
        <f>D62</f>
        <v>5</v>
      </c>
      <c r="E65" s="41">
        <f t="shared" ref="E65:F65" si="91">E62</f>
        <v>1</v>
      </c>
      <c r="F65" s="41">
        <f t="shared" si="91"/>
        <v>18</v>
      </c>
      <c r="H65" s="41">
        <f>H62</f>
        <v>24</v>
      </c>
      <c r="I65" s="41">
        <f>I62</f>
        <v>6</v>
      </c>
      <c r="J65" s="41">
        <f>J62</f>
        <v>16</v>
      </c>
      <c r="K65" s="41">
        <f t="shared" ref="K65:L65" si="92">K62</f>
        <v>3</v>
      </c>
      <c r="L65" s="41">
        <f t="shared" si="92"/>
        <v>49</v>
      </c>
      <c r="N65" s="41">
        <f>N62</f>
        <v>11</v>
      </c>
      <c r="O65" s="41">
        <f>O62</f>
        <v>5</v>
      </c>
      <c r="P65" s="41">
        <f>P62</f>
        <v>4.33</v>
      </c>
      <c r="Q65" s="41">
        <f t="shared" ref="Q65:R65" si="93">Q62</f>
        <v>1</v>
      </c>
      <c r="R65" s="41">
        <f t="shared" si="93"/>
        <v>21.33</v>
      </c>
      <c r="T65" s="41">
        <f>T62</f>
        <v>13.5</v>
      </c>
      <c r="U65" s="41">
        <f>U62</f>
        <v>3.5</v>
      </c>
      <c r="V65" s="41">
        <f>V62</f>
        <v>8.34</v>
      </c>
      <c r="W65" s="41">
        <f t="shared" ref="W65:X65" si="94">W62</f>
        <v>1</v>
      </c>
      <c r="X65" s="41">
        <f t="shared" si="94"/>
        <v>26.34</v>
      </c>
      <c r="Z65" s="41">
        <f>Z62</f>
        <v>19.5</v>
      </c>
      <c r="AA65" s="41">
        <f>AA62</f>
        <v>3.5</v>
      </c>
      <c r="AB65" s="41">
        <f>AB62</f>
        <v>12.83</v>
      </c>
      <c r="AC65" s="41">
        <f t="shared" ref="AC65:AD65" si="95">AC62</f>
        <v>2</v>
      </c>
      <c r="AD65" s="41">
        <f t="shared" si="95"/>
        <v>37.83</v>
      </c>
      <c r="AF65" s="41">
        <f>AF62</f>
        <v>3</v>
      </c>
      <c r="AG65" s="41">
        <f>AG62</f>
        <v>0.5</v>
      </c>
      <c r="AH65" s="41">
        <f>AH62</f>
        <v>0</v>
      </c>
      <c r="AI65" s="41">
        <f t="shared" ref="AI65:AJ65" si="96">AI62</f>
        <v>0</v>
      </c>
      <c r="AJ65" s="41">
        <f t="shared" si="96"/>
        <v>3.5</v>
      </c>
      <c r="AL65" s="41">
        <f>AL62</f>
        <v>1</v>
      </c>
      <c r="AM65" s="41">
        <f>AM62</f>
        <v>0</v>
      </c>
      <c r="AN65" s="41">
        <f>AN62</f>
        <v>1</v>
      </c>
      <c r="AO65" s="41">
        <f t="shared" ref="AO65:AP65" si="97">AO62</f>
        <v>0</v>
      </c>
      <c r="AP65" s="41">
        <f t="shared" si="97"/>
        <v>2</v>
      </c>
      <c r="AR65" s="41">
        <f>AR62</f>
        <v>81</v>
      </c>
      <c r="AS65" s="41">
        <f>AS62</f>
        <v>21.5</v>
      </c>
      <c r="AT65" s="41">
        <f>AT62</f>
        <v>47.5</v>
      </c>
      <c r="AU65" s="41">
        <f t="shared" ref="AU65:AV65" si="98">AU62</f>
        <v>8</v>
      </c>
      <c r="AV65" s="41">
        <f t="shared" si="98"/>
        <v>158</v>
      </c>
    </row>
    <row r="66" spans="1:48" ht="15.75" thickBot="1" x14ac:dyDescent="0.3">
      <c r="A66" s="44" t="s">
        <v>63</v>
      </c>
      <c r="B66" s="43">
        <f>SUM(B64:B65)</f>
        <v>49.5</v>
      </c>
      <c r="C66" s="43">
        <f>SUM(C64:C65)</f>
        <v>3</v>
      </c>
      <c r="D66" s="43">
        <f>SUM(D64:D65)</f>
        <v>9</v>
      </c>
      <c r="E66" s="43">
        <f t="shared" ref="E66:F66" si="99">SUM(E64:E65)</f>
        <v>1</v>
      </c>
      <c r="F66" s="43">
        <f t="shared" si="99"/>
        <v>62.5</v>
      </c>
      <c r="H66" s="43">
        <f>SUM(H64:H65)</f>
        <v>114</v>
      </c>
      <c r="I66" s="43">
        <f>SUM(I64:I65)</f>
        <v>6</v>
      </c>
      <c r="J66" s="43">
        <f>SUM(J64:J65)</f>
        <v>29</v>
      </c>
      <c r="K66" s="43">
        <f t="shared" ref="K66:L66" si="100">SUM(K64:K65)</f>
        <v>3</v>
      </c>
      <c r="L66" s="43">
        <f t="shared" si="100"/>
        <v>152</v>
      </c>
      <c r="N66" s="43">
        <f>SUM(N64:N65)</f>
        <v>54</v>
      </c>
      <c r="O66" s="43">
        <f>SUM(O64:O65)</f>
        <v>5</v>
      </c>
      <c r="P66" s="43">
        <f>SUM(P64:P65)</f>
        <v>8.33</v>
      </c>
      <c r="Q66" s="43">
        <f t="shared" ref="Q66:R66" si="101">SUM(Q64:Q65)</f>
        <v>1</v>
      </c>
      <c r="R66" s="43">
        <f t="shared" si="101"/>
        <v>68.33</v>
      </c>
      <c r="T66" s="43">
        <f>SUM(T64:T65)</f>
        <v>66.5</v>
      </c>
      <c r="U66" s="43">
        <f>SUM(U64:U65)</f>
        <v>3.5</v>
      </c>
      <c r="V66" s="43">
        <f>SUM(V64:V65)</f>
        <v>13.34</v>
      </c>
      <c r="W66" s="43">
        <f t="shared" ref="W66:X66" si="102">SUM(W64:W65)</f>
        <v>1</v>
      </c>
      <c r="X66" s="43">
        <f t="shared" si="102"/>
        <v>84.34</v>
      </c>
      <c r="Z66" s="43">
        <f>SUM(Z64:Z65)</f>
        <v>104.5</v>
      </c>
      <c r="AA66" s="43">
        <f>SUM(AA64:AA65)</f>
        <v>3.5</v>
      </c>
      <c r="AB66" s="43">
        <f>SUM(AB64:AB65)</f>
        <v>22.83</v>
      </c>
      <c r="AC66" s="43">
        <f t="shared" ref="AC66:AD66" si="103">SUM(AC64:AC65)</f>
        <v>2</v>
      </c>
      <c r="AD66" s="43">
        <f t="shared" si="103"/>
        <v>132.82999999999998</v>
      </c>
      <c r="AF66" s="43">
        <f>SUM(AF64:AF65)</f>
        <v>3</v>
      </c>
      <c r="AG66" s="43">
        <f>SUM(AG64:AG65)</f>
        <v>0.5</v>
      </c>
      <c r="AH66" s="43">
        <f>SUM(AH64:AH65)</f>
        <v>0</v>
      </c>
      <c r="AI66" s="43">
        <f t="shared" ref="AI66:AJ66" si="104">SUM(AI64:AI65)</f>
        <v>0</v>
      </c>
      <c r="AJ66" s="43">
        <f t="shared" si="104"/>
        <v>3.5</v>
      </c>
      <c r="AL66" s="43">
        <f>SUM(AL64:AL65)</f>
        <v>1</v>
      </c>
      <c r="AM66" s="43">
        <f>SUM(AM64:AM65)</f>
        <v>0</v>
      </c>
      <c r="AN66" s="43">
        <f>SUM(AN64:AN65)</f>
        <v>1</v>
      </c>
      <c r="AO66" s="43">
        <f t="shared" ref="AO66:AP66" si="105">SUM(AO64:AO65)</f>
        <v>0</v>
      </c>
      <c r="AP66" s="43">
        <f t="shared" si="105"/>
        <v>2</v>
      </c>
      <c r="AR66" s="43">
        <f>SUM(AR64:AR65)</f>
        <v>392.5</v>
      </c>
      <c r="AS66" s="43">
        <f>SUM(AS64:AS65)</f>
        <v>21.5</v>
      </c>
      <c r="AT66" s="43">
        <f>SUM(AT64:AT65)</f>
        <v>83.5</v>
      </c>
      <c r="AU66" s="43">
        <f t="shared" ref="AU66:AV66" si="106">SUM(AU64:AU65)</f>
        <v>8</v>
      </c>
      <c r="AV66" s="43">
        <f t="shared" si="106"/>
        <v>505.5</v>
      </c>
    </row>
    <row r="67" spans="1:48" ht="15.75" thickBot="1" x14ac:dyDescent="0.3">
      <c r="A67" s="34"/>
      <c r="B67" s="45"/>
      <c r="C67" s="45"/>
      <c r="D67" s="45"/>
      <c r="E67" s="45"/>
      <c r="F67" s="45"/>
      <c r="H67" s="45"/>
      <c r="I67" s="45"/>
      <c r="J67" s="45"/>
      <c r="K67" s="45"/>
      <c r="L67" s="45"/>
      <c r="N67" s="45"/>
      <c r="O67" s="45"/>
      <c r="P67" s="45"/>
      <c r="Q67" s="45"/>
      <c r="R67" s="45"/>
      <c r="T67" s="45"/>
      <c r="U67" s="45"/>
      <c r="V67" s="45"/>
      <c r="W67" s="45"/>
      <c r="X67" s="45"/>
      <c r="Z67" s="45"/>
      <c r="AA67" s="45"/>
      <c r="AB67" s="45"/>
      <c r="AC67" s="45"/>
      <c r="AD67" s="45"/>
      <c r="AF67" s="45"/>
      <c r="AG67" s="45"/>
      <c r="AH67" s="45"/>
      <c r="AI67" s="45"/>
      <c r="AJ67" s="45"/>
      <c r="AL67" s="45"/>
      <c r="AM67" s="45"/>
      <c r="AN67" s="45"/>
      <c r="AO67" s="45"/>
      <c r="AP67" s="45"/>
      <c r="AR67" s="45"/>
      <c r="AS67" s="45"/>
      <c r="AT67" s="45"/>
      <c r="AU67" s="45"/>
      <c r="AV67" s="45"/>
    </row>
    <row r="68" spans="1:48" x14ac:dyDescent="0.25">
      <c r="A68" s="47" t="s">
        <v>64</v>
      </c>
      <c r="B68" s="46"/>
      <c r="C68" s="46"/>
      <c r="D68" s="46"/>
      <c r="E68" s="46"/>
      <c r="F68" s="46">
        <f>F139/(SUM(F207:F217))</f>
        <v>0.63522966621145527</v>
      </c>
      <c r="H68" s="46"/>
      <c r="I68" s="46"/>
      <c r="J68" s="46"/>
      <c r="K68" s="46"/>
      <c r="L68" s="46">
        <f>L139/(SUM(L207:L217))</f>
        <v>0.61381450629608436</v>
      </c>
      <c r="N68" s="46"/>
      <c r="O68" s="46"/>
      <c r="P68" s="46"/>
      <c r="Q68" s="46"/>
      <c r="R68" s="46">
        <f>R139/(SUM(R207:R217))</f>
        <v>0.64390415003409129</v>
      </c>
      <c r="T68" s="46"/>
      <c r="U68" s="46"/>
      <c r="V68" s="46"/>
      <c r="W68" s="46"/>
      <c r="X68" s="46">
        <f>X139/(SUM(X207:X217))</f>
        <v>0.66679449640808497</v>
      </c>
      <c r="Z68" s="46"/>
      <c r="AA68" s="46"/>
      <c r="AB68" s="46"/>
      <c r="AC68" s="46"/>
      <c r="AD68" s="46">
        <f>AD139/(SUM(AD207:AD217))</f>
        <v>0.59058110192939151</v>
      </c>
      <c r="AF68" s="46"/>
      <c r="AG68" s="46"/>
      <c r="AH68" s="46"/>
      <c r="AI68" s="46"/>
      <c r="AJ68" s="46">
        <f>AJ139/(SUM(AJ207:AJ217))</f>
        <v>0.98616928781187274</v>
      </c>
      <c r="AL68" s="46"/>
      <c r="AM68" s="46"/>
      <c r="AN68" s="46"/>
      <c r="AO68" s="46"/>
      <c r="AP68" s="46">
        <f>AP139/(SUM(AP207:AP217))</f>
        <v>0.37297739400841706</v>
      </c>
      <c r="AR68" s="46"/>
      <c r="AS68" s="46"/>
      <c r="AT68" s="46"/>
      <c r="AU68" s="46"/>
      <c r="AV68" s="46">
        <f>AV139/(SUM(AV207:AV217))</f>
        <v>0.62155748551434775</v>
      </c>
    </row>
    <row r="69" spans="1:48" x14ac:dyDescent="0.25">
      <c r="A69" s="49" t="s">
        <v>65</v>
      </c>
      <c r="B69" s="48"/>
      <c r="C69" s="48"/>
      <c r="D69" s="48"/>
      <c r="E69" s="48"/>
      <c r="F69" s="48">
        <f t="shared" ref="F69" si="107">(F108+F109+F110+F113)/F129</f>
        <v>0.74738288196887526</v>
      </c>
      <c r="H69" s="48"/>
      <c r="I69" s="48"/>
      <c r="J69" s="48"/>
      <c r="K69" s="48"/>
      <c r="L69" s="48">
        <f t="shared" ref="L69" si="108">(L108+L109+L110+L113)/L129</f>
        <v>0.74788893376520627</v>
      </c>
      <c r="N69" s="48"/>
      <c r="O69" s="48"/>
      <c r="P69" s="48"/>
      <c r="Q69" s="48"/>
      <c r="R69" s="48">
        <f t="shared" ref="R69" si="109">(R108+R109+R110+R113)/R129</f>
        <v>0.75996049398612397</v>
      </c>
      <c r="T69" s="48"/>
      <c r="U69" s="48"/>
      <c r="V69" s="48"/>
      <c r="W69" s="48"/>
      <c r="X69" s="48">
        <f t="shared" ref="X69" si="110">(X108+X109+X110+X113)/X129</f>
        <v>0.76853114721069282</v>
      </c>
      <c r="Z69" s="48"/>
      <c r="AA69" s="48"/>
      <c r="AB69" s="48"/>
      <c r="AC69" s="48"/>
      <c r="AD69" s="48">
        <f t="shared" ref="AD69" si="111">(AD108+AD109+AD110+AD113)/AD129</f>
        <v>0.78210359235225702</v>
      </c>
      <c r="AF69" s="48"/>
      <c r="AG69" s="48"/>
      <c r="AH69" s="48"/>
      <c r="AI69" s="48"/>
      <c r="AJ69" s="48">
        <f t="shared" ref="AJ69" si="112">(AJ108+AJ109+AJ110+AJ113)/AJ129</f>
        <v>8.1003543905045841E-2</v>
      </c>
      <c r="AL69" s="48"/>
      <c r="AM69" s="48"/>
      <c r="AN69" s="48"/>
      <c r="AO69" s="48"/>
      <c r="AP69" s="48">
        <f t="shared" ref="AP69" si="113">(AP108+AP109+AP110+AP113)/AP129</f>
        <v>0.25149700598802394</v>
      </c>
      <c r="AR69" s="48"/>
      <c r="AS69" s="48"/>
      <c r="AT69" s="48"/>
      <c r="AU69" s="48"/>
      <c r="AV69" s="48">
        <f t="shared" ref="AV69" si="114">(AV108+AV109+AV110+AV113)/AV129</f>
        <v>0.75477369912462755</v>
      </c>
    </row>
    <row r="70" spans="1:48" x14ac:dyDescent="0.25">
      <c r="A70" s="51" t="s">
        <v>66</v>
      </c>
      <c r="B70" s="48"/>
      <c r="C70" s="48"/>
      <c r="D70" s="48"/>
      <c r="E70" s="48"/>
      <c r="F70" s="48">
        <f t="shared" ref="F70" si="115">(F103+F104+F106+F107+F111+F112+F114+F115+F118+F119+F120+F121+F122+F105+F123+F124+F125+F126+F127)/F129</f>
        <v>0.25261711803112474</v>
      </c>
      <c r="H70" s="48"/>
      <c r="I70" s="48"/>
      <c r="J70" s="48"/>
      <c r="K70" s="48"/>
      <c r="L70" s="48">
        <f t="shared" ref="L70" si="116">(L103+L104+L106+L107+L111+L112+L114+L115+L118+L119+L120+L121+L122+L105+L123+L124+L125+L126+L127)/L129</f>
        <v>0.25211106623479379</v>
      </c>
      <c r="N70" s="48"/>
      <c r="O70" s="48"/>
      <c r="P70" s="48"/>
      <c r="Q70" s="48"/>
      <c r="R70" s="48">
        <f t="shared" ref="R70" si="117">(R103+R104+R106+R107+R111+R112+R114+R115+R118+R119+R120+R121+R122+R105+R123+R124+R125+R126+R127)/R129</f>
        <v>0.24003950601387619</v>
      </c>
      <c r="T70" s="48"/>
      <c r="U70" s="48"/>
      <c r="V70" s="48"/>
      <c r="W70" s="48"/>
      <c r="X70" s="48">
        <f t="shared" ref="X70" si="118">(X103+X104+X106+X107+X111+X112+X114+X115+X118+X119+X120+X121+X122+X105+X123+X124+X125+X126+X127)/X129</f>
        <v>0.23146885278930715</v>
      </c>
      <c r="Z70" s="48"/>
      <c r="AA70" s="48"/>
      <c r="AB70" s="48"/>
      <c r="AC70" s="48"/>
      <c r="AD70" s="48">
        <f t="shared" ref="AD70" si="119">(AD103+AD104+AD106+AD107+AD111+AD112+AD114+AD115+AD118+AD119+AD120+AD121+AD122+AD105+AD123+AD124+AD125+AD126+AD127)/AD129</f>
        <v>0.21789640764774304</v>
      </c>
      <c r="AF70" s="48"/>
      <c r="AG70" s="48"/>
      <c r="AH70" s="48"/>
      <c r="AI70" s="48"/>
      <c r="AJ70" s="48">
        <f t="shared" ref="AJ70" si="120">(AJ103+AJ104+AJ106+AJ107+AJ111+AJ112+AJ114+AJ115+AJ118+AJ119+AJ120+AJ121+AJ122+AJ105+AJ123+AJ124+AJ125+AJ126+AJ127)/AJ129</f>
        <v>0.91899645609495417</v>
      </c>
      <c r="AL70" s="48"/>
      <c r="AM70" s="48"/>
      <c r="AN70" s="48"/>
      <c r="AO70" s="48"/>
      <c r="AP70" s="48">
        <f t="shared" ref="AP70" si="121">(AP103+AP104+AP106+AP107+AP111+AP112+AP114+AP115+AP118+AP119+AP120+AP121+AP122+AP105+AP123+AP124+AP125+AP126+AP127)/AP129</f>
        <v>0.74850299401197606</v>
      </c>
      <c r="AR70" s="48"/>
      <c r="AS70" s="48"/>
      <c r="AT70" s="48"/>
      <c r="AU70" s="48"/>
      <c r="AV70" s="48">
        <f t="shared" ref="AV70" si="122">(AV103+AV104+AV106+AV107+AV111+AV112+AV114+AV115+AV118+AV119+AV120+AV121+AV122+AV105+AV123+AV124+AV125+AV126+AV127)/AV129</f>
        <v>0.24522630087537242</v>
      </c>
    </row>
    <row r="71" spans="1:48" ht="15.75" thickBot="1" x14ac:dyDescent="0.3">
      <c r="A71" s="53" t="s">
        <v>67</v>
      </c>
      <c r="B71" s="52"/>
      <c r="C71" s="52"/>
      <c r="D71" s="52"/>
      <c r="E71" s="52"/>
      <c r="F71" s="52">
        <f>SUM(F209:F217)/F86</f>
        <v>0.12322759580151885</v>
      </c>
      <c r="H71" s="52"/>
      <c r="I71" s="52"/>
      <c r="J71" s="52"/>
      <c r="K71" s="52"/>
      <c r="L71" s="52">
        <f>SUM(L209:L217)/L86</f>
        <v>0.13675327026349313</v>
      </c>
      <c r="N71" s="52"/>
      <c r="O71" s="52"/>
      <c r="P71" s="52"/>
      <c r="Q71" s="52"/>
      <c r="R71" s="52">
        <f>SUM(R209:R217)/R86</f>
        <v>0.11952284765041551</v>
      </c>
      <c r="T71" s="52"/>
      <c r="U71" s="52"/>
      <c r="V71" s="52"/>
      <c r="W71" s="52"/>
      <c r="X71" s="52">
        <f>SUM(X209:X217)/X86</f>
        <v>0.12248792468161504</v>
      </c>
      <c r="Z71" s="52"/>
      <c r="AA71" s="52"/>
      <c r="AB71" s="52"/>
      <c r="AC71" s="52"/>
      <c r="AD71" s="52">
        <f>SUM(AD209:AD217)/AD86</f>
        <v>0.18190609687557724</v>
      </c>
      <c r="AF71" s="52"/>
      <c r="AG71" s="52"/>
      <c r="AH71" s="52"/>
      <c r="AI71" s="52"/>
      <c r="AJ71" s="52">
        <f>SUM(AJ209:AJ217)/AJ86</f>
        <v>0</v>
      </c>
      <c r="AL71" s="52"/>
      <c r="AM71" s="52"/>
      <c r="AN71" s="52"/>
      <c r="AO71" s="52"/>
      <c r="AP71" s="52">
        <f>SUM(AP209:AP217)/AP86</f>
        <v>0</v>
      </c>
      <c r="AR71" s="52"/>
      <c r="AS71" s="52"/>
      <c r="AT71" s="52"/>
      <c r="AU71" s="52"/>
      <c r="AV71" s="52">
        <f>SUM(AV209:AV217)/AV86</f>
        <v>0.14141668363143126</v>
      </c>
    </row>
    <row r="72" spans="1:48" x14ac:dyDescent="0.25">
      <c r="A72" s="54"/>
      <c r="B72" s="55"/>
      <c r="C72" s="55"/>
      <c r="D72" s="55"/>
      <c r="E72" s="55"/>
      <c r="F72" s="55"/>
      <c r="H72" s="55"/>
      <c r="I72" s="55"/>
      <c r="J72" s="55"/>
      <c r="K72" s="55"/>
      <c r="L72" s="55"/>
      <c r="N72" s="55"/>
      <c r="O72" s="55"/>
      <c r="P72" s="55"/>
      <c r="Q72" s="55"/>
      <c r="R72" s="55"/>
      <c r="T72" s="55"/>
      <c r="U72" s="55"/>
      <c r="V72" s="55"/>
      <c r="W72" s="55"/>
      <c r="X72" s="55"/>
      <c r="Z72" s="55"/>
      <c r="AA72" s="55"/>
      <c r="AB72" s="55"/>
      <c r="AC72" s="55"/>
      <c r="AD72" s="55"/>
      <c r="AF72" s="55"/>
      <c r="AG72" s="55"/>
      <c r="AH72" s="55"/>
      <c r="AI72" s="55"/>
      <c r="AJ72" s="55"/>
      <c r="AL72" s="55"/>
      <c r="AM72" s="55"/>
      <c r="AN72" s="55"/>
      <c r="AO72" s="55"/>
      <c r="AP72" s="55"/>
      <c r="AR72" s="55"/>
      <c r="AS72" s="55"/>
      <c r="AT72" s="55"/>
      <c r="AU72" s="55"/>
      <c r="AV72" s="55"/>
    </row>
    <row r="73" spans="1:48" x14ac:dyDescent="0.25">
      <c r="A73" s="57" t="s">
        <v>246</v>
      </c>
      <c r="B73" s="58" t="str">
        <f>B1</f>
        <v>Operating</v>
      </c>
      <c r="C73" s="58" t="str">
        <f>C1</f>
        <v>Weights</v>
      </c>
      <c r="D73" s="58" t="s">
        <v>3</v>
      </c>
      <c r="E73" s="58" t="str">
        <f t="shared" ref="E73" si="123">E1</f>
        <v>NSLP</v>
      </c>
      <c r="F73" s="58" t="str">
        <f>F1</f>
        <v>Horizon</v>
      </c>
      <c r="H73" s="58" t="str">
        <f>H1</f>
        <v>Operating</v>
      </c>
      <c r="I73" s="58" t="str">
        <f>I1</f>
        <v>Weights</v>
      </c>
      <c r="J73" s="58" t="s">
        <v>3</v>
      </c>
      <c r="K73" s="58" t="str">
        <f t="shared" ref="K73" si="124">K1</f>
        <v>NSLP</v>
      </c>
      <c r="L73" s="58" t="str">
        <f>L1</f>
        <v>Cadence</v>
      </c>
      <c r="N73" s="58" t="str">
        <f>N1</f>
        <v>Operating</v>
      </c>
      <c r="O73" s="58" t="str">
        <f>O1</f>
        <v>Weights</v>
      </c>
      <c r="P73" s="58" t="s">
        <v>3</v>
      </c>
      <c r="Q73" s="58" t="str">
        <f t="shared" ref="Q73" si="125">Q1</f>
        <v>NSLP</v>
      </c>
      <c r="R73" s="58" t="str">
        <f>R1</f>
        <v>St. Rose</v>
      </c>
      <c r="T73" s="58" t="str">
        <f>T1</f>
        <v>Operating</v>
      </c>
      <c r="U73" s="58" t="str">
        <f>U1</f>
        <v>Weights</v>
      </c>
      <c r="V73" s="58" t="s">
        <v>3</v>
      </c>
      <c r="W73" s="58" t="str">
        <f t="shared" ref="W73" si="126">W1</f>
        <v>NSLP</v>
      </c>
      <c r="X73" s="58" t="str">
        <f>X1</f>
        <v>Inspirada</v>
      </c>
      <c r="Z73" s="58" t="str">
        <f>Z1</f>
        <v>Operating</v>
      </c>
      <c r="AA73" s="58" t="str">
        <f>AA1</f>
        <v>Weights</v>
      </c>
      <c r="AB73" s="58" t="s">
        <v>3</v>
      </c>
      <c r="AC73" s="58" t="str">
        <f t="shared" ref="AC73" si="127">AC1</f>
        <v>NSLP</v>
      </c>
      <c r="AD73" s="58" t="str">
        <f>AD1</f>
        <v>Sloan Canyon</v>
      </c>
      <c r="AF73" s="58" t="str">
        <f>AF1</f>
        <v>Operating</v>
      </c>
      <c r="AG73" s="58" t="str">
        <f>AG1</f>
        <v>Weights</v>
      </c>
      <c r="AH73" s="58" t="s">
        <v>3</v>
      </c>
      <c r="AI73" s="58" t="str">
        <f t="shared" ref="AI73" si="128">AI1</f>
        <v>NSLP</v>
      </c>
      <c r="AJ73" s="58" t="str">
        <f>AJ1</f>
        <v>System Wide</v>
      </c>
      <c r="AL73" s="58" t="str">
        <f>AL1</f>
        <v>Operating</v>
      </c>
      <c r="AM73" s="58" t="str">
        <f>AM1</f>
        <v>Weights</v>
      </c>
      <c r="AN73" s="58" t="s">
        <v>3</v>
      </c>
      <c r="AO73" s="58" t="str">
        <f t="shared" ref="AO73" si="129">AO1</f>
        <v>NSLP</v>
      </c>
      <c r="AP73" s="58" t="str">
        <f>AP1</f>
        <v>Virtual</v>
      </c>
      <c r="AR73" s="58" t="str">
        <f>AR1</f>
        <v>Operating</v>
      </c>
      <c r="AS73" s="58" t="str">
        <f>AS1</f>
        <v>Weights</v>
      </c>
      <c r="AT73" s="58" t="s">
        <v>3</v>
      </c>
      <c r="AU73" s="58" t="str">
        <f t="shared" ref="AU73" si="130">AU1</f>
        <v>NSLP</v>
      </c>
      <c r="AV73" s="58" t="str">
        <f>AV1</f>
        <v>Pinecrest System</v>
      </c>
    </row>
    <row r="74" spans="1:48" x14ac:dyDescent="0.25">
      <c r="A74" s="60" t="s">
        <v>69</v>
      </c>
      <c r="B74" s="7">
        <f>(B2*B5)</f>
        <v>6556407</v>
      </c>
      <c r="C74" s="7">
        <v>0</v>
      </c>
      <c r="D74" s="7">
        <v>0</v>
      </c>
      <c r="E74" s="7">
        <v>0</v>
      </c>
      <c r="F74" s="7">
        <f t="shared" ref="F74:F85" si="131">SUM(B74:E74)</f>
        <v>6556407</v>
      </c>
      <c r="H74" s="7">
        <f>(H2*H5)</f>
        <v>16365492</v>
      </c>
      <c r="I74" s="7">
        <v>0</v>
      </c>
      <c r="J74" s="7">
        <v>0</v>
      </c>
      <c r="K74" s="7">
        <v>0</v>
      </c>
      <c r="L74" s="7">
        <f t="shared" ref="L74:L85" si="132">SUM(H74:K74)</f>
        <v>16365492</v>
      </c>
      <c r="N74" s="7">
        <f>(N2*N5)</f>
        <v>7409688</v>
      </c>
      <c r="O74" s="7">
        <v>0</v>
      </c>
      <c r="P74" s="7">
        <v>0</v>
      </c>
      <c r="Q74" s="7">
        <v>0</v>
      </c>
      <c r="R74" s="7">
        <f t="shared" ref="R74:R85" si="133">SUM(N74:Q74)</f>
        <v>7409688</v>
      </c>
      <c r="T74" s="7">
        <f>(T2*T5)</f>
        <v>8744307</v>
      </c>
      <c r="U74" s="7">
        <v>0</v>
      </c>
      <c r="V74" s="7">
        <v>0</v>
      </c>
      <c r="W74" s="7">
        <v>0</v>
      </c>
      <c r="X74" s="7">
        <f t="shared" ref="X74:X85" si="134">SUM(T74:W74)</f>
        <v>8744307</v>
      </c>
      <c r="Z74" s="7">
        <f>(Z2*Z5)</f>
        <v>15242370</v>
      </c>
      <c r="AA74" s="7">
        <v>0</v>
      </c>
      <c r="AB74" s="7">
        <v>0</v>
      </c>
      <c r="AC74" s="7">
        <v>0</v>
      </c>
      <c r="AD74" s="7">
        <f t="shared" ref="AD74:AD85" si="135">SUM(Z74:AC74)</f>
        <v>15242370</v>
      </c>
      <c r="AF74" s="7">
        <f>(AF2*AF5)*0.97</f>
        <v>0</v>
      </c>
      <c r="AG74" s="7">
        <v>0</v>
      </c>
      <c r="AH74" s="7">
        <v>0</v>
      </c>
      <c r="AI74" s="7">
        <v>0</v>
      </c>
      <c r="AJ74" s="7">
        <f t="shared" ref="AJ74:AJ85" si="136">SUM(AF74:AI74)</f>
        <v>0</v>
      </c>
      <c r="AL74" s="7">
        <f>(AL2*AL5)</f>
        <v>622424</v>
      </c>
      <c r="AM74" s="7">
        <v>0</v>
      </c>
      <c r="AN74" s="7">
        <v>0</v>
      </c>
      <c r="AO74" s="7">
        <v>0</v>
      </c>
      <c r="AP74" s="7">
        <f t="shared" ref="AP74:AP85" si="137">SUM(AL74:AO74)</f>
        <v>622424</v>
      </c>
      <c r="AR74" s="7">
        <f>B74+H74+N74+T74+Z74+AF74+AL74</f>
        <v>54940688</v>
      </c>
      <c r="AS74" s="7">
        <f t="shared" ref="AS74:AU74" si="138">C74+I74+O74+U74+AA74+AG74+AM74</f>
        <v>0</v>
      </c>
      <c r="AT74" s="7">
        <f t="shared" si="138"/>
        <v>0</v>
      </c>
      <c r="AU74" s="7">
        <f t="shared" si="138"/>
        <v>0</v>
      </c>
      <c r="AV74" s="7">
        <f t="shared" ref="AV74:AV98" si="139">SUM(AR74:AU74)</f>
        <v>54940688</v>
      </c>
    </row>
    <row r="75" spans="1:48" x14ac:dyDescent="0.25">
      <c r="A75" s="62" t="s">
        <v>70</v>
      </c>
      <c r="B75" s="7">
        <f>(B3*B5)*0.95</f>
        <v>0</v>
      </c>
      <c r="C75" s="7">
        <v>0</v>
      </c>
      <c r="D75" s="7">
        <v>0</v>
      </c>
      <c r="E75" s="7">
        <v>0</v>
      </c>
      <c r="F75" s="7">
        <f t="shared" si="131"/>
        <v>0</v>
      </c>
      <c r="H75" s="7">
        <f>(H3*H5)*0.95</f>
        <v>0</v>
      </c>
      <c r="I75" s="7">
        <v>0</v>
      </c>
      <c r="J75" s="7">
        <v>0</v>
      </c>
      <c r="K75" s="7">
        <v>0</v>
      </c>
      <c r="L75" s="7">
        <f t="shared" si="132"/>
        <v>0</v>
      </c>
      <c r="N75" s="7">
        <f>(N3*N5)*0.95</f>
        <v>0</v>
      </c>
      <c r="O75" s="7">
        <v>0</v>
      </c>
      <c r="P75" s="7">
        <v>0</v>
      </c>
      <c r="Q75" s="7">
        <v>0</v>
      </c>
      <c r="R75" s="7">
        <f t="shared" si="133"/>
        <v>0</v>
      </c>
      <c r="T75" s="7">
        <f>(T3*T5)*0.95</f>
        <v>0</v>
      </c>
      <c r="U75" s="7">
        <v>0</v>
      </c>
      <c r="V75" s="7">
        <v>0</v>
      </c>
      <c r="W75" s="7">
        <v>0</v>
      </c>
      <c r="X75" s="7">
        <f t="shared" si="134"/>
        <v>0</v>
      </c>
      <c r="Z75" s="7">
        <f>(Z3*Z5)*0.95</f>
        <v>0</v>
      </c>
      <c r="AA75" s="7">
        <v>0</v>
      </c>
      <c r="AB75" s="7">
        <v>0</v>
      </c>
      <c r="AC75" s="7">
        <v>0</v>
      </c>
      <c r="AD75" s="7">
        <f t="shared" si="135"/>
        <v>0</v>
      </c>
      <c r="AF75" s="7">
        <f>(AF3*AF5)*0.95</f>
        <v>0</v>
      </c>
      <c r="AG75" s="7">
        <v>0</v>
      </c>
      <c r="AH75" s="7">
        <v>0</v>
      </c>
      <c r="AI75" s="7">
        <v>0</v>
      </c>
      <c r="AJ75" s="7">
        <f t="shared" si="136"/>
        <v>0</v>
      </c>
      <c r="AL75" s="7">
        <f>(AL3*AL5)*0.95</f>
        <v>0</v>
      </c>
      <c r="AM75" s="7">
        <v>0</v>
      </c>
      <c r="AN75" s="7">
        <v>0</v>
      </c>
      <c r="AO75" s="7">
        <v>0</v>
      </c>
      <c r="AP75" s="7">
        <f t="shared" si="137"/>
        <v>0</v>
      </c>
      <c r="AR75" s="7">
        <f t="shared" ref="AR75:AR85" si="140">B75+H75+N75+T75+Z75+AF75+AL75</f>
        <v>0</v>
      </c>
      <c r="AS75" s="7">
        <f t="shared" ref="AS75:AS85" si="141">C75+I75+O75+U75+AA75+AG75+AM75</f>
        <v>0</v>
      </c>
      <c r="AT75" s="7">
        <f t="shared" ref="AT75:AT85" si="142">D75+J75+P75+V75+AB75+AH75+AN75</f>
        <v>0</v>
      </c>
      <c r="AU75" s="7">
        <f t="shared" ref="AU75:AU85" si="143">E75+K75+Q75+W75+AC75+AI75+AO75</f>
        <v>0</v>
      </c>
      <c r="AV75" s="7">
        <f t="shared" si="139"/>
        <v>0</v>
      </c>
    </row>
    <row r="76" spans="1:48" x14ac:dyDescent="0.25">
      <c r="A76" s="62" t="s">
        <v>71</v>
      </c>
      <c r="B76" s="7">
        <f>($C$19*B25)*3.15*180</f>
        <v>0</v>
      </c>
      <c r="C76" s="7">
        <f t="shared" ref="C76" si="144">($C$19*C25)*3.15*180</f>
        <v>0</v>
      </c>
      <c r="D76" s="7"/>
      <c r="E76" s="7">
        <f>((B19*E25)*3.5)*180</f>
        <v>183390.60599999997</v>
      </c>
      <c r="F76" s="7">
        <f t="shared" si="131"/>
        <v>183390.60599999997</v>
      </c>
      <c r="H76" s="7">
        <f>($C$19*H25)*3.15*180</f>
        <v>0</v>
      </c>
      <c r="I76" s="7">
        <f t="shared" ref="I76" si="145">($C$19*I25)*3.15*180</f>
        <v>0</v>
      </c>
      <c r="J76" s="7"/>
      <c r="K76" s="7">
        <f>((H19*K25)*3.5)*180</f>
        <v>457903.90800000005</v>
      </c>
      <c r="L76" s="7">
        <f t="shared" si="132"/>
        <v>457903.90800000005</v>
      </c>
      <c r="N76" s="7">
        <f>($C$19*N25)*3.15*180</f>
        <v>0</v>
      </c>
      <c r="O76" s="7">
        <f t="shared" ref="O76" si="146">($C$19*O25)*3.15*180</f>
        <v>0</v>
      </c>
      <c r="P76" s="7"/>
      <c r="Q76" s="7">
        <f>((N19*Q25)*3.5)*180</f>
        <v>179734.46400000001</v>
      </c>
      <c r="R76" s="7">
        <f t="shared" si="133"/>
        <v>179734.46400000001</v>
      </c>
      <c r="T76" s="7">
        <f>($C$19*T25)*3.15*180</f>
        <v>0</v>
      </c>
      <c r="U76" s="7">
        <f t="shared" ref="U76" si="147">($C$19*U25)*3.15*180</f>
        <v>0</v>
      </c>
      <c r="V76" s="7"/>
      <c r="W76" s="7">
        <f>((T19*W25)*3.5)*180</f>
        <v>100615.28400000001</v>
      </c>
      <c r="X76" s="7">
        <f t="shared" si="134"/>
        <v>100615.28400000001</v>
      </c>
      <c r="Z76" s="7">
        <f>($C$19*Z25)*3.15*180</f>
        <v>0</v>
      </c>
      <c r="AA76" s="7">
        <f t="shared" ref="AA76" si="148">($C$19*AA25)*3.15*180</f>
        <v>0</v>
      </c>
      <c r="AB76" s="7"/>
      <c r="AC76" s="7">
        <f>((Z19*AC25)*3.5)*180</f>
        <v>228447.44999999998</v>
      </c>
      <c r="AD76" s="7">
        <f t="shared" si="135"/>
        <v>228447.44999999998</v>
      </c>
      <c r="AF76" s="7">
        <f>($C$19*AF25)*3.15*180</f>
        <v>0</v>
      </c>
      <c r="AG76" s="7">
        <f t="shared" ref="AG76" si="149">($C$19*AG25)*3.15*180</f>
        <v>0</v>
      </c>
      <c r="AH76" s="7"/>
      <c r="AI76" s="7">
        <f>((AF19*AI25)*3.5)*180</f>
        <v>0</v>
      </c>
      <c r="AJ76" s="7">
        <f t="shared" si="136"/>
        <v>0</v>
      </c>
      <c r="AL76" s="7">
        <f>($C$19*AL25)*3.15*180</f>
        <v>0</v>
      </c>
      <c r="AM76" s="7">
        <f t="shared" ref="AM76" si="150">($C$19*AM25)*3.15*180</f>
        <v>0</v>
      </c>
      <c r="AN76" s="7"/>
      <c r="AO76" s="7">
        <f>((AL19*AO25)*3.2)*180</f>
        <v>0</v>
      </c>
      <c r="AP76" s="7">
        <f t="shared" si="137"/>
        <v>0</v>
      </c>
      <c r="AR76" s="7">
        <f t="shared" si="140"/>
        <v>0</v>
      </c>
      <c r="AS76" s="7">
        <f t="shared" si="141"/>
        <v>0</v>
      </c>
      <c r="AT76" s="7">
        <f t="shared" si="142"/>
        <v>0</v>
      </c>
      <c r="AU76" s="7">
        <f t="shared" si="143"/>
        <v>1150091.7120000001</v>
      </c>
      <c r="AV76" s="7">
        <f t="shared" si="139"/>
        <v>1150091.7120000001</v>
      </c>
    </row>
    <row r="77" spans="1:48" x14ac:dyDescent="0.25">
      <c r="A77" s="62" t="s">
        <v>72</v>
      </c>
      <c r="B77" s="7">
        <f>950*B22</f>
        <v>0</v>
      </c>
      <c r="C77" s="7">
        <f t="shared" ref="C77" si="151">950*C22</f>
        <v>0</v>
      </c>
      <c r="D77" s="7">
        <f>950*D22</f>
        <v>92150</v>
      </c>
      <c r="E77" s="7">
        <v>0</v>
      </c>
      <c r="F77" s="7">
        <f t="shared" si="131"/>
        <v>92150</v>
      </c>
      <c r="H77" s="7">
        <f>950*H22</f>
        <v>0</v>
      </c>
      <c r="I77" s="7">
        <f t="shared" ref="I77" si="152">950*I22</f>
        <v>0</v>
      </c>
      <c r="J77" s="7">
        <f>950*J22</f>
        <v>270750</v>
      </c>
      <c r="K77" s="7">
        <v>0</v>
      </c>
      <c r="L77" s="7">
        <f t="shared" si="132"/>
        <v>270750</v>
      </c>
      <c r="N77" s="7">
        <f>950*N22</f>
        <v>0</v>
      </c>
      <c r="O77" s="7">
        <f t="shared" ref="O77" si="153">950*O22</f>
        <v>0</v>
      </c>
      <c r="P77" s="7">
        <f>950*P22</f>
        <v>70300</v>
      </c>
      <c r="Q77" s="7">
        <v>0</v>
      </c>
      <c r="R77" s="7">
        <f t="shared" si="133"/>
        <v>70300</v>
      </c>
      <c r="T77" s="7">
        <f>950*T22</f>
        <v>0</v>
      </c>
      <c r="U77" s="7">
        <f t="shared" ref="U77" si="154">950*U22</f>
        <v>0</v>
      </c>
      <c r="V77" s="7">
        <f>950*V22</f>
        <v>102600</v>
      </c>
      <c r="W77" s="7">
        <v>0</v>
      </c>
      <c r="X77" s="7">
        <f t="shared" si="134"/>
        <v>102600</v>
      </c>
      <c r="Z77" s="7">
        <f>950*Z22</f>
        <v>0</v>
      </c>
      <c r="AA77" s="7">
        <f t="shared" ref="AA77" si="155">950*AA22</f>
        <v>0</v>
      </c>
      <c r="AB77" s="7">
        <f>950*AB22</f>
        <v>162450</v>
      </c>
      <c r="AC77" s="7">
        <v>0</v>
      </c>
      <c r="AD77" s="7">
        <f t="shared" si="135"/>
        <v>162450</v>
      </c>
      <c r="AF77" s="7">
        <f>950*AF22</f>
        <v>0</v>
      </c>
      <c r="AG77" s="7">
        <f t="shared" ref="AG77" si="156">950*AG22</f>
        <v>0</v>
      </c>
      <c r="AH77" s="7">
        <f>950*AH22</f>
        <v>0</v>
      </c>
      <c r="AI77" s="7">
        <v>0</v>
      </c>
      <c r="AJ77" s="7">
        <f t="shared" si="136"/>
        <v>0</v>
      </c>
      <c r="AL77" s="7">
        <f>950*AL22</f>
        <v>0</v>
      </c>
      <c r="AM77" s="7">
        <f t="shared" ref="AM77" si="157">950*AM22</f>
        <v>0</v>
      </c>
      <c r="AN77" s="7">
        <f>950*AN22</f>
        <v>9500</v>
      </c>
      <c r="AO77" s="7">
        <v>0</v>
      </c>
      <c r="AP77" s="7">
        <f t="shared" si="137"/>
        <v>9500</v>
      </c>
      <c r="AR77" s="7">
        <f t="shared" si="140"/>
        <v>0</v>
      </c>
      <c r="AS77" s="7">
        <f t="shared" si="141"/>
        <v>0</v>
      </c>
      <c r="AT77" s="7">
        <f t="shared" si="142"/>
        <v>707750</v>
      </c>
      <c r="AU77" s="7">
        <f t="shared" si="143"/>
        <v>0</v>
      </c>
      <c r="AV77" s="7">
        <f t="shared" si="139"/>
        <v>707750</v>
      </c>
    </row>
    <row r="78" spans="1:48" x14ac:dyDescent="0.25">
      <c r="A78" s="141" t="s">
        <v>73</v>
      </c>
      <c r="B78" s="37">
        <f>3200*B22</f>
        <v>0</v>
      </c>
      <c r="C78" s="37">
        <f t="shared" ref="C78" si="158">3200*C22</f>
        <v>0</v>
      </c>
      <c r="D78" s="37">
        <f>2755*D22</f>
        <v>267235</v>
      </c>
      <c r="E78" s="7">
        <v>0</v>
      </c>
      <c r="F78" s="7">
        <f t="shared" si="131"/>
        <v>267235</v>
      </c>
      <c r="H78" s="37">
        <f>3200*H22</f>
        <v>0</v>
      </c>
      <c r="I78" s="37">
        <f t="shared" ref="I78" si="159">3200*I22</f>
        <v>0</v>
      </c>
      <c r="J78" s="37">
        <f>2755*J22</f>
        <v>785175</v>
      </c>
      <c r="K78" s="7">
        <v>0</v>
      </c>
      <c r="L78" s="7">
        <f t="shared" si="132"/>
        <v>785175</v>
      </c>
      <c r="N78" s="37">
        <f>3200*N22</f>
        <v>0</v>
      </c>
      <c r="O78" s="37">
        <f t="shared" ref="O78" si="160">3200*O22</f>
        <v>0</v>
      </c>
      <c r="P78" s="37">
        <f>2755*P22</f>
        <v>203870</v>
      </c>
      <c r="Q78" s="7">
        <v>0</v>
      </c>
      <c r="R78" s="7">
        <f t="shared" si="133"/>
        <v>203870</v>
      </c>
      <c r="T78" s="37">
        <f t="shared" ref="T78:U78" si="161">2600*T22</f>
        <v>0</v>
      </c>
      <c r="U78" s="37">
        <f t="shared" si="161"/>
        <v>0</v>
      </c>
      <c r="V78" s="37">
        <f>2755*V22</f>
        <v>297540</v>
      </c>
      <c r="W78" s="7">
        <v>0</v>
      </c>
      <c r="X78" s="7">
        <f t="shared" si="134"/>
        <v>297540</v>
      </c>
      <c r="Z78" s="37">
        <f t="shared" ref="Z78:AA78" si="162">2600*Z22</f>
        <v>0</v>
      </c>
      <c r="AA78" s="37">
        <f t="shared" si="162"/>
        <v>0</v>
      </c>
      <c r="AB78" s="37">
        <f>2755*AB22</f>
        <v>471105</v>
      </c>
      <c r="AC78" s="7">
        <v>0</v>
      </c>
      <c r="AD78" s="7">
        <f t="shared" si="135"/>
        <v>471105</v>
      </c>
      <c r="AF78" s="37">
        <f>3200*AF22</f>
        <v>0</v>
      </c>
      <c r="AG78" s="37">
        <f t="shared" ref="AG78" si="163">3200*AG22</f>
        <v>0</v>
      </c>
      <c r="AH78" s="37">
        <f>2600*AH22</f>
        <v>0</v>
      </c>
      <c r="AI78" s="7">
        <v>0</v>
      </c>
      <c r="AJ78" s="7">
        <f t="shared" si="136"/>
        <v>0</v>
      </c>
      <c r="AL78" s="37">
        <f>3200*AL22</f>
        <v>0</v>
      </c>
      <c r="AM78" s="37">
        <f t="shared" ref="AM78" si="164">3200*AM22</f>
        <v>0</v>
      </c>
      <c r="AN78" s="37">
        <v>0</v>
      </c>
      <c r="AO78" s="7">
        <v>0</v>
      </c>
      <c r="AP78" s="7">
        <f t="shared" si="137"/>
        <v>0</v>
      </c>
      <c r="AR78" s="7">
        <f t="shared" si="140"/>
        <v>0</v>
      </c>
      <c r="AS78" s="7">
        <f t="shared" si="141"/>
        <v>0</v>
      </c>
      <c r="AT78" s="7">
        <f t="shared" si="142"/>
        <v>2024925</v>
      </c>
      <c r="AU78" s="7">
        <f t="shared" si="143"/>
        <v>0</v>
      </c>
      <c r="AV78" s="7">
        <f t="shared" si="139"/>
        <v>2024925</v>
      </c>
    </row>
    <row r="79" spans="1:48" x14ac:dyDescent="0.25">
      <c r="A79" s="62" t="s">
        <v>74</v>
      </c>
      <c r="B79" s="37">
        <f>1400*B23</f>
        <v>0</v>
      </c>
      <c r="C79" s="37">
        <f>1635*C23</f>
        <v>24525</v>
      </c>
      <c r="D79" s="37">
        <v>0</v>
      </c>
      <c r="E79" s="7">
        <v>0</v>
      </c>
      <c r="F79" s="7">
        <f t="shared" si="131"/>
        <v>24525</v>
      </c>
      <c r="H79" s="37">
        <f>1400*H23</f>
        <v>0</v>
      </c>
      <c r="I79" s="37">
        <f>1635*I23</f>
        <v>53955</v>
      </c>
      <c r="J79" s="37">
        <v>0</v>
      </c>
      <c r="K79" s="7">
        <v>0</v>
      </c>
      <c r="L79" s="7">
        <f t="shared" si="132"/>
        <v>53955</v>
      </c>
      <c r="N79" s="37">
        <f>1400*N23</f>
        <v>0</v>
      </c>
      <c r="O79" s="37">
        <f>1635*O23</f>
        <v>29430</v>
      </c>
      <c r="P79" s="37">
        <v>0</v>
      </c>
      <c r="Q79" s="7">
        <v>0</v>
      </c>
      <c r="R79" s="7">
        <f t="shared" si="133"/>
        <v>29430</v>
      </c>
      <c r="T79" s="37">
        <f>1400*T23</f>
        <v>0</v>
      </c>
      <c r="U79" s="37">
        <f>1635*U23</f>
        <v>13080</v>
      </c>
      <c r="V79" s="37">
        <v>0</v>
      </c>
      <c r="W79" s="7">
        <v>0</v>
      </c>
      <c r="X79" s="7">
        <f t="shared" si="134"/>
        <v>13080</v>
      </c>
      <c r="Z79" s="37">
        <f>1400*Z23</f>
        <v>0</v>
      </c>
      <c r="AA79" s="37">
        <f>1635*AA23</f>
        <v>37605</v>
      </c>
      <c r="AB79" s="37">
        <v>0</v>
      </c>
      <c r="AC79" s="7">
        <v>0</v>
      </c>
      <c r="AD79" s="7">
        <f t="shared" si="135"/>
        <v>37605</v>
      </c>
      <c r="AF79" s="37">
        <f>1400*AF23</f>
        <v>0</v>
      </c>
      <c r="AG79" s="37">
        <f>1669*AG23</f>
        <v>0</v>
      </c>
      <c r="AH79" s="37">
        <v>0</v>
      </c>
      <c r="AI79" s="7">
        <v>0</v>
      </c>
      <c r="AJ79" s="7">
        <f t="shared" si="136"/>
        <v>0</v>
      </c>
      <c r="AL79" s="37">
        <f>1400*AL23</f>
        <v>0</v>
      </c>
      <c r="AM79" s="37">
        <v>0</v>
      </c>
      <c r="AN79" s="37">
        <v>0</v>
      </c>
      <c r="AO79" s="7">
        <v>0</v>
      </c>
      <c r="AP79" s="7">
        <f t="shared" si="137"/>
        <v>0</v>
      </c>
      <c r="AR79" s="7">
        <f t="shared" si="140"/>
        <v>0</v>
      </c>
      <c r="AS79" s="7">
        <f t="shared" si="141"/>
        <v>158595</v>
      </c>
      <c r="AT79" s="7">
        <f t="shared" si="142"/>
        <v>0</v>
      </c>
      <c r="AU79" s="7">
        <f t="shared" si="143"/>
        <v>0</v>
      </c>
      <c r="AV79" s="7">
        <f t="shared" si="139"/>
        <v>158595</v>
      </c>
    </row>
    <row r="80" spans="1:48" x14ac:dyDescent="0.25">
      <c r="A80" s="62" t="s">
        <v>75</v>
      </c>
      <c r="B80" s="7">
        <f>830*B24</f>
        <v>0</v>
      </c>
      <c r="C80" s="7">
        <f>848*C24</f>
        <v>37312</v>
      </c>
      <c r="D80" s="37">
        <v>0</v>
      </c>
      <c r="E80" s="7">
        <v>0</v>
      </c>
      <c r="F80" s="7">
        <f t="shared" si="131"/>
        <v>37312</v>
      </c>
      <c r="H80" s="7">
        <f>830*H24</f>
        <v>0</v>
      </c>
      <c r="I80" s="7">
        <f>848*I24</f>
        <v>44096</v>
      </c>
      <c r="J80" s="37">
        <v>0</v>
      </c>
      <c r="K80" s="7">
        <v>0</v>
      </c>
      <c r="L80" s="7">
        <f t="shared" si="132"/>
        <v>44096</v>
      </c>
      <c r="N80" s="7">
        <f>830*N24</f>
        <v>0</v>
      </c>
      <c r="O80" s="7">
        <f>848*O24</f>
        <v>39008</v>
      </c>
      <c r="P80" s="37">
        <v>0</v>
      </c>
      <c r="Q80" s="7">
        <v>0</v>
      </c>
      <c r="R80" s="7">
        <f t="shared" si="133"/>
        <v>39008</v>
      </c>
      <c r="T80" s="7">
        <f>830*T24</f>
        <v>0</v>
      </c>
      <c r="U80" s="7">
        <f>848*U24</f>
        <v>65296</v>
      </c>
      <c r="V80" s="37">
        <v>0</v>
      </c>
      <c r="W80" s="7">
        <v>0</v>
      </c>
      <c r="X80" s="7">
        <f t="shared" si="134"/>
        <v>65296</v>
      </c>
      <c r="Z80" s="7">
        <f>830*Z24</f>
        <v>0</v>
      </c>
      <c r="AA80" s="7">
        <f>848*AA24</f>
        <v>54272</v>
      </c>
      <c r="AB80" s="37">
        <v>0</v>
      </c>
      <c r="AC80" s="7">
        <v>0</v>
      </c>
      <c r="AD80" s="7">
        <f t="shared" si="135"/>
        <v>54272</v>
      </c>
      <c r="AF80" s="7">
        <f>830*AF24</f>
        <v>0</v>
      </c>
      <c r="AG80" s="7">
        <f>862*AG24</f>
        <v>0</v>
      </c>
      <c r="AH80" s="37">
        <v>0</v>
      </c>
      <c r="AI80" s="7">
        <v>0</v>
      </c>
      <c r="AJ80" s="7">
        <f t="shared" si="136"/>
        <v>0</v>
      </c>
      <c r="AL80" s="7">
        <f>830*AL24</f>
        <v>0</v>
      </c>
      <c r="AM80" s="7">
        <v>0</v>
      </c>
      <c r="AN80" s="37">
        <v>0</v>
      </c>
      <c r="AO80" s="7">
        <v>0</v>
      </c>
      <c r="AP80" s="7">
        <f t="shared" si="137"/>
        <v>0</v>
      </c>
      <c r="AR80" s="7">
        <f t="shared" si="140"/>
        <v>0</v>
      </c>
      <c r="AS80" s="7">
        <f t="shared" si="141"/>
        <v>239984</v>
      </c>
      <c r="AT80" s="7">
        <f t="shared" si="142"/>
        <v>0</v>
      </c>
      <c r="AU80" s="7">
        <f t="shared" si="143"/>
        <v>0</v>
      </c>
      <c r="AV80" s="7">
        <f t="shared" si="139"/>
        <v>239984</v>
      </c>
    </row>
    <row r="81" spans="1:48" x14ac:dyDescent="0.25">
      <c r="A81" s="62" t="s">
        <v>76</v>
      </c>
      <c r="B81" s="7">
        <f>240*B26</f>
        <v>0</v>
      </c>
      <c r="C81" s="7">
        <f>C26*241</f>
        <v>55912</v>
      </c>
      <c r="D81" s="37">
        <v>0</v>
      </c>
      <c r="E81" s="7">
        <v>0</v>
      </c>
      <c r="F81" s="7">
        <f t="shared" si="131"/>
        <v>55912</v>
      </c>
      <c r="H81" s="7">
        <f>240*H26</f>
        <v>0</v>
      </c>
      <c r="I81" s="7">
        <f>I26*241</f>
        <v>124597</v>
      </c>
      <c r="J81" s="37">
        <v>0</v>
      </c>
      <c r="K81" s="7">
        <v>0</v>
      </c>
      <c r="L81" s="7">
        <f t="shared" si="132"/>
        <v>124597</v>
      </c>
      <c r="N81" s="7">
        <f>240*N26</f>
        <v>0</v>
      </c>
      <c r="O81" s="7">
        <f>O26*241</f>
        <v>58081</v>
      </c>
      <c r="P81" s="37">
        <v>0</v>
      </c>
      <c r="Q81" s="7">
        <v>0</v>
      </c>
      <c r="R81" s="7">
        <f t="shared" si="133"/>
        <v>58081</v>
      </c>
      <c r="T81" s="7">
        <f>240*T26</f>
        <v>0</v>
      </c>
      <c r="U81" s="7">
        <f>U26*241</f>
        <v>31571</v>
      </c>
      <c r="V81" s="37">
        <v>0</v>
      </c>
      <c r="W81" s="7">
        <v>0</v>
      </c>
      <c r="X81" s="7">
        <f t="shared" si="134"/>
        <v>31571</v>
      </c>
      <c r="Z81" s="7">
        <f>240*Z26</f>
        <v>0</v>
      </c>
      <c r="AA81" s="7">
        <f>AA26*241</f>
        <v>59045</v>
      </c>
      <c r="AB81" s="37">
        <v>0</v>
      </c>
      <c r="AC81" s="7">
        <v>0</v>
      </c>
      <c r="AD81" s="7">
        <f t="shared" si="135"/>
        <v>59045</v>
      </c>
      <c r="AF81" s="7">
        <f>240*AF26</f>
        <v>0</v>
      </c>
      <c r="AG81" s="7">
        <f>AG26*247</f>
        <v>0</v>
      </c>
      <c r="AH81" s="37">
        <v>0</v>
      </c>
      <c r="AI81" s="7">
        <v>0</v>
      </c>
      <c r="AJ81" s="7">
        <f t="shared" si="136"/>
        <v>0</v>
      </c>
      <c r="AL81" s="7">
        <f>240*AL26</f>
        <v>0</v>
      </c>
      <c r="AM81" s="7">
        <v>0</v>
      </c>
      <c r="AN81" s="37">
        <v>0</v>
      </c>
      <c r="AO81" s="7">
        <v>0</v>
      </c>
      <c r="AP81" s="7">
        <f t="shared" si="137"/>
        <v>0</v>
      </c>
      <c r="AR81" s="7">
        <f t="shared" si="140"/>
        <v>0</v>
      </c>
      <c r="AS81" s="7">
        <f t="shared" si="141"/>
        <v>329206</v>
      </c>
      <c r="AT81" s="7">
        <f t="shared" si="142"/>
        <v>0</v>
      </c>
      <c r="AU81" s="7">
        <f t="shared" si="143"/>
        <v>0</v>
      </c>
      <c r="AV81" s="7">
        <f t="shared" si="139"/>
        <v>329206</v>
      </c>
    </row>
    <row r="82" spans="1:48" x14ac:dyDescent="0.25">
      <c r="A82" s="62" t="s">
        <v>247</v>
      </c>
      <c r="B82" s="7"/>
      <c r="C82" s="7">
        <v>0</v>
      </c>
      <c r="D82" s="37">
        <v>0</v>
      </c>
      <c r="E82" s="7">
        <v>0</v>
      </c>
      <c r="F82" s="7">
        <f t="shared" si="131"/>
        <v>0</v>
      </c>
      <c r="H82" s="7">
        <f>AP156</f>
        <v>88000</v>
      </c>
      <c r="I82" s="7">
        <v>0</v>
      </c>
      <c r="J82" s="37">
        <v>0</v>
      </c>
      <c r="K82" s="7">
        <v>0</v>
      </c>
      <c r="L82" s="7">
        <f t="shared" si="132"/>
        <v>88000</v>
      </c>
      <c r="N82" s="7">
        <v>0</v>
      </c>
      <c r="O82" s="7">
        <v>0</v>
      </c>
      <c r="P82" s="37">
        <v>0</v>
      </c>
      <c r="Q82" s="7">
        <v>0</v>
      </c>
      <c r="R82" s="7">
        <f t="shared" si="133"/>
        <v>0</v>
      </c>
      <c r="T82" s="7">
        <v>0</v>
      </c>
      <c r="U82" s="7">
        <v>0</v>
      </c>
      <c r="V82" s="37">
        <v>0</v>
      </c>
      <c r="W82" s="7">
        <v>0</v>
      </c>
      <c r="X82" s="7">
        <f t="shared" si="134"/>
        <v>0</v>
      </c>
      <c r="Z82" s="7">
        <v>0</v>
      </c>
      <c r="AA82" s="7">
        <v>0</v>
      </c>
      <c r="AB82" s="37">
        <v>0</v>
      </c>
      <c r="AC82" s="7">
        <v>0</v>
      </c>
      <c r="AD82" s="7">
        <f t="shared" si="135"/>
        <v>0</v>
      </c>
      <c r="AF82" s="7">
        <v>0</v>
      </c>
      <c r="AG82" s="7">
        <v>0</v>
      </c>
      <c r="AH82" s="37">
        <v>0</v>
      </c>
      <c r="AI82" s="7">
        <v>0</v>
      </c>
      <c r="AJ82" s="7">
        <f t="shared" si="136"/>
        <v>0</v>
      </c>
      <c r="AL82" s="7"/>
      <c r="AM82" s="7">
        <v>0</v>
      </c>
      <c r="AN82" s="37">
        <v>0</v>
      </c>
      <c r="AO82" s="7">
        <v>0</v>
      </c>
      <c r="AP82" s="7">
        <f t="shared" si="137"/>
        <v>0</v>
      </c>
      <c r="AR82" s="7">
        <f t="shared" si="140"/>
        <v>88000</v>
      </c>
      <c r="AS82" s="7">
        <f t="shared" si="141"/>
        <v>0</v>
      </c>
      <c r="AT82" s="7">
        <f t="shared" si="142"/>
        <v>0</v>
      </c>
      <c r="AU82" s="7">
        <f t="shared" si="143"/>
        <v>0</v>
      </c>
      <c r="AV82" s="7">
        <f t="shared" si="139"/>
        <v>88000</v>
      </c>
    </row>
    <row r="83" spans="1:48" x14ac:dyDescent="0.25">
      <c r="A83" s="154" t="s">
        <v>78</v>
      </c>
      <c r="B83" s="7">
        <v>0</v>
      </c>
      <c r="C83" s="7">
        <v>0</v>
      </c>
      <c r="D83" s="37">
        <v>0</v>
      </c>
      <c r="E83" s="7">
        <v>0</v>
      </c>
      <c r="F83" s="7">
        <f t="shared" si="131"/>
        <v>0</v>
      </c>
      <c r="H83" s="7">
        <v>0</v>
      </c>
      <c r="I83" s="7">
        <v>0</v>
      </c>
      <c r="J83" s="37">
        <v>0</v>
      </c>
      <c r="K83" s="7">
        <v>0</v>
      </c>
      <c r="L83" s="7">
        <f t="shared" si="132"/>
        <v>0</v>
      </c>
      <c r="N83" s="7">
        <v>0</v>
      </c>
      <c r="O83" s="7">
        <v>0</v>
      </c>
      <c r="P83" s="37">
        <v>0</v>
      </c>
      <c r="Q83" s="7">
        <v>0</v>
      </c>
      <c r="R83" s="7">
        <f t="shared" si="133"/>
        <v>0</v>
      </c>
      <c r="T83" s="7">
        <v>0</v>
      </c>
      <c r="U83" s="7">
        <v>0</v>
      </c>
      <c r="V83" s="37">
        <v>0</v>
      </c>
      <c r="W83" s="7">
        <v>0</v>
      </c>
      <c r="X83" s="7">
        <f t="shared" si="134"/>
        <v>0</v>
      </c>
      <c r="Z83" s="7">
        <v>0</v>
      </c>
      <c r="AA83" s="7">
        <v>0</v>
      </c>
      <c r="AB83" s="37">
        <v>0</v>
      </c>
      <c r="AC83" s="7">
        <v>0</v>
      </c>
      <c r="AD83" s="7">
        <f t="shared" si="135"/>
        <v>0</v>
      </c>
      <c r="AF83" s="7">
        <v>0</v>
      </c>
      <c r="AG83" s="7">
        <v>0</v>
      </c>
      <c r="AH83" s="37">
        <v>0</v>
      </c>
      <c r="AI83" s="7">
        <v>0</v>
      </c>
      <c r="AJ83" s="7">
        <f t="shared" si="136"/>
        <v>0</v>
      </c>
      <c r="AL83" s="7">
        <v>0</v>
      </c>
      <c r="AM83" s="7">
        <v>0</v>
      </c>
      <c r="AN83" s="37">
        <v>0</v>
      </c>
      <c r="AO83" s="7">
        <v>0</v>
      </c>
      <c r="AP83" s="7">
        <f t="shared" si="137"/>
        <v>0</v>
      </c>
      <c r="AR83" s="7">
        <f t="shared" si="140"/>
        <v>0</v>
      </c>
      <c r="AS83" s="7">
        <f t="shared" si="141"/>
        <v>0</v>
      </c>
      <c r="AT83" s="7">
        <f t="shared" si="142"/>
        <v>0</v>
      </c>
      <c r="AU83" s="7">
        <f t="shared" si="143"/>
        <v>0</v>
      </c>
      <c r="AV83" s="7">
        <f t="shared" si="139"/>
        <v>0</v>
      </c>
    </row>
    <row r="84" spans="1:48" x14ac:dyDescent="0.25">
      <c r="A84" s="62" t="s">
        <v>77</v>
      </c>
      <c r="B84" s="7"/>
      <c r="C84" s="7">
        <v>0</v>
      </c>
      <c r="D84" s="37">
        <v>0</v>
      </c>
      <c r="E84" s="7">
        <v>0</v>
      </c>
      <c r="F84" s="7">
        <f t="shared" si="131"/>
        <v>0</v>
      </c>
      <c r="H84" s="7"/>
      <c r="I84" s="7">
        <v>0</v>
      </c>
      <c r="J84" s="37">
        <v>0</v>
      </c>
      <c r="K84" s="7">
        <v>0</v>
      </c>
      <c r="L84" s="7">
        <f t="shared" si="132"/>
        <v>0</v>
      </c>
      <c r="N84" s="7"/>
      <c r="O84" s="7">
        <v>0</v>
      </c>
      <c r="P84" s="37">
        <v>0</v>
      </c>
      <c r="Q84" s="7">
        <v>0</v>
      </c>
      <c r="R84" s="7">
        <f t="shared" si="133"/>
        <v>0</v>
      </c>
      <c r="T84" s="7"/>
      <c r="U84" s="7">
        <v>0</v>
      </c>
      <c r="V84" s="37">
        <v>0</v>
      </c>
      <c r="W84" s="7">
        <v>0</v>
      </c>
      <c r="X84" s="7">
        <f t="shared" si="134"/>
        <v>0</v>
      </c>
      <c r="Z84" s="7"/>
      <c r="AA84" s="7">
        <v>0</v>
      </c>
      <c r="AB84" s="37">
        <v>0</v>
      </c>
      <c r="AC84" s="7">
        <v>0</v>
      </c>
      <c r="AD84" s="7">
        <f t="shared" si="135"/>
        <v>0</v>
      </c>
      <c r="AF84" s="7"/>
      <c r="AG84" s="7">
        <v>0</v>
      </c>
      <c r="AH84" s="37">
        <v>0</v>
      </c>
      <c r="AI84" s="7">
        <v>0</v>
      </c>
      <c r="AJ84" s="7">
        <f t="shared" si="136"/>
        <v>0</v>
      </c>
      <c r="AL84" s="7"/>
      <c r="AM84" s="7">
        <v>0</v>
      </c>
      <c r="AN84" s="37">
        <v>0</v>
      </c>
      <c r="AO84" s="7">
        <v>0</v>
      </c>
      <c r="AP84" s="7">
        <f t="shared" si="137"/>
        <v>0</v>
      </c>
      <c r="AR84" s="7">
        <f t="shared" si="140"/>
        <v>0</v>
      </c>
      <c r="AS84" s="7">
        <f t="shared" si="141"/>
        <v>0</v>
      </c>
      <c r="AT84" s="7">
        <f t="shared" si="142"/>
        <v>0</v>
      </c>
      <c r="AU84" s="7">
        <f t="shared" si="143"/>
        <v>0</v>
      </c>
      <c r="AV84" s="7">
        <f t="shared" si="139"/>
        <v>0</v>
      </c>
    </row>
    <row r="85" spans="1:48" ht="15.75" thickBot="1" x14ac:dyDescent="0.3">
      <c r="A85" s="65" t="s">
        <v>79</v>
      </c>
      <c r="B85" s="37">
        <f>B158</f>
        <v>13880</v>
      </c>
      <c r="C85" s="37">
        <f>C158</f>
        <v>720</v>
      </c>
      <c r="D85" s="37">
        <f>D158</f>
        <v>2160</v>
      </c>
      <c r="E85" s="37">
        <f>E158</f>
        <v>240</v>
      </c>
      <c r="F85" s="7">
        <f t="shared" si="131"/>
        <v>17000</v>
      </c>
      <c r="H85" s="37">
        <f>H158</f>
        <v>29360</v>
      </c>
      <c r="I85" s="37">
        <f>I158</f>
        <v>1440</v>
      </c>
      <c r="J85" s="37">
        <f>J158</f>
        <v>6960</v>
      </c>
      <c r="K85" s="37">
        <f>K158</f>
        <v>720</v>
      </c>
      <c r="L85" s="7">
        <f t="shared" si="132"/>
        <v>38480</v>
      </c>
      <c r="N85" s="37">
        <f>N158</f>
        <v>14960</v>
      </c>
      <c r="O85" s="37">
        <f>O158</f>
        <v>1200</v>
      </c>
      <c r="P85" s="37">
        <f>P158</f>
        <v>1999.2</v>
      </c>
      <c r="Q85" s="37">
        <f>Q158</f>
        <v>240</v>
      </c>
      <c r="R85" s="7">
        <f t="shared" si="133"/>
        <v>18399.2</v>
      </c>
      <c r="T85" s="37">
        <f>T158</f>
        <v>17960</v>
      </c>
      <c r="U85" s="37">
        <f>U158</f>
        <v>840</v>
      </c>
      <c r="V85" s="37">
        <f>V158</f>
        <v>3201.6</v>
      </c>
      <c r="W85" s="37">
        <f>W158</f>
        <v>240</v>
      </c>
      <c r="X85" s="7">
        <f t="shared" si="134"/>
        <v>22241.599999999999</v>
      </c>
      <c r="Z85" s="37">
        <f>Z158</f>
        <v>27080</v>
      </c>
      <c r="AA85" s="37">
        <f>AA158</f>
        <v>840</v>
      </c>
      <c r="AB85" s="37">
        <f>AB158</f>
        <v>5479.2</v>
      </c>
      <c r="AC85" s="37">
        <f>AC158</f>
        <v>480</v>
      </c>
      <c r="AD85" s="7">
        <f t="shared" si="135"/>
        <v>33879.199999999997</v>
      </c>
      <c r="AF85" s="37">
        <f>AF158</f>
        <v>2720</v>
      </c>
      <c r="AG85" s="37">
        <f>AG158</f>
        <v>120</v>
      </c>
      <c r="AH85" s="37">
        <f t="shared" ref="AH85:AI85" si="165">AH158</f>
        <v>0</v>
      </c>
      <c r="AI85" s="37">
        <f t="shared" si="165"/>
        <v>0</v>
      </c>
      <c r="AJ85" s="7">
        <f t="shared" si="136"/>
        <v>2840</v>
      </c>
      <c r="AL85" s="37">
        <f>AL158</f>
        <v>2240</v>
      </c>
      <c r="AM85" s="37">
        <f>AM158</f>
        <v>0</v>
      </c>
      <c r="AN85" s="37">
        <f>AN158</f>
        <v>240</v>
      </c>
      <c r="AO85" s="7">
        <v>0</v>
      </c>
      <c r="AP85" s="7">
        <f t="shared" si="137"/>
        <v>2480</v>
      </c>
      <c r="AR85" s="7">
        <f t="shared" si="140"/>
        <v>108200</v>
      </c>
      <c r="AS85" s="7">
        <f t="shared" si="141"/>
        <v>5160</v>
      </c>
      <c r="AT85" s="7">
        <f t="shared" si="142"/>
        <v>20040</v>
      </c>
      <c r="AU85" s="7">
        <f t="shared" si="143"/>
        <v>1920</v>
      </c>
      <c r="AV85" s="7">
        <f t="shared" si="139"/>
        <v>135320</v>
      </c>
    </row>
    <row r="86" spans="1:48" ht="15.75" thickBot="1" x14ac:dyDescent="0.3">
      <c r="A86" s="67" t="s">
        <v>80</v>
      </c>
      <c r="B86" s="68">
        <f>SUM(B74:B85)</f>
        <v>6570287</v>
      </c>
      <c r="C86" s="68">
        <f>SUM(C74:C85)</f>
        <v>118469</v>
      </c>
      <c r="D86" s="68">
        <f>SUM(D74:D85)</f>
        <v>361545</v>
      </c>
      <c r="E86" s="68">
        <f t="shared" ref="E86:F86" si="166">SUM(E74:E85)</f>
        <v>183630.60599999997</v>
      </c>
      <c r="F86" s="68">
        <f t="shared" si="166"/>
        <v>7233931.6059999997</v>
      </c>
      <c r="H86" s="68">
        <f>SUM(H74:H85)</f>
        <v>16482852</v>
      </c>
      <c r="I86" s="68">
        <f>SUM(I74:I85)</f>
        <v>224088</v>
      </c>
      <c r="J86" s="68">
        <f>SUM(J74:J85)</f>
        <v>1062885</v>
      </c>
      <c r="K86" s="68">
        <f t="shared" ref="K86:L86" si="167">SUM(K74:K85)</f>
        <v>458623.90800000005</v>
      </c>
      <c r="L86" s="68">
        <f t="shared" si="167"/>
        <v>18228448.908</v>
      </c>
      <c r="N86" s="68">
        <f>SUM(N74:N85)</f>
        <v>7424648</v>
      </c>
      <c r="O86" s="68">
        <f>SUM(O74:O85)</f>
        <v>127719</v>
      </c>
      <c r="P86" s="68">
        <f>SUM(P74:P85)</f>
        <v>276169.2</v>
      </c>
      <c r="Q86" s="68">
        <f t="shared" ref="Q86:R86" si="168">SUM(Q74:Q85)</f>
        <v>179974.46400000001</v>
      </c>
      <c r="R86" s="68">
        <f t="shared" si="168"/>
        <v>8008510.6639999999</v>
      </c>
      <c r="T86" s="68">
        <f>SUM(T74:T85)</f>
        <v>8762267</v>
      </c>
      <c r="U86" s="68">
        <f>SUM(U74:U85)</f>
        <v>110787</v>
      </c>
      <c r="V86" s="68">
        <f>SUM(V74:V85)</f>
        <v>403341.6</v>
      </c>
      <c r="W86" s="68">
        <f t="shared" ref="W86:X86" si="169">SUM(W74:W85)</f>
        <v>100855.28400000001</v>
      </c>
      <c r="X86" s="68">
        <f t="shared" si="169"/>
        <v>9377250.8839999996</v>
      </c>
      <c r="Z86" s="68">
        <f>SUM(Z74:Z85)</f>
        <v>15269450</v>
      </c>
      <c r="AA86" s="68">
        <f>SUM(AA74:AA85)</f>
        <v>151762</v>
      </c>
      <c r="AB86" s="68">
        <f>SUM(AB74:AB85)</f>
        <v>639034.19999999995</v>
      </c>
      <c r="AC86" s="68">
        <f t="shared" ref="AC86:AD86" si="170">SUM(AC74:AC85)</f>
        <v>228927.44999999998</v>
      </c>
      <c r="AD86" s="68">
        <f t="shared" si="170"/>
        <v>16289173.649999999</v>
      </c>
      <c r="AF86" s="68">
        <f>SUM(AF74:AF85)</f>
        <v>2720</v>
      </c>
      <c r="AG86" s="68">
        <f>SUM(AG74:AG85)</f>
        <v>120</v>
      </c>
      <c r="AH86" s="68">
        <f>SUM(AH74:AH85)</f>
        <v>0</v>
      </c>
      <c r="AI86" s="68">
        <f t="shared" ref="AI86:AJ86" si="171">SUM(AI74:AI85)</f>
        <v>0</v>
      </c>
      <c r="AJ86" s="68">
        <f t="shared" si="171"/>
        <v>2840</v>
      </c>
      <c r="AL86" s="68">
        <f>SUM(AL74:AL85)</f>
        <v>624664</v>
      </c>
      <c r="AM86" s="68">
        <f>SUM(AM74:AM85)</f>
        <v>0</v>
      </c>
      <c r="AN86" s="68">
        <f>SUM(AN74:AN85)</f>
        <v>9740</v>
      </c>
      <c r="AO86" s="68">
        <f t="shared" ref="AO86:AP86" si="172">SUM(AO74:AO85)</f>
        <v>0</v>
      </c>
      <c r="AP86" s="68">
        <f t="shared" si="172"/>
        <v>634404</v>
      </c>
      <c r="AR86" s="68">
        <f>SUM(AR74:AR85)</f>
        <v>55136888</v>
      </c>
      <c r="AS86" s="68">
        <f>SUM(AS74:AS85)</f>
        <v>732945</v>
      </c>
      <c r="AT86" s="68">
        <f>SUM(AT74:AT85)</f>
        <v>2752715</v>
      </c>
      <c r="AU86" s="68">
        <f t="shared" ref="AU86:AV86" si="173">SUM(AU74:AU85)</f>
        <v>1152011.7120000001</v>
      </c>
      <c r="AV86" s="68">
        <f t="shared" si="173"/>
        <v>59774559.711999997</v>
      </c>
    </row>
    <row r="87" spans="1:48" hidden="1" x14ac:dyDescent="0.25">
      <c r="A87" s="60" t="s">
        <v>69</v>
      </c>
      <c r="B87" s="61">
        <f>B2*B5</f>
        <v>6556407</v>
      </c>
      <c r="C87" s="61">
        <f>C2*C5</f>
        <v>0</v>
      </c>
      <c r="D87" s="61">
        <f>D2*D5</f>
        <v>0</v>
      </c>
      <c r="E87" s="61">
        <f t="shared" ref="E87:F87" si="174">E2*E5</f>
        <v>0</v>
      </c>
      <c r="F87" s="61">
        <f t="shared" si="174"/>
        <v>6556407</v>
      </c>
      <c r="H87" s="61">
        <f>H2*H5</f>
        <v>16365492</v>
      </c>
      <c r="I87" s="61">
        <f>I2*I5</f>
        <v>0</v>
      </c>
      <c r="J87" s="61">
        <f>J2*J5</f>
        <v>0</v>
      </c>
      <c r="K87" s="61">
        <f t="shared" ref="K87:L87" si="175">K2*K5</f>
        <v>0</v>
      </c>
      <c r="L87" s="61">
        <f t="shared" si="175"/>
        <v>16365492</v>
      </c>
      <c r="N87" s="61">
        <f>N2*N5</f>
        <v>7409688</v>
      </c>
      <c r="O87" s="61">
        <f>O2*O5</f>
        <v>0</v>
      </c>
      <c r="P87" s="61">
        <f>P2*P5</f>
        <v>0</v>
      </c>
      <c r="Q87" s="61">
        <f t="shared" ref="Q87:R87" si="176">Q2*Q5</f>
        <v>0</v>
      </c>
      <c r="R87" s="61">
        <f t="shared" si="176"/>
        <v>7409688</v>
      </c>
      <c r="T87" s="61">
        <f>T2*T5</f>
        <v>8744307</v>
      </c>
      <c r="U87" s="61">
        <f>U2*U5</f>
        <v>0</v>
      </c>
      <c r="V87" s="61">
        <f>V2*V5</f>
        <v>0</v>
      </c>
      <c r="W87" s="61">
        <f t="shared" ref="W87:X87" si="177">W2*W5</f>
        <v>0</v>
      </c>
      <c r="X87" s="61">
        <f t="shared" si="177"/>
        <v>8744307</v>
      </c>
      <c r="Z87" s="61">
        <f>Z2*Z5</f>
        <v>15242370</v>
      </c>
      <c r="AA87" s="61">
        <f>AA2*AA5</f>
        <v>0</v>
      </c>
      <c r="AB87" s="61">
        <f>AB2*AB5</f>
        <v>0</v>
      </c>
      <c r="AC87" s="61">
        <f t="shared" ref="AC87:AD87" si="178">AC2*AC5</f>
        <v>0</v>
      </c>
      <c r="AD87" s="61">
        <f t="shared" si="178"/>
        <v>15242370</v>
      </c>
      <c r="AF87" s="61">
        <f>AF2*AF5</f>
        <v>0</v>
      </c>
      <c r="AG87" s="61">
        <f>AG2*AG5</f>
        <v>0</v>
      </c>
      <c r="AH87" s="61">
        <f>AH2*AH5</f>
        <v>0</v>
      </c>
      <c r="AI87" s="61">
        <f t="shared" ref="AI87:AJ87" si="179">AI2*AI5</f>
        <v>0</v>
      </c>
      <c r="AJ87" s="61">
        <f t="shared" si="179"/>
        <v>0</v>
      </c>
      <c r="AL87" s="61">
        <f>AL2*AL5</f>
        <v>622424</v>
      </c>
      <c r="AM87" s="61">
        <f>AM2*AM5</f>
        <v>0</v>
      </c>
      <c r="AN87" s="61">
        <f>AN2*AN5</f>
        <v>0</v>
      </c>
      <c r="AO87" s="61">
        <f t="shared" ref="AO87:AP87" si="180">AO2*AO5</f>
        <v>0</v>
      </c>
      <c r="AP87" s="61">
        <f t="shared" si="180"/>
        <v>622424</v>
      </c>
      <c r="AR87" s="7">
        <f>B87+H87+N87+T87+Z87+AF87+AL87</f>
        <v>54940688</v>
      </c>
      <c r="AS87" s="7">
        <f t="shared" ref="AS87:AU87" si="181">C87+I87+O87+U87+AA87+AG87+AM87</f>
        <v>0</v>
      </c>
      <c r="AT87" s="7">
        <f t="shared" si="181"/>
        <v>0</v>
      </c>
      <c r="AU87" s="7">
        <f t="shared" si="181"/>
        <v>0</v>
      </c>
      <c r="AV87" s="7">
        <f t="shared" si="139"/>
        <v>54940688</v>
      </c>
    </row>
    <row r="88" spans="1:48" hidden="1" x14ac:dyDescent="0.25">
      <c r="A88" s="62" t="s">
        <v>201</v>
      </c>
      <c r="B88" s="61">
        <f>B3*B5</f>
        <v>0</v>
      </c>
      <c r="C88" s="61">
        <f>C3*C5</f>
        <v>0</v>
      </c>
      <c r="D88" s="61">
        <f>D3*D5</f>
        <v>0</v>
      </c>
      <c r="E88" s="61">
        <f t="shared" ref="E88:F88" si="182">E3*E5</f>
        <v>0</v>
      </c>
      <c r="F88" s="61">
        <f t="shared" si="182"/>
        <v>0</v>
      </c>
      <c r="H88" s="61">
        <f>H3*H5</f>
        <v>0</v>
      </c>
      <c r="I88" s="61">
        <f>I3*I5</f>
        <v>0</v>
      </c>
      <c r="J88" s="61">
        <f>J3*J5</f>
        <v>0</v>
      </c>
      <c r="K88" s="61">
        <f t="shared" ref="K88:L88" si="183">K3*K5</f>
        <v>0</v>
      </c>
      <c r="L88" s="61">
        <f t="shared" si="183"/>
        <v>0</v>
      </c>
      <c r="N88" s="61">
        <f>N3*N5</f>
        <v>0</v>
      </c>
      <c r="O88" s="61">
        <f>O3*O5</f>
        <v>0</v>
      </c>
      <c r="P88" s="61">
        <f>P3*P5</f>
        <v>0</v>
      </c>
      <c r="Q88" s="61">
        <f t="shared" ref="Q88:R88" si="184">Q3*Q5</f>
        <v>0</v>
      </c>
      <c r="R88" s="61">
        <f t="shared" si="184"/>
        <v>0</v>
      </c>
      <c r="T88" s="61">
        <f>T3*T5</f>
        <v>0</v>
      </c>
      <c r="U88" s="61">
        <f>U3*U5</f>
        <v>0</v>
      </c>
      <c r="V88" s="61">
        <f>V3*V5</f>
        <v>0</v>
      </c>
      <c r="W88" s="61">
        <f t="shared" ref="W88:X88" si="185">W3*W5</f>
        <v>0</v>
      </c>
      <c r="X88" s="61">
        <f t="shared" si="185"/>
        <v>0</v>
      </c>
      <c r="Z88" s="61">
        <f>Z3*Z5</f>
        <v>0</v>
      </c>
      <c r="AA88" s="61">
        <f>AA3*AA5</f>
        <v>0</v>
      </c>
      <c r="AB88" s="61">
        <f>AB3*AB5</f>
        <v>0</v>
      </c>
      <c r="AC88" s="61">
        <f t="shared" ref="AC88:AD88" si="186">AC3*AC5</f>
        <v>0</v>
      </c>
      <c r="AD88" s="61">
        <f t="shared" si="186"/>
        <v>0</v>
      </c>
      <c r="AF88" s="61">
        <f>AF3*AF5</f>
        <v>0</v>
      </c>
      <c r="AG88" s="61">
        <f>AG3*AG5</f>
        <v>0</v>
      </c>
      <c r="AH88" s="61">
        <f>AH3*AH5</f>
        <v>0</v>
      </c>
      <c r="AI88" s="61">
        <f t="shared" ref="AI88:AJ88" si="187">AI3*AI5</f>
        <v>0</v>
      </c>
      <c r="AJ88" s="61">
        <f t="shared" si="187"/>
        <v>0</v>
      </c>
      <c r="AL88" s="61">
        <f>AL3*AL5</f>
        <v>0</v>
      </c>
      <c r="AM88" s="61">
        <f>AM3*AM5</f>
        <v>0</v>
      </c>
      <c r="AN88" s="61">
        <f>AN3*AN5</f>
        <v>0</v>
      </c>
      <c r="AO88" s="61">
        <f t="shared" ref="AO88:AP88" si="188">AO3*AO5</f>
        <v>0</v>
      </c>
      <c r="AP88" s="61">
        <f t="shared" si="188"/>
        <v>0</v>
      </c>
      <c r="AR88" s="7">
        <f t="shared" ref="AR88:AR98" si="189">B88+H88+N88+T88+Z88+AF88+AL88</f>
        <v>0</v>
      </c>
      <c r="AS88" s="7">
        <f t="shared" ref="AS88:AS98" si="190">C88+I88+O88+U88+AA88+AG88+AM88</f>
        <v>0</v>
      </c>
      <c r="AT88" s="7">
        <f t="shared" ref="AT88:AT98" si="191">D88+J88+P88+V88+AB88+AH88+AN88</f>
        <v>0</v>
      </c>
      <c r="AU88" s="7">
        <f t="shared" ref="AU88:AU98" si="192">E88+K88+Q88+W88+AC88+AI88+AO88</f>
        <v>0</v>
      </c>
      <c r="AV88" s="7">
        <f t="shared" si="139"/>
        <v>0</v>
      </c>
    </row>
    <row r="89" spans="1:48" hidden="1" x14ac:dyDescent="0.25">
      <c r="A89" s="62" t="s">
        <v>71</v>
      </c>
      <c r="B89" s="61">
        <f t="shared" ref="B89:F98" si="193">B76</f>
        <v>0</v>
      </c>
      <c r="C89" s="61">
        <f t="shared" si="193"/>
        <v>0</v>
      </c>
      <c r="D89" s="61">
        <f t="shared" si="193"/>
        <v>0</v>
      </c>
      <c r="E89" s="61">
        <f t="shared" si="193"/>
        <v>183390.60599999997</v>
      </c>
      <c r="F89" s="61">
        <f t="shared" si="193"/>
        <v>183390.60599999997</v>
      </c>
      <c r="H89" s="61">
        <f t="shared" ref="H89:L89" si="194">H76</f>
        <v>0</v>
      </c>
      <c r="I89" s="61">
        <f t="shared" si="194"/>
        <v>0</v>
      </c>
      <c r="J89" s="61">
        <f t="shared" si="194"/>
        <v>0</v>
      </c>
      <c r="K89" s="61">
        <f t="shared" si="194"/>
        <v>457903.90800000005</v>
      </c>
      <c r="L89" s="61">
        <f t="shared" si="194"/>
        <v>457903.90800000005</v>
      </c>
      <c r="N89" s="61">
        <f t="shared" ref="N89:R89" si="195">N76</f>
        <v>0</v>
      </c>
      <c r="O89" s="61">
        <f t="shared" si="195"/>
        <v>0</v>
      </c>
      <c r="P89" s="61">
        <f t="shared" si="195"/>
        <v>0</v>
      </c>
      <c r="Q89" s="61">
        <f t="shared" si="195"/>
        <v>179734.46400000001</v>
      </c>
      <c r="R89" s="61">
        <f t="shared" si="195"/>
        <v>179734.46400000001</v>
      </c>
      <c r="T89" s="61">
        <f t="shared" ref="T89:X89" si="196">T76</f>
        <v>0</v>
      </c>
      <c r="U89" s="61">
        <f t="shared" si="196"/>
        <v>0</v>
      </c>
      <c r="V89" s="61">
        <f t="shared" si="196"/>
        <v>0</v>
      </c>
      <c r="W89" s="61">
        <f t="shared" si="196"/>
        <v>100615.28400000001</v>
      </c>
      <c r="X89" s="61">
        <f t="shared" si="196"/>
        <v>100615.28400000001</v>
      </c>
      <c r="Z89" s="61">
        <f t="shared" ref="Z89:AD89" si="197">Z76</f>
        <v>0</v>
      </c>
      <c r="AA89" s="61">
        <f t="shared" si="197"/>
        <v>0</v>
      </c>
      <c r="AB89" s="61">
        <f t="shared" si="197"/>
        <v>0</v>
      </c>
      <c r="AC89" s="61">
        <f t="shared" si="197"/>
        <v>228447.44999999998</v>
      </c>
      <c r="AD89" s="61">
        <f t="shared" si="197"/>
        <v>228447.44999999998</v>
      </c>
      <c r="AF89" s="61">
        <f t="shared" ref="AF89:AJ89" si="198">AF76</f>
        <v>0</v>
      </c>
      <c r="AG89" s="61">
        <f t="shared" si="198"/>
        <v>0</v>
      </c>
      <c r="AH89" s="61">
        <f t="shared" si="198"/>
        <v>0</v>
      </c>
      <c r="AI89" s="61">
        <f t="shared" si="198"/>
        <v>0</v>
      </c>
      <c r="AJ89" s="61">
        <f t="shared" si="198"/>
        <v>0</v>
      </c>
      <c r="AL89" s="61">
        <f t="shared" ref="AL89:AP98" si="199">AL76</f>
        <v>0</v>
      </c>
      <c r="AM89" s="61">
        <f t="shared" si="199"/>
        <v>0</v>
      </c>
      <c r="AN89" s="61">
        <f t="shared" si="199"/>
        <v>0</v>
      </c>
      <c r="AO89" s="61">
        <f t="shared" si="199"/>
        <v>0</v>
      </c>
      <c r="AP89" s="61">
        <f t="shared" si="199"/>
        <v>0</v>
      </c>
      <c r="AR89" s="7">
        <f t="shared" si="189"/>
        <v>0</v>
      </c>
      <c r="AS89" s="7">
        <f t="shared" si="190"/>
        <v>0</v>
      </c>
      <c r="AT89" s="7">
        <f t="shared" si="191"/>
        <v>0</v>
      </c>
      <c r="AU89" s="7">
        <f t="shared" si="192"/>
        <v>1150091.7120000001</v>
      </c>
      <c r="AV89" s="7">
        <f t="shared" si="139"/>
        <v>1150091.7120000001</v>
      </c>
    </row>
    <row r="90" spans="1:48" hidden="1" x14ac:dyDescent="0.25">
      <c r="A90" s="62" t="s">
        <v>72</v>
      </c>
      <c r="B90" s="61">
        <f t="shared" si="193"/>
        <v>0</v>
      </c>
      <c r="C90" s="61">
        <f t="shared" si="193"/>
        <v>0</v>
      </c>
      <c r="D90" s="61">
        <f t="shared" si="193"/>
        <v>92150</v>
      </c>
      <c r="E90" s="61">
        <f t="shared" si="193"/>
        <v>0</v>
      </c>
      <c r="F90" s="61">
        <f t="shared" si="193"/>
        <v>92150</v>
      </c>
      <c r="H90" s="61">
        <f t="shared" ref="H90:L90" si="200">H77</f>
        <v>0</v>
      </c>
      <c r="I90" s="61">
        <f t="shared" si="200"/>
        <v>0</v>
      </c>
      <c r="J90" s="61">
        <f t="shared" si="200"/>
        <v>270750</v>
      </c>
      <c r="K90" s="61">
        <f t="shared" si="200"/>
        <v>0</v>
      </c>
      <c r="L90" s="61">
        <f t="shared" si="200"/>
        <v>270750</v>
      </c>
      <c r="N90" s="61">
        <f t="shared" ref="N90:R90" si="201">N77</f>
        <v>0</v>
      </c>
      <c r="O90" s="61">
        <f t="shared" si="201"/>
        <v>0</v>
      </c>
      <c r="P90" s="61">
        <f t="shared" si="201"/>
        <v>70300</v>
      </c>
      <c r="Q90" s="61">
        <f t="shared" si="201"/>
        <v>0</v>
      </c>
      <c r="R90" s="61">
        <f t="shared" si="201"/>
        <v>70300</v>
      </c>
      <c r="T90" s="61">
        <f t="shared" ref="T90:X90" si="202">T77</f>
        <v>0</v>
      </c>
      <c r="U90" s="61">
        <f t="shared" si="202"/>
        <v>0</v>
      </c>
      <c r="V90" s="61">
        <f t="shared" si="202"/>
        <v>102600</v>
      </c>
      <c r="W90" s="61">
        <f t="shared" si="202"/>
        <v>0</v>
      </c>
      <c r="X90" s="61">
        <f t="shared" si="202"/>
        <v>102600</v>
      </c>
      <c r="Z90" s="61">
        <f t="shared" ref="Z90:AD90" si="203">Z77</f>
        <v>0</v>
      </c>
      <c r="AA90" s="61">
        <f t="shared" si="203"/>
        <v>0</v>
      </c>
      <c r="AB90" s="61">
        <f t="shared" si="203"/>
        <v>162450</v>
      </c>
      <c r="AC90" s="61">
        <f t="shared" si="203"/>
        <v>0</v>
      </c>
      <c r="AD90" s="61">
        <f t="shared" si="203"/>
        <v>162450</v>
      </c>
      <c r="AF90" s="61">
        <f t="shared" ref="AF90:AJ90" si="204">AF77</f>
        <v>0</v>
      </c>
      <c r="AG90" s="61">
        <f t="shared" si="204"/>
        <v>0</v>
      </c>
      <c r="AH90" s="61">
        <f t="shared" si="204"/>
        <v>0</v>
      </c>
      <c r="AI90" s="61">
        <f t="shared" si="204"/>
        <v>0</v>
      </c>
      <c r="AJ90" s="61">
        <f t="shared" si="204"/>
        <v>0</v>
      </c>
      <c r="AL90" s="61">
        <f t="shared" si="199"/>
        <v>0</v>
      </c>
      <c r="AM90" s="61">
        <f t="shared" si="199"/>
        <v>0</v>
      </c>
      <c r="AN90" s="61">
        <f t="shared" si="199"/>
        <v>9500</v>
      </c>
      <c r="AO90" s="61">
        <f t="shared" si="199"/>
        <v>0</v>
      </c>
      <c r="AP90" s="61">
        <f t="shared" si="199"/>
        <v>9500</v>
      </c>
      <c r="AR90" s="7">
        <f t="shared" si="189"/>
        <v>0</v>
      </c>
      <c r="AS90" s="7">
        <f t="shared" si="190"/>
        <v>0</v>
      </c>
      <c r="AT90" s="7">
        <f t="shared" si="191"/>
        <v>707750</v>
      </c>
      <c r="AU90" s="7">
        <f t="shared" si="192"/>
        <v>0</v>
      </c>
      <c r="AV90" s="7">
        <f t="shared" si="139"/>
        <v>707750</v>
      </c>
    </row>
    <row r="91" spans="1:48" hidden="1" x14ac:dyDescent="0.25">
      <c r="A91" s="141" t="s">
        <v>73</v>
      </c>
      <c r="B91" s="61">
        <f t="shared" si="193"/>
        <v>0</v>
      </c>
      <c r="C91" s="61">
        <f t="shared" si="193"/>
        <v>0</v>
      </c>
      <c r="D91" s="61">
        <f t="shared" si="193"/>
        <v>267235</v>
      </c>
      <c r="E91" s="61">
        <f t="shared" si="193"/>
        <v>0</v>
      </c>
      <c r="F91" s="61">
        <f t="shared" si="193"/>
        <v>267235</v>
      </c>
      <c r="H91" s="61">
        <f t="shared" ref="H91:L91" si="205">H78</f>
        <v>0</v>
      </c>
      <c r="I91" s="61">
        <f t="shared" si="205"/>
        <v>0</v>
      </c>
      <c r="J91" s="61">
        <f t="shared" si="205"/>
        <v>785175</v>
      </c>
      <c r="K91" s="61">
        <f t="shared" si="205"/>
        <v>0</v>
      </c>
      <c r="L91" s="61">
        <f t="shared" si="205"/>
        <v>785175</v>
      </c>
      <c r="N91" s="61">
        <f t="shared" ref="N91:R91" si="206">N78</f>
        <v>0</v>
      </c>
      <c r="O91" s="61">
        <f t="shared" si="206"/>
        <v>0</v>
      </c>
      <c r="P91" s="61">
        <f t="shared" si="206"/>
        <v>203870</v>
      </c>
      <c r="Q91" s="61">
        <f t="shared" si="206"/>
        <v>0</v>
      </c>
      <c r="R91" s="61">
        <f t="shared" si="206"/>
        <v>203870</v>
      </c>
      <c r="T91" s="61">
        <f t="shared" ref="T91:X91" si="207">T78</f>
        <v>0</v>
      </c>
      <c r="U91" s="61">
        <f t="shared" si="207"/>
        <v>0</v>
      </c>
      <c r="V91" s="61">
        <f t="shared" si="207"/>
        <v>297540</v>
      </c>
      <c r="W91" s="61">
        <f t="shared" si="207"/>
        <v>0</v>
      </c>
      <c r="X91" s="61">
        <f t="shared" si="207"/>
        <v>297540</v>
      </c>
      <c r="Z91" s="61">
        <f t="shared" ref="Z91:AD91" si="208">Z78</f>
        <v>0</v>
      </c>
      <c r="AA91" s="61">
        <f t="shared" si="208"/>
        <v>0</v>
      </c>
      <c r="AB91" s="61">
        <f t="shared" si="208"/>
        <v>471105</v>
      </c>
      <c r="AC91" s="61">
        <f t="shared" si="208"/>
        <v>0</v>
      </c>
      <c r="AD91" s="61">
        <f t="shared" si="208"/>
        <v>471105</v>
      </c>
      <c r="AF91" s="61">
        <f t="shared" ref="AF91:AJ91" si="209">AF78</f>
        <v>0</v>
      </c>
      <c r="AG91" s="61">
        <f t="shared" si="209"/>
        <v>0</v>
      </c>
      <c r="AH91" s="61">
        <f t="shared" si="209"/>
        <v>0</v>
      </c>
      <c r="AI91" s="61">
        <f t="shared" si="209"/>
        <v>0</v>
      </c>
      <c r="AJ91" s="61">
        <f t="shared" si="209"/>
        <v>0</v>
      </c>
      <c r="AL91" s="61">
        <f t="shared" si="199"/>
        <v>0</v>
      </c>
      <c r="AM91" s="61">
        <f t="shared" si="199"/>
        <v>0</v>
      </c>
      <c r="AN91" s="61">
        <f t="shared" si="199"/>
        <v>0</v>
      </c>
      <c r="AO91" s="61">
        <f t="shared" si="199"/>
        <v>0</v>
      </c>
      <c r="AP91" s="61">
        <f t="shared" si="199"/>
        <v>0</v>
      </c>
      <c r="AR91" s="7">
        <f t="shared" si="189"/>
        <v>0</v>
      </c>
      <c r="AS91" s="7">
        <f t="shared" si="190"/>
        <v>0</v>
      </c>
      <c r="AT91" s="7">
        <f t="shared" si="191"/>
        <v>2024925</v>
      </c>
      <c r="AU91" s="7">
        <f t="shared" si="192"/>
        <v>0</v>
      </c>
      <c r="AV91" s="7">
        <f t="shared" si="139"/>
        <v>2024925</v>
      </c>
    </row>
    <row r="92" spans="1:48" hidden="1" x14ac:dyDescent="0.25">
      <c r="A92" s="62" t="s">
        <v>74</v>
      </c>
      <c r="B92" s="61">
        <f t="shared" si="193"/>
        <v>0</v>
      </c>
      <c r="C92" s="61">
        <f t="shared" si="193"/>
        <v>24525</v>
      </c>
      <c r="D92" s="61">
        <f t="shared" si="193"/>
        <v>0</v>
      </c>
      <c r="E92" s="61">
        <f t="shared" si="193"/>
        <v>0</v>
      </c>
      <c r="F92" s="61">
        <f t="shared" si="193"/>
        <v>24525</v>
      </c>
      <c r="H92" s="61">
        <f t="shared" ref="H92:L92" si="210">H79</f>
        <v>0</v>
      </c>
      <c r="I92" s="61">
        <f t="shared" si="210"/>
        <v>53955</v>
      </c>
      <c r="J92" s="61">
        <f t="shared" si="210"/>
        <v>0</v>
      </c>
      <c r="K92" s="61">
        <f t="shared" si="210"/>
        <v>0</v>
      </c>
      <c r="L92" s="61">
        <f t="shared" si="210"/>
        <v>53955</v>
      </c>
      <c r="N92" s="61">
        <f t="shared" ref="N92:R92" si="211">N79</f>
        <v>0</v>
      </c>
      <c r="O92" s="61">
        <f t="shared" si="211"/>
        <v>29430</v>
      </c>
      <c r="P92" s="61">
        <f t="shared" si="211"/>
        <v>0</v>
      </c>
      <c r="Q92" s="61">
        <f t="shared" si="211"/>
        <v>0</v>
      </c>
      <c r="R92" s="61">
        <f t="shared" si="211"/>
        <v>29430</v>
      </c>
      <c r="T92" s="61">
        <f t="shared" ref="T92:X92" si="212">T79</f>
        <v>0</v>
      </c>
      <c r="U92" s="61">
        <f t="shared" si="212"/>
        <v>13080</v>
      </c>
      <c r="V92" s="61">
        <f t="shared" si="212"/>
        <v>0</v>
      </c>
      <c r="W92" s="61">
        <f t="shared" si="212"/>
        <v>0</v>
      </c>
      <c r="X92" s="61">
        <f t="shared" si="212"/>
        <v>13080</v>
      </c>
      <c r="Z92" s="61">
        <f t="shared" ref="Z92:AD92" si="213">Z79</f>
        <v>0</v>
      </c>
      <c r="AA92" s="61">
        <f t="shared" si="213"/>
        <v>37605</v>
      </c>
      <c r="AB92" s="61">
        <f t="shared" si="213"/>
        <v>0</v>
      </c>
      <c r="AC92" s="61">
        <f t="shared" si="213"/>
        <v>0</v>
      </c>
      <c r="AD92" s="61">
        <f t="shared" si="213"/>
        <v>37605</v>
      </c>
      <c r="AF92" s="61">
        <f t="shared" ref="AF92:AJ92" si="214">AF79</f>
        <v>0</v>
      </c>
      <c r="AG92" s="61">
        <f t="shared" si="214"/>
        <v>0</v>
      </c>
      <c r="AH92" s="61">
        <f t="shared" si="214"/>
        <v>0</v>
      </c>
      <c r="AI92" s="61">
        <f t="shared" si="214"/>
        <v>0</v>
      </c>
      <c r="AJ92" s="61">
        <f t="shared" si="214"/>
        <v>0</v>
      </c>
      <c r="AL92" s="61">
        <f t="shared" si="199"/>
        <v>0</v>
      </c>
      <c r="AM92" s="61">
        <f t="shared" si="199"/>
        <v>0</v>
      </c>
      <c r="AN92" s="61">
        <f t="shared" si="199"/>
        <v>0</v>
      </c>
      <c r="AO92" s="61">
        <f t="shared" si="199"/>
        <v>0</v>
      </c>
      <c r="AP92" s="61">
        <f t="shared" si="199"/>
        <v>0</v>
      </c>
      <c r="AR92" s="7">
        <f t="shared" si="189"/>
        <v>0</v>
      </c>
      <c r="AS92" s="7">
        <f t="shared" si="190"/>
        <v>158595</v>
      </c>
      <c r="AT92" s="7">
        <f t="shared" si="191"/>
        <v>0</v>
      </c>
      <c r="AU92" s="7">
        <f t="shared" si="192"/>
        <v>0</v>
      </c>
      <c r="AV92" s="7">
        <f t="shared" si="139"/>
        <v>158595</v>
      </c>
    </row>
    <row r="93" spans="1:48" hidden="1" x14ac:dyDescent="0.25">
      <c r="A93" s="62" t="s">
        <v>75</v>
      </c>
      <c r="B93" s="61">
        <f t="shared" si="193"/>
        <v>0</v>
      </c>
      <c r="C93" s="61">
        <f t="shared" si="193"/>
        <v>37312</v>
      </c>
      <c r="D93" s="61">
        <f t="shared" si="193"/>
        <v>0</v>
      </c>
      <c r="E93" s="61">
        <f t="shared" si="193"/>
        <v>0</v>
      </c>
      <c r="F93" s="61">
        <f t="shared" si="193"/>
        <v>37312</v>
      </c>
      <c r="H93" s="61">
        <f t="shared" ref="H93:L93" si="215">H80</f>
        <v>0</v>
      </c>
      <c r="I93" s="61">
        <f t="shared" si="215"/>
        <v>44096</v>
      </c>
      <c r="J93" s="61">
        <f t="shared" si="215"/>
        <v>0</v>
      </c>
      <c r="K93" s="61">
        <f t="shared" si="215"/>
        <v>0</v>
      </c>
      <c r="L93" s="61">
        <f t="shared" si="215"/>
        <v>44096</v>
      </c>
      <c r="N93" s="61">
        <f t="shared" ref="N93:R93" si="216">N80</f>
        <v>0</v>
      </c>
      <c r="O93" s="61">
        <f t="shared" si="216"/>
        <v>39008</v>
      </c>
      <c r="P93" s="61">
        <f t="shared" si="216"/>
        <v>0</v>
      </c>
      <c r="Q93" s="61">
        <f t="shared" si="216"/>
        <v>0</v>
      </c>
      <c r="R93" s="61">
        <f t="shared" si="216"/>
        <v>39008</v>
      </c>
      <c r="T93" s="61">
        <f t="shared" ref="T93:X93" si="217">T80</f>
        <v>0</v>
      </c>
      <c r="U93" s="61">
        <f t="shared" si="217"/>
        <v>65296</v>
      </c>
      <c r="V93" s="61">
        <f t="shared" si="217"/>
        <v>0</v>
      </c>
      <c r="W93" s="61">
        <f t="shared" si="217"/>
        <v>0</v>
      </c>
      <c r="X93" s="61">
        <f t="shared" si="217"/>
        <v>65296</v>
      </c>
      <c r="Z93" s="61">
        <f t="shared" ref="Z93:AD93" si="218">Z80</f>
        <v>0</v>
      </c>
      <c r="AA93" s="61">
        <f t="shared" si="218"/>
        <v>54272</v>
      </c>
      <c r="AB93" s="61">
        <f t="shared" si="218"/>
        <v>0</v>
      </c>
      <c r="AC93" s="61">
        <f t="shared" si="218"/>
        <v>0</v>
      </c>
      <c r="AD93" s="61">
        <f t="shared" si="218"/>
        <v>54272</v>
      </c>
      <c r="AF93" s="61">
        <f t="shared" ref="AF93:AJ93" si="219">AF80</f>
        <v>0</v>
      </c>
      <c r="AG93" s="61">
        <f t="shared" si="219"/>
        <v>0</v>
      </c>
      <c r="AH93" s="61">
        <f t="shared" si="219"/>
        <v>0</v>
      </c>
      <c r="AI93" s="61">
        <f t="shared" si="219"/>
        <v>0</v>
      </c>
      <c r="AJ93" s="61">
        <f t="shared" si="219"/>
        <v>0</v>
      </c>
      <c r="AL93" s="61">
        <f t="shared" si="199"/>
        <v>0</v>
      </c>
      <c r="AM93" s="61">
        <f t="shared" si="199"/>
        <v>0</v>
      </c>
      <c r="AN93" s="61">
        <f t="shared" si="199"/>
        <v>0</v>
      </c>
      <c r="AO93" s="61">
        <f t="shared" si="199"/>
        <v>0</v>
      </c>
      <c r="AP93" s="61">
        <f t="shared" si="199"/>
        <v>0</v>
      </c>
      <c r="AR93" s="7">
        <f t="shared" si="189"/>
        <v>0</v>
      </c>
      <c r="AS93" s="7">
        <f t="shared" si="190"/>
        <v>239984</v>
      </c>
      <c r="AT93" s="7">
        <f t="shared" si="191"/>
        <v>0</v>
      </c>
      <c r="AU93" s="7">
        <f t="shared" si="192"/>
        <v>0</v>
      </c>
      <c r="AV93" s="7">
        <f t="shared" si="139"/>
        <v>239984</v>
      </c>
    </row>
    <row r="94" spans="1:48" hidden="1" x14ac:dyDescent="0.25">
      <c r="A94" s="62" t="s">
        <v>76</v>
      </c>
      <c r="B94" s="61">
        <f t="shared" si="193"/>
        <v>0</v>
      </c>
      <c r="C94" s="61">
        <f t="shared" si="193"/>
        <v>55912</v>
      </c>
      <c r="D94" s="61">
        <f t="shared" si="193"/>
        <v>0</v>
      </c>
      <c r="E94" s="61">
        <f t="shared" si="193"/>
        <v>0</v>
      </c>
      <c r="F94" s="61">
        <f t="shared" si="193"/>
        <v>55912</v>
      </c>
      <c r="H94" s="61">
        <f t="shared" ref="H94:L94" si="220">H81</f>
        <v>0</v>
      </c>
      <c r="I94" s="61">
        <f t="shared" si="220"/>
        <v>124597</v>
      </c>
      <c r="J94" s="61">
        <f t="shared" si="220"/>
        <v>0</v>
      </c>
      <c r="K94" s="61">
        <f t="shared" si="220"/>
        <v>0</v>
      </c>
      <c r="L94" s="61">
        <f t="shared" si="220"/>
        <v>124597</v>
      </c>
      <c r="N94" s="61">
        <f t="shared" ref="N94:R94" si="221">N81</f>
        <v>0</v>
      </c>
      <c r="O94" s="61">
        <f t="shared" si="221"/>
        <v>58081</v>
      </c>
      <c r="P94" s="61">
        <f t="shared" si="221"/>
        <v>0</v>
      </c>
      <c r="Q94" s="61">
        <f t="shared" si="221"/>
        <v>0</v>
      </c>
      <c r="R94" s="61">
        <f t="shared" si="221"/>
        <v>58081</v>
      </c>
      <c r="T94" s="61">
        <f t="shared" ref="T94:X94" si="222">T81</f>
        <v>0</v>
      </c>
      <c r="U94" s="61">
        <f t="shared" si="222"/>
        <v>31571</v>
      </c>
      <c r="V94" s="61">
        <f t="shared" si="222"/>
        <v>0</v>
      </c>
      <c r="W94" s="61">
        <f t="shared" si="222"/>
        <v>0</v>
      </c>
      <c r="X94" s="61">
        <f t="shared" si="222"/>
        <v>31571</v>
      </c>
      <c r="Z94" s="61">
        <f t="shared" ref="Z94:AD94" si="223">Z81</f>
        <v>0</v>
      </c>
      <c r="AA94" s="61">
        <f t="shared" si="223"/>
        <v>59045</v>
      </c>
      <c r="AB94" s="61">
        <f t="shared" si="223"/>
        <v>0</v>
      </c>
      <c r="AC94" s="61">
        <f t="shared" si="223"/>
        <v>0</v>
      </c>
      <c r="AD94" s="61">
        <f t="shared" si="223"/>
        <v>59045</v>
      </c>
      <c r="AF94" s="61">
        <f t="shared" ref="AF94:AJ94" si="224">AF81</f>
        <v>0</v>
      </c>
      <c r="AG94" s="61">
        <f t="shared" si="224"/>
        <v>0</v>
      </c>
      <c r="AH94" s="61">
        <f t="shared" si="224"/>
        <v>0</v>
      </c>
      <c r="AI94" s="61">
        <f t="shared" si="224"/>
        <v>0</v>
      </c>
      <c r="AJ94" s="61">
        <f t="shared" si="224"/>
        <v>0</v>
      </c>
      <c r="AL94" s="61">
        <f t="shared" si="199"/>
        <v>0</v>
      </c>
      <c r="AM94" s="61">
        <f t="shared" si="199"/>
        <v>0</v>
      </c>
      <c r="AN94" s="61">
        <f t="shared" si="199"/>
        <v>0</v>
      </c>
      <c r="AO94" s="61">
        <f t="shared" si="199"/>
        <v>0</v>
      </c>
      <c r="AP94" s="61">
        <f t="shared" si="199"/>
        <v>0</v>
      </c>
      <c r="AR94" s="7">
        <f t="shared" si="189"/>
        <v>0</v>
      </c>
      <c r="AS94" s="7">
        <f t="shared" si="190"/>
        <v>329206</v>
      </c>
      <c r="AT94" s="7">
        <f t="shared" si="191"/>
        <v>0</v>
      </c>
      <c r="AU94" s="7">
        <f t="shared" si="192"/>
        <v>0</v>
      </c>
      <c r="AV94" s="7">
        <f t="shared" si="139"/>
        <v>329206</v>
      </c>
    </row>
    <row r="95" spans="1:48" hidden="1" x14ac:dyDescent="0.25">
      <c r="A95" s="62" t="s">
        <v>202</v>
      </c>
      <c r="B95" s="61">
        <f t="shared" si="193"/>
        <v>0</v>
      </c>
      <c r="C95" s="61">
        <f t="shared" si="193"/>
        <v>0</v>
      </c>
      <c r="D95" s="61">
        <f t="shared" si="193"/>
        <v>0</v>
      </c>
      <c r="E95" s="61">
        <f t="shared" si="193"/>
        <v>0</v>
      </c>
      <c r="F95" s="61">
        <f t="shared" si="193"/>
        <v>0</v>
      </c>
      <c r="H95" s="61">
        <f t="shared" ref="H95:L95" si="225">H82</f>
        <v>88000</v>
      </c>
      <c r="I95" s="61">
        <f t="shared" si="225"/>
        <v>0</v>
      </c>
      <c r="J95" s="61">
        <f t="shared" si="225"/>
        <v>0</v>
      </c>
      <c r="K95" s="61">
        <f t="shared" si="225"/>
        <v>0</v>
      </c>
      <c r="L95" s="61">
        <f t="shared" si="225"/>
        <v>88000</v>
      </c>
      <c r="N95" s="61">
        <f t="shared" ref="N95:R95" si="226">N82</f>
        <v>0</v>
      </c>
      <c r="O95" s="61">
        <f t="shared" si="226"/>
        <v>0</v>
      </c>
      <c r="P95" s="61">
        <f t="shared" si="226"/>
        <v>0</v>
      </c>
      <c r="Q95" s="61">
        <f t="shared" si="226"/>
        <v>0</v>
      </c>
      <c r="R95" s="61">
        <f t="shared" si="226"/>
        <v>0</v>
      </c>
      <c r="T95" s="61">
        <f t="shared" ref="T95:X95" si="227">T82</f>
        <v>0</v>
      </c>
      <c r="U95" s="61">
        <f t="shared" si="227"/>
        <v>0</v>
      </c>
      <c r="V95" s="61">
        <f t="shared" si="227"/>
        <v>0</v>
      </c>
      <c r="W95" s="61">
        <f t="shared" si="227"/>
        <v>0</v>
      </c>
      <c r="X95" s="61">
        <f t="shared" si="227"/>
        <v>0</v>
      </c>
      <c r="Z95" s="61">
        <f t="shared" ref="Z95:AD95" si="228">Z82</f>
        <v>0</v>
      </c>
      <c r="AA95" s="61">
        <f t="shared" si="228"/>
        <v>0</v>
      </c>
      <c r="AB95" s="61">
        <f t="shared" si="228"/>
        <v>0</v>
      </c>
      <c r="AC95" s="61">
        <f t="shared" si="228"/>
        <v>0</v>
      </c>
      <c r="AD95" s="61">
        <f t="shared" si="228"/>
        <v>0</v>
      </c>
      <c r="AF95" s="61">
        <f t="shared" ref="AF95:AJ95" si="229">AF82</f>
        <v>0</v>
      </c>
      <c r="AG95" s="61">
        <f t="shared" si="229"/>
        <v>0</v>
      </c>
      <c r="AH95" s="61">
        <f t="shared" si="229"/>
        <v>0</v>
      </c>
      <c r="AI95" s="61">
        <f t="shared" si="229"/>
        <v>0</v>
      </c>
      <c r="AJ95" s="61">
        <f t="shared" si="229"/>
        <v>0</v>
      </c>
      <c r="AL95" s="61">
        <f t="shared" si="199"/>
        <v>0</v>
      </c>
      <c r="AM95" s="61">
        <f t="shared" si="199"/>
        <v>0</v>
      </c>
      <c r="AN95" s="61">
        <f t="shared" si="199"/>
        <v>0</v>
      </c>
      <c r="AO95" s="61">
        <f t="shared" si="199"/>
        <v>0</v>
      </c>
      <c r="AP95" s="61">
        <f t="shared" si="199"/>
        <v>0</v>
      </c>
      <c r="AR95" s="7">
        <f t="shared" si="189"/>
        <v>88000</v>
      </c>
      <c r="AS95" s="7">
        <f t="shared" si="190"/>
        <v>0</v>
      </c>
      <c r="AT95" s="7">
        <f t="shared" si="191"/>
        <v>0</v>
      </c>
      <c r="AU95" s="7">
        <f t="shared" si="192"/>
        <v>0</v>
      </c>
      <c r="AV95" s="7">
        <f t="shared" si="139"/>
        <v>88000</v>
      </c>
    </row>
    <row r="96" spans="1:48" hidden="1" x14ac:dyDescent="0.25">
      <c r="A96" s="62" t="s">
        <v>203</v>
      </c>
      <c r="B96" s="61">
        <f t="shared" si="193"/>
        <v>0</v>
      </c>
      <c r="C96" s="61">
        <f t="shared" si="193"/>
        <v>0</v>
      </c>
      <c r="D96" s="61">
        <f t="shared" si="193"/>
        <v>0</v>
      </c>
      <c r="E96" s="61">
        <f t="shared" si="193"/>
        <v>0</v>
      </c>
      <c r="F96" s="61">
        <f t="shared" si="193"/>
        <v>0</v>
      </c>
      <c r="H96" s="61">
        <f t="shared" ref="H96:L96" si="230">H83</f>
        <v>0</v>
      </c>
      <c r="I96" s="61">
        <f t="shared" si="230"/>
        <v>0</v>
      </c>
      <c r="J96" s="61">
        <f t="shared" si="230"/>
        <v>0</v>
      </c>
      <c r="K96" s="61">
        <f t="shared" si="230"/>
        <v>0</v>
      </c>
      <c r="L96" s="61">
        <f t="shared" si="230"/>
        <v>0</v>
      </c>
      <c r="N96" s="61">
        <f t="shared" ref="N96:R96" si="231">N83</f>
        <v>0</v>
      </c>
      <c r="O96" s="61">
        <f t="shared" si="231"/>
        <v>0</v>
      </c>
      <c r="P96" s="61">
        <f t="shared" si="231"/>
        <v>0</v>
      </c>
      <c r="Q96" s="61">
        <f t="shared" si="231"/>
        <v>0</v>
      </c>
      <c r="R96" s="61">
        <f t="shared" si="231"/>
        <v>0</v>
      </c>
      <c r="T96" s="61">
        <f t="shared" ref="T96:X96" si="232">T83</f>
        <v>0</v>
      </c>
      <c r="U96" s="61">
        <f t="shared" si="232"/>
        <v>0</v>
      </c>
      <c r="V96" s="61">
        <f t="shared" si="232"/>
        <v>0</v>
      </c>
      <c r="W96" s="61">
        <f t="shared" si="232"/>
        <v>0</v>
      </c>
      <c r="X96" s="61">
        <f t="shared" si="232"/>
        <v>0</v>
      </c>
      <c r="Z96" s="61">
        <f t="shared" ref="Z96:AD96" si="233">Z83</f>
        <v>0</v>
      </c>
      <c r="AA96" s="61">
        <f t="shared" si="233"/>
        <v>0</v>
      </c>
      <c r="AB96" s="61">
        <f t="shared" si="233"/>
        <v>0</v>
      </c>
      <c r="AC96" s="61">
        <f t="shared" si="233"/>
        <v>0</v>
      </c>
      <c r="AD96" s="61">
        <f t="shared" si="233"/>
        <v>0</v>
      </c>
      <c r="AF96" s="61">
        <f t="shared" ref="AF96:AJ96" si="234">AF83</f>
        <v>0</v>
      </c>
      <c r="AG96" s="61">
        <f t="shared" si="234"/>
        <v>0</v>
      </c>
      <c r="AH96" s="61">
        <f t="shared" si="234"/>
        <v>0</v>
      </c>
      <c r="AI96" s="61">
        <f t="shared" si="234"/>
        <v>0</v>
      </c>
      <c r="AJ96" s="61">
        <f t="shared" si="234"/>
        <v>0</v>
      </c>
      <c r="AL96" s="61">
        <f t="shared" si="199"/>
        <v>0</v>
      </c>
      <c r="AM96" s="61">
        <f t="shared" si="199"/>
        <v>0</v>
      </c>
      <c r="AN96" s="61">
        <f t="shared" si="199"/>
        <v>0</v>
      </c>
      <c r="AO96" s="61">
        <f t="shared" si="199"/>
        <v>0</v>
      </c>
      <c r="AP96" s="61">
        <f t="shared" si="199"/>
        <v>0</v>
      </c>
      <c r="AR96" s="7">
        <f t="shared" si="189"/>
        <v>0</v>
      </c>
      <c r="AS96" s="7">
        <f t="shared" si="190"/>
        <v>0</v>
      </c>
      <c r="AT96" s="7">
        <f t="shared" si="191"/>
        <v>0</v>
      </c>
      <c r="AU96" s="7">
        <f t="shared" si="192"/>
        <v>0</v>
      </c>
      <c r="AV96" s="7">
        <f t="shared" si="139"/>
        <v>0</v>
      </c>
    </row>
    <row r="97" spans="1:48" hidden="1" x14ac:dyDescent="0.25">
      <c r="A97" s="62" t="s">
        <v>77</v>
      </c>
      <c r="B97" s="61">
        <f t="shared" si="193"/>
        <v>0</v>
      </c>
      <c r="C97" s="61">
        <f t="shared" si="193"/>
        <v>0</v>
      </c>
      <c r="D97" s="61">
        <f t="shared" si="193"/>
        <v>0</v>
      </c>
      <c r="E97" s="61">
        <f t="shared" si="193"/>
        <v>0</v>
      </c>
      <c r="F97" s="61">
        <f t="shared" si="193"/>
        <v>0</v>
      </c>
      <c r="H97" s="61">
        <f t="shared" ref="H97:L97" si="235">H84</f>
        <v>0</v>
      </c>
      <c r="I97" s="61">
        <f t="shared" si="235"/>
        <v>0</v>
      </c>
      <c r="J97" s="61">
        <f t="shared" si="235"/>
        <v>0</v>
      </c>
      <c r="K97" s="61">
        <f t="shared" si="235"/>
        <v>0</v>
      </c>
      <c r="L97" s="61">
        <f t="shared" si="235"/>
        <v>0</v>
      </c>
      <c r="N97" s="61">
        <f t="shared" ref="N97:R97" si="236">N84</f>
        <v>0</v>
      </c>
      <c r="O97" s="61">
        <f t="shared" si="236"/>
        <v>0</v>
      </c>
      <c r="P97" s="61">
        <f t="shared" si="236"/>
        <v>0</v>
      </c>
      <c r="Q97" s="61">
        <f t="shared" si="236"/>
        <v>0</v>
      </c>
      <c r="R97" s="61">
        <f t="shared" si="236"/>
        <v>0</v>
      </c>
      <c r="T97" s="61">
        <f t="shared" ref="T97:X97" si="237">T84</f>
        <v>0</v>
      </c>
      <c r="U97" s="61">
        <f t="shared" si="237"/>
        <v>0</v>
      </c>
      <c r="V97" s="61">
        <f t="shared" si="237"/>
        <v>0</v>
      </c>
      <c r="W97" s="61">
        <f t="shared" si="237"/>
        <v>0</v>
      </c>
      <c r="X97" s="61">
        <f t="shared" si="237"/>
        <v>0</v>
      </c>
      <c r="Z97" s="61">
        <f t="shared" ref="Z97:AD97" si="238">Z84</f>
        <v>0</v>
      </c>
      <c r="AA97" s="61">
        <f t="shared" si="238"/>
        <v>0</v>
      </c>
      <c r="AB97" s="61">
        <f t="shared" si="238"/>
        <v>0</v>
      </c>
      <c r="AC97" s="61">
        <f t="shared" si="238"/>
        <v>0</v>
      </c>
      <c r="AD97" s="61">
        <f t="shared" si="238"/>
        <v>0</v>
      </c>
      <c r="AF97" s="61">
        <f t="shared" ref="AF97:AJ97" si="239">AF84</f>
        <v>0</v>
      </c>
      <c r="AG97" s="61">
        <f t="shared" si="239"/>
        <v>0</v>
      </c>
      <c r="AH97" s="61">
        <f t="shared" si="239"/>
        <v>0</v>
      </c>
      <c r="AI97" s="61">
        <f t="shared" si="239"/>
        <v>0</v>
      </c>
      <c r="AJ97" s="61">
        <f t="shared" si="239"/>
        <v>0</v>
      </c>
      <c r="AL97" s="61">
        <f t="shared" si="199"/>
        <v>0</v>
      </c>
      <c r="AM97" s="61">
        <f t="shared" si="199"/>
        <v>0</v>
      </c>
      <c r="AN97" s="61">
        <f t="shared" si="199"/>
        <v>0</v>
      </c>
      <c r="AO97" s="61">
        <f t="shared" si="199"/>
        <v>0</v>
      </c>
      <c r="AP97" s="61">
        <f t="shared" si="199"/>
        <v>0</v>
      </c>
      <c r="AR97" s="7">
        <f t="shared" si="189"/>
        <v>0</v>
      </c>
      <c r="AS97" s="7">
        <f t="shared" si="190"/>
        <v>0</v>
      </c>
      <c r="AT97" s="7">
        <f t="shared" si="191"/>
        <v>0</v>
      </c>
      <c r="AU97" s="7">
        <f t="shared" si="192"/>
        <v>0</v>
      </c>
      <c r="AV97" s="7">
        <f t="shared" si="139"/>
        <v>0</v>
      </c>
    </row>
    <row r="98" spans="1:48" ht="15.75" hidden="1" thickBot="1" x14ac:dyDescent="0.3">
      <c r="A98" s="65" t="s">
        <v>204</v>
      </c>
      <c r="B98" s="61">
        <f t="shared" si="193"/>
        <v>13880</v>
      </c>
      <c r="C98" s="61">
        <f t="shared" si="193"/>
        <v>720</v>
      </c>
      <c r="D98" s="61">
        <f t="shared" si="193"/>
        <v>2160</v>
      </c>
      <c r="E98" s="61">
        <f t="shared" si="193"/>
        <v>240</v>
      </c>
      <c r="F98" s="61">
        <f t="shared" si="193"/>
        <v>17000</v>
      </c>
      <c r="H98" s="61">
        <f t="shared" ref="H98:L98" si="240">H85</f>
        <v>29360</v>
      </c>
      <c r="I98" s="61">
        <f t="shared" si="240"/>
        <v>1440</v>
      </c>
      <c r="J98" s="61">
        <f t="shared" si="240"/>
        <v>6960</v>
      </c>
      <c r="K98" s="61">
        <f t="shared" si="240"/>
        <v>720</v>
      </c>
      <c r="L98" s="61">
        <f t="shared" si="240"/>
        <v>38480</v>
      </c>
      <c r="N98" s="61">
        <f t="shared" ref="N98:R98" si="241">N85</f>
        <v>14960</v>
      </c>
      <c r="O98" s="61">
        <f t="shared" si="241"/>
        <v>1200</v>
      </c>
      <c r="P98" s="61">
        <f t="shared" si="241"/>
        <v>1999.2</v>
      </c>
      <c r="Q98" s="61">
        <f t="shared" si="241"/>
        <v>240</v>
      </c>
      <c r="R98" s="61">
        <f t="shared" si="241"/>
        <v>18399.2</v>
      </c>
      <c r="T98" s="61">
        <f t="shared" ref="T98:X98" si="242">T85</f>
        <v>17960</v>
      </c>
      <c r="U98" s="61">
        <f t="shared" si="242"/>
        <v>840</v>
      </c>
      <c r="V98" s="61">
        <f t="shared" si="242"/>
        <v>3201.6</v>
      </c>
      <c r="W98" s="61">
        <f t="shared" si="242"/>
        <v>240</v>
      </c>
      <c r="X98" s="61">
        <f t="shared" si="242"/>
        <v>22241.599999999999</v>
      </c>
      <c r="Z98" s="61">
        <f t="shared" ref="Z98:AD98" si="243">Z85</f>
        <v>27080</v>
      </c>
      <c r="AA98" s="61">
        <f t="shared" si="243"/>
        <v>840</v>
      </c>
      <c r="AB98" s="61">
        <f t="shared" si="243"/>
        <v>5479.2</v>
      </c>
      <c r="AC98" s="61">
        <f t="shared" si="243"/>
        <v>480</v>
      </c>
      <c r="AD98" s="61">
        <f t="shared" si="243"/>
        <v>33879.199999999997</v>
      </c>
      <c r="AF98" s="61">
        <f t="shared" ref="AF98:AJ98" si="244">AF85</f>
        <v>2720</v>
      </c>
      <c r="AG98" s="61">
        <f t="shared" si="244"/>
        <v>120</v>
      </c>
      <c r="AH98" s="61">
        <f t="shared" si="244"/>
        <v>0</v>
      </c>
      <c r="AI98" s="61">
        <f t="shared" si="244"/>
        <v>0</v>
      </c>
      <c r="AJ98" s="61">
        <f t="shared" si="244"/>
        <v>2840</v>
      </c>
      <c r="AL98" s="61">
        <f t="shared" si="199"/>
        <v>2240</v>
      </c>
      <c r="AM98" s="61">
        <f t="shared" si="199"/>
        <v>0</v>
      </c>
      <c r="AN98" s="61">
        <f t="shared" si="199"/>
        <v>240</v>
      </c>
      <c r="AO98" s="61">
        <f t="shared" si="199"/>
        <v>0</v>
      </c>
      <c r="AP98" s="61">
        <f t="shared" si="199"/>
        <v>2480</v>
      </c>
      <c r="AR98" s="7">
        <f t="shared" si="189"/>
        <v>108200</v>
      </c>
      <c r="AS98" s="7">
        <f t="shared" si="190"/>
        <v>5160</v>
      </c>
      <c r="AT98" s="7">
        <f t="shared" si="191"/>
        <v>20040</v>
      </c>
      <c r="AU98" s="7">
        <f t="shared" si="192"/>
        <v>1920</v>
      </c>
      <c r="AV98" s="7">
        <f t="shared" si="139"/>
        <v>135320</v>
      </c>
    </row>
    <row r="99" spans="1:48" ht="15.75" hidden="1" thickBot="1" x14ac:dyDescent="0.3">
      <c r="A99" s="67" t="s">
        <v>81</v>
      </c>
      <c r="B99" s="68">
        <f>SUM(B87:B98)</f>
        <v>6570287</v>
      </c>
      <c r="C99" s="68">
        <f>SUM(C87:C98)</f>
        <v>118469</v>
      </c>
      <c r="D99" s="68"/>
      <c r="E99" s="68">
        <f t="shared" ref="E99:F99" si="245">SUM(E87:E98)</f>
        <v>183630.60599999997</v>
      </c>
      <c r="F99" s="68">
        <f t="shared" si="245"/>
        <v>7233931.6059999997</v>
      </c>
      <c r="H99" s="68">
        <f>SUM(H87:H98)</f>
        <v>16482852</v>
      </c>
      <c r="I99" s="68">
        <f>SUM(I87:I98)</f>
        <v>224088</v>
      </c>
      <c r="J99" s="68"/>
      <c r="K99" s="68">
        <f t="shared" ref="K99:L99" si="246">SUM(K87:K98)</f>
        <v>458623.90800000005</v>
      </c>
      <c r="L99" s="68">
        <f t="shared" si="246"/>
        <v>18228448.908</v>
      </c>
      <c r="N99" s="68">
        <f>SUM(N87:N98)</f>
        <v>7424648</v>
      </c>
      <c r="O99" s="68">
        <f>SUM(O87:O98)</f>
        <v>127719</v>
      </c>
      <c r="P99" s="68"/>
      <c r="Q99" s="68">
        <f t="shared" ref="Q99:R99" si="247">SUM(Q87:Q98)</f>
        <v>179974.46400000001</v>
      </c>
      <c r="R99" s="68">
        <f t="shared" si="247"/>
        <v>8008510.6639999999</v>
      </c>
      <c r="T99" s="68">
        <f>SUM(T87:T98)</f>
        <v>8762267</v>
      </c>
      <c r="U99" s="68">
        <f>SUM(U87:U98)</f>
        <v>110787</v>
      </c>
      <c r="V99" s="68"/>
      <c r="W99" s="68">
        <f t="shared" ref="W99:X99" si="248">SUM(W87:W98)</f>
        <v>100855.28400000001</v>
      </c>
      <c r="X99" s="68">
        <f t="shared" si="248"/>
        <v>9377250.8839999996</v>
      </c>
      <c r="Z99" s="68">
        <f>SUM(Z87:Z98)</f>
        <v>15269450</v>
      </c>
      <c r="AA99" s="68">
        <f>SUM(AA87:AA98)</f>
        <v>151762</v>
      </c>
      <c r="AB99" s="68"/>
      <c r="AC99" s="68">
        <f t="shared" ref="AC99:AD99" si="249">SUM(AC87:AC98)</f>
        <v>228927.44999999998</v>
      </c>
      <c r="AD99" s="68">
        <f t="shared" si="249"/>
        <v>16289173.649999999</v>
      </c>
      <c r="AF99" s="68">
        <f>SUM(AF87:AF98)</f>
        <v>2720</v>
      </c>
      <c r="AG99" s="68">
        <f>SUM(AG87:AG98)</f>
        <v>120</v>
      </c>
      <c r="AH99" s="68"/>
      <c r="AI99" s="68">
        <f t="shared" ref="AI99:AJ99" si="250">SUM(AI87:AI98)</f>
        <v>0</v>
      </c>
      <c r="AJ99" s="68">
        <f t="shared" si="250"/>
        <v>2840</v>
      </c>
      <c r="AL99" s="68">
        <f>SUM(AL87:AL98)</f>
        <v>624664</v>
      </c>
      <c r="AM99" s="68">
        <f>SUM(AM87:AM98)</f>
        <v>0</v>
      </c>
      <c r="AN99" s="68"/>
      <c r="AO99" s="68">
        <f t="shared" ref="AO99:AP99" si="251">SUM(AO87:AO98)</f>
        <v>0</v>
      </c>
      <c r="AP99" s="68">
        <f t="shared" si="251"/>
        <v>634404</v>
      </c>
      <c r="AR99" s="68">
        <f>SUM(AR87:AR98)</f>
        <v>55136888</v>
      </c>
      <c r="AS99" s="68">
        <f>SUM(AS87:AS98)</f>
        <v>732945</v>
      </c>
      <c r="AT99" s="68"/>
      <c r="AU99" s="68">
        <f t="shared" ref="AU99:AV99" si="252">SUM(AU87:AU98)</f>
        <v>1152011.7120000001</v>
      </c>
      <c r="AV99" s="68">
        <f t="shared" si="252"/>
        <v>59774559.711999997</v>
      </c>
    </row>
    <row r="100" spans="1:48" x14ac:dyDescent="0.25">
      <c r="A100" s="70"/>
      <c r="B100" s="55"/>
      <c r="C100" s="55"/>
      <c r="D100" s="55"/>
      <c r="E100" s="55"/>
      <c r="F100" s="55"/>
      <c r="H100" s="55"/>
      <c r="I100" s="55"/>
      <c r="J100" s="55"/>
      <c r="K100" s="55"/>
      <c r="L100" s="55"/>
      <c r="N100" s="55"/>
      <c r="O100" s="55"/>
      <c r="P100" s="55"/>
      <c r="Q100" s="55"/>
      <c r="R100" s="55"/>
      <c r="T100" s="55"/>
      <c r="U100" s="55"/>
      <c r="V100" s="55"/>
      <c r="W100" s="55"/>
      <c r="X100" s="55"/>
      <c r="Z100" s="55"/>
      <c r="AA100" s="55"/>
      <c r="AB100" s="55"/>
      <c r="AC100" s="55"/>
      <c r="AD100" s="55"/>
      <c r="AF100" s="55"/>
      <c r="AG100" s="55"/>
      <c r="AH100" s="55"/>
      <c r="AI100" s="55"/>
      <c r="AJ100" s="55"/>
      <c r="AL100" s="55"/>
      <c r="AM100" s="55"/>
      <c r="AN100" s="55"/>
      <c r="AO100" s="55"/>
      <c r="AP100" s="55"/>
      <c r="AR100" s="55"/>
      <c r="AS100" s="55"/>
      <c r="AT100" s="55"/>
      <c r="AU100" s="55"/>
      <c r="AV100" s="55"/>
    </row>
    <row r="101" spans="1:48" ht="15.75" thickBot="1" x14ac:dyDescent="0.3">
      <c r="A101" s="73" t="s">
        <v>82</v>
      </c>
      <c r="B101" s="74" t="str">
        <f>B1</f>
        <v>Operating</v>
      </c>
      <c r="C101" s="74" t="str">
        <f>C1</f>
        <v>Weights</v>
      </c>
      <c r="D101" s="74" t="str">
        <f>D1</f>
        <v>SPED</v>
      </c>
      <c r="E101" s="74" t="str">
        <f t="shared" ref="E101:F101" si="253">E1</f>
        <v>NSLP</v>
      </c>
      <c r="F101" s="74" t="str">
        <f t="shared" si="253"/>
        <v>Horizon</v>
      </c>
      <c r="H101" s="74" t="str">
        <f>H1</f>
        <v>Operating</v>
      </c>
      <c r="I101" s="74" t="str">
        <f>I1</f>
        <v>Weights</v>
      </c>
      <c r="J101" s="74" t="str">
        <f>J1</f>
        <v>SPED</v>
      </c>
      <c r="K101" s="74" t="str">
        <f t="shared" ref="K101:L101" si="254">K1</f>
        <v>NSLP</v>
      </c>
      <c r="L101" s="74" t="str">
        <f t="shared" si="254"/>
        <v>Cadence</v>
      </c>
      <c r="N101" s="74" t="str">
        <f>N1</f>
        <v>Operating</v>
      </c>
      <c r="O101" s="74" t="str">
        <f>O1</f>
        <v>Weights</v>
      </c>
      <c r="P101" s="74" t="str">
        <f>P1</f>
        <v>SPED</v>
      </c>
      <c r="Q101" s="74" t="str">
        <f t="shared" ref="Q101:R101" si="255">Q1</f>
        <v>NSLP</v>
      </c>
      <c r="R101" s="74" t="str">
        <f t="shared" si="255"/>
        <v>St. Rose</v>
      </c>
      <c r="T101" s="74" t="str">
        <f>T1</f>
        <v>Operating</v>
      </c>
      <c r="U101" s="74" t="str">
        <f>U1</f>
        <v>Weights</v>
      </c>
      <c r="V101" s="74" t="str">
        <f>V1</f>
        <v>SPED</v>
      </c>
      <c r="W101" s="74" t="str">
        <f t="shared" ref="W101:X101" si="256">W1</f>
        <v>NSLP</v>
      </c>
      <c r="X101" s="74" t="str">
        <f t="shared" si="256"/>
        <v>Inspirada</v>
      </c>
      <c r="Z101" s="74" t="str">
        <f>Z1</f>
        <v>Operating</v>
      </c>
      <c r="AA101" s="74" t="str">
        <f>AA1</f>
        <v>Weights</v>
      </c>
      <c r="AB101" s="74" t="str">
        <f>AB1</f>
        <v>SPED</v>
      </c>
      <c r="AC101" s="74" t="str">
        <f t="shared" ref="AC101:AD101" si="257">AC1</f>
        <v>NSLP</v>
      </c>
      <c r="AD101" s="74" t="str">
        <f t="shared" si="257"/>
        <v>Sloan Canyon</v>
      </c>
      <c r="AF101" s="74" t="str">
        <f>AF1</f>
        <v>Operating</v>
      </c>
      <c r="AG101" s="74" t="str">
        <f>AG1</f>
        <v>Weights</v>
      </c>
      <c r="AH101" s="74" t="str">
        <f>AH1</f>
        <v>SPED</v>
      </c>
      <c r="AI101" s="74" t="str">
        <f t="shared" ref="AI101:AJ101" si="258">AI1</f>
        <v>NSLP</v>
      </c>
      <c r="AJ101" s="74" t="str">
        <f t="shared" si="258"/>
        <v>System Wide</v>
      </c>
      <c r="AL101" s="74" t="str">
        <f>AL1</f>
        <v>Operating</v>
      </c>
      <c r="AM101" s="74" t="str">
        <f>AM1</f>
        <v>Weights</v>
      </c>
      <c r="AN101" s="74" t="str">
        <f>AN1</f>
        <v>SPED</v>
      </c>
      <c r="AO101" s="74" t="str">
        <f t="shared" ref="AO101:AP101" si="259">AO1</f>
        <v>NSLP</v>
      </c>
      <c r="AP101" s="74" t="str">
        <f t="shared" si="259"/>
        <v>Virtual</v>
      </c>
      <c r="AR101" s="74" t="str">
        <f>AR1</f>
        <v>Operating</v>
      </c>
      <c r="AS101" s="74" t="str">
        <f>AS1</f>
        <v>Weights</v>
      </c>
      <c r="AT101" s="74" t="str">
        <f>AT1</f>
        <v>SPED</v>
      </c>
      <c r="AU101" s="74" t="str">
        <f t="shared" ref="AU101:AV101" si="260">AU1</f>
        <v>NSLP</v>
      </c>
      <c r="AV101" s="74" t="str">
        <f t="shared" si="260"/>
        <v>Pinecrest System</v>
      </c>
    </row>
    <row r="102" spans="1:48" x14ac:dyDescent="0.25">
      <c r="A102" s="76" t="s">
        <v>83</v>
      </c>
      <c r="B102" s="77"/>
      <c r="C102" s="77"/>
      <c r="D102" s="77"/>
      <c r="E102" s="77"/>
      <c r="F102" s="77"/>
      <c r="H102" s="77"/>
      <c r="I102" s="77"/>
      <c r="J102" s="77"/>
      <c r="K102" s="77"/>
      <c r="L102" s="77"/>
      <c r="N102" s="77"/>
      <c r="O102" s="77"/>
      <c r="P102" s="77"/>
      <c r="Q102" s="77"/>
      <c r="R102" s="77"/>
      <c r="T102" s="77"/>
      <c r="U102" s="77"/>
      <c r="V102" s="77"/>
      <c r="W102" s="77"/>
      <c r="X102" s="77"/>
      <c r="Z102" s="77"/>
      <c r="AA102" s="77"/>
      <c r="AB102" s="77"/>
      <c r="AC102" s="77"/>
      <c r="AD102" s="77"/>
      <c r="AF102" s="77"/>
      <c r="AG102" s="77"/>
      <c r="AH102" s="77"/>
      <c r="AI102" s="77"/>
      <c r="AJ102" s="77"/>
      <c r="AL102" s="77"/>
      <c r="AM102" s="77"/>
      <c r="AN102" s="77"/>
      <c r="AO102" s="77"/>
      <c r="AP102" s="77"/>
      <c r="AR102" s="77"/>
      <c r="AS102" s="77"/>
      <c r="AT102" s="77"/>
      <c r="AU102" s="77"/>
      <c r="AV102" s="77"/>
    </row>
    <row r="103" spans="1:48" x14ac:dyDescent="0.25">
      <c r="A103" s="62" t="s">
        <v>41</v>
      </c>
      <c r="B103" s="15">
        <f>115000*1.02</f>
        <v>117300</v>
      </c>
      <c r="C103" s="7"/>
      <c r="D103" s="7"/>
      <c r="E103" s="7"/>
      <c r="F103" s="7">
        <f t="shared" ref="F103:F115" si="261">SUM(B103:E103)</f>
        <v>117300</v>
      </c>
      <c r="H103" s="15">
        <f>135500.5*1.02</f>
        <v>138210.51</v>
      </c>
      <c r="I103" s="15"/>
      <c r="J103" s="7"/>
      <c r="K103" s="7"/>
      <c r="L103" s="7">
        <f t="shared" ref="L103:L115" si="262">SUM(H103:K103)</f>
        <v>138210.51</v>
      </c>
      <c r="N103" s="15">
        <f>112000*1.02</f>
        <v>114240</v>
      </c>
      <c r="O103" s="7"/>
      <c r="P103" s="7"/>
      <c r="Q103" s="7"/>
      <c r="R103" s="7">
        <f t="shared" ref="R103:R115" si="263">SUM(N103:Q103)</f>
        <v>114240</v>
      </c>
      <c r="T103" s="15">
        <f>(135000*1.02)+8680</f>
        <v>146380</v>
      </c>
      <c r="U103" s="7"/>
      <c r="V103" s="7"/>
      <c r="W103" s="7"/>
      <c r="X103" s="7">
        <f t="shared" ref="X103:X115" si="264">SUM(T103:W103)</f>
        <v>146380</v>
      </c>
      <c r="Z103" s="15">
        <f>135050.5*1.02</f>
        <v>137751.51</v>
      </c>
      <c r="AA103" s="15"/>
      <c r="AB103" s="7"/>
      <c r="AC103" s="7"/>
      <c r="AD103" s="7">
        <f t="shared" ref="AD103:AD115" si="265">SUM(Z103:AC103)</f>
        <v>137751.51</v>
      </c>
      <c r="AF103" s="15">
        <v>0</v>
      </c>
      <c r="AG103" s="15">
        <v>0</v>
      </c>
      <c r="AH103" s="15">
        <v>0</v>
      </c>
      <c r="AI103" s="15">
        <v>0</v>
      </c>
      <c r="AJ103" s="7">
        <f t="shared" ref="AJ103:AJ115" si="266">SUM(AF103:AI103)</f>
        <v>0</v>
      </c>
      <c r="AL103" s="15">
        <v>0</v>
      </c>
      <c r="AM103" s="7"/>
      <c r="AN103" s="7"/>
      <c r="AO103" s="7"/>
      <c r="AP103" s="7">
        <f t="shared" ref="AP103:AP115" si="267">SUM(AL103:AO103)</f>
        <v>0</v>
      </c>
      <c r="AR103" s="15">
        <f>B103+H103+N103+T103+Z103+AF103+AL103</f>
        <v>653882.02</v>
      </c>
      <c r="AS103" s="15">
        <f t="shared" ref="AS103:AU103" si="268">C103+I103+O103+U103+AA103+AG103+AM103</f>
        <v>0</v>
      </c>
      <c r="AT103" s="15">
        <f t="shared" si="268"/>
        <v>0</v>
      </c>
      <c r="AU103" s="15">
        <f t="shared" si="268"/>
        <v>0</v>
      </c>
      <c r="AV103" s="7">
        <f t="shared" ref="AV103:AV115" si="269">SUM(AR103:AU103)</f>
        <v>653882.02</v>
      </c>
    </row>
    <row r="104" spans="1:48" x14ac:dyDescent="0.25">
      <c r="A104" s="62" t="s">
        <v>84</v>
      </c>
      <c r="B104" s="15">
        <f>(79200+70000)*1.015*1.02*1.02</f>
        <v>157556.09519999998</v>
      </c>
      <c r="C104" s="15">
        <f>70000*1.02</f>
        <v>71400</v>
      </c>
      <c r="D104" s="7"/>
      <c r="E104" s="7"/>
      <c r="F104" s="7">
        <f t="shared" si="261"/>
        <v>228956.09519999998</v>
      </c>
      <c r="H104" s="15">
        <f>(73000+83000+79000+73000)*1.015*1.02*1.02</f>
        <v>325249.848</v>
      </c>
      <c r="I104" s="15"/>
      <c r="J104" s="7"/>
      <c r="K104" s="7"/>
      <c r="L104" s="7">
        <f t="shared" si="262"/>
        <v>325249.848</v>
      </c>
      <c r="N104" s="15">
        <f>(78000+78000)*1.02*1.02</f>
        <v>162302.39999999999</v>
      </c>
      <c r="O104" s="7"/>
      <c r="P104" s="7"/>
      <c r="Q104" s="7"/>
      <c r="R104" s="7">
        <f t="shared" si="263"/>
        <v>162302.39999999999</v>
      </c>
      <c r="T104" s="15">
        <f>(98205+72000)*1.02*1.02</f>
        <v>177081.28200000001</v>
      </c>
      <c r="U104" s="7"/>
      <c r="V104" s="7"/>
      <c r="W104" s="7"/>
      <c r="X104" s="7">
        <f t="shared" si="264"/>
        <v>177081.28200000001</v>
      </c>
      <c r="Z104" s="15">
        <f>(76000+73000+70000)*1.015*1.02*1.02</f>
        <v>231265.31399999998</v>
      </c>
      <c r="AA104" s="15"/>
      <c r="AB104" s="7">
        <v>90000</v>
      </c>
      <c r="AC104" s="7"/>
      <c r="AD104" s="7">
        <f t="shared" si="265"/>
        <v>321265.31400000001</v>
      </c>
      <c r="AF104" s="15">
        <v>0</v>
      </c>
      <c r="AG104" s="15">
        <v>0</v>
      </c>
      <c r="AH104" s="15">
        <v>0</v>
      </c>
      <c r="AI104" s="15">
        <v>0</v>
      </c>
      <c r="AJ104" s="7">
        <f t="shared" si="266"/>
        <v>0</v>
      </c>
      <c r="AL104" s="15">
        <v>0</v>
      </c>
      <c r="AM104" s="7"/>
      <c r="AN104" s="7"/>
      <c r="AO104" s="7"/>
      <c r="AP104" s="7">
        <f t="shared" si="267"/>
        <v>0</v>
      </c>
      <c r="AR104" s="15">
        <f t="shared" ref="AR104:AR115" si="270">B104+H104+N104+T104+Z104+AF104+AL104</f>
        <v>1053454.9391999999</v>
      </c>
      <c r="AS104" s="15">
        <f t="shared" ref="AS104:AS115" si="271">C104+I104+O104+U104+AA104+AG104+AM104</f>
        <v>71400</v>
      </c>
      <c r="AT104" s="15">
        <f t="shared" ref="AT104:AT115" si="272">D104+J104+P104+V104+AB104+AH104+AN104</f>
        <v>90000</v>
      </c>
      <c r="AU104" s="15">
        <f t="shared" ref="AU104:AU115" si="273">E104+K104+Q104+W104+AC104+AI104+AO104</f>
        <v>0</v>
      </c>
      <c r="AV104" s="7">
        <f t="shared" si="269"/>
        <v>1214854.9391999999</v>
      </c>
    </row>
    <row r="105" spans="1:48" x14ac:dyDescent="0.25">
      <c r="A105" s="62" t="s">
        <v>45</v>
      </c>
      <c r="B105" s="15"/>
      <c r="C105" s="15"/>
      <c r="D105" s="7"/>
      <c r="E105" s="7"/>
      <c r="F105" s="7">
        <f t="shared" si="261"/>
        <v>0</v>
      </c>
      <c r="H105" s="7">
        <f>(60000*1.015*1.02*1.02)*H46</f>
        <v>63360.359999999993</v>
      </c>
      <c r="I105" s="15"/>
      <c r="J105" s="7"/>
      <c r="K105" s="7"/>
      <c r="L105" s="7">
        <f t="shared" si="262"/>
        <v>63360.359999999993</v>
      </c>
      <c r="N105" s="15"/>
      <c r="O105" s="7"/>
      <c r="P105" s="7"/>
      <c r="Q105" s="7"/>
      <c r="R105" s="7">
        <f t="shared" si="263"/>
        <v>0</v>
      </c>
      <c r="T105" s="15">
        <f>72000*1.02*1.02</f>
        <v>74908.800000000003</v>
      </c>
      <c r="U105" s="7"/>
      <c r="V105" s="7"/>
      <c r="W105" s="7"/>
      <c r="X105" s="7">
        <f t="shared" si="264"/>
        <v>74908.800000000003</v>
      </c>
      <c r="Z105" s="15">
        <f>((58770*Z46)*1.02*1.02)*0.5</f>
        <v>61144.308000000005</v>
      </c>
      <c r="AA105" s="15"/>
      <c r="AB105" s="7"/>
      <c r="AC105" s="7"/>
      <c r="AD105" s="7">
        <f t="shared" si="265"/>
        <v>61144.308000000005</v>
      </c>
      <c r="AF105" s="7">
        <f>71400*1.02</f>
        <v>72828</v>
      </c>
      <c r="AG105" s="15">
        <v>0</v>
      </c>
      <c r="AH105" s="15">
        <v>0</v>
      </c>
      <c r="AI105" s="15">
        <v>0</v>
      </c>
      <c r="AJ105" s="7">
        <f t="shared" si="266"/>
        <v>72828</v>
      </c>
      <c r="AL105" s="7">
        <f>(60000*1.015*1.02)*AL46</f>
        <v>0</v>
      </c>
      <c r="AM105" s="15"/>
      <c r="AN105" s="7"/>
      <c r="AO105" s="7"/>
      <c r="AP105" s="7">
        <f t="shared" si="267"/>
        <v>0</v>
      </c>
      <c r="AR105" s="15">
        <f t="shared" si="270"/>
        <v>272241.46799999999</v>
      </c>
      <c r="AS105" s="15">
        <f t="shared" si="271"/>
        <v>0</v>
      </c>
      <c r="AT105" s="15">
        <f t="shared" si="272"/>
        <v>0</v>
      </c>
      <c r="AU105" s="15">
        <f t="shared" si="273"/>
        <v>0</v>
      </c>
      <c r="AV105" s="7">
        <f t="shared" si="269"/>
        <v>272241.46799999999</v>
      </c>
    </row>
    <row r="106" spans="1:48" x14ac:dyDescent="0.25">
      <c r="A106" s="62" t="s">
        <v>85</v>
      </c>
      <c r="B106" s="15">
        <v>0</v>
      </c>
      <c r="C106" s="15">
        <v>0</v>
      </c>
      <c r="D106" s="7"/>
      <c r="E106" s="7"/>
      <c r="F106" s="7">
        <f t="shared" si="261"/>
        <v>0</v>
      </c>
      <c r="H106" s="15">
        <v>0</v>
      </c>
      <c r="I106" s="15"/>
      <c r="J106" s="7"/>
      <c r="K106" s="7"/>
      <c r="L106" s="7">
        <f t="shared" si="262"/>
        <v>0</v>
      </c>
      <c r="N106" s="15">
        <v>0</v>
      </c>
      <c r="O106" s="7">
        <f>55000*1.02*1.02</f>
        <v>57222</v>
      </c>
      <c r="P106" s="7"/>
      <c r="Q106" s="7"/>
      <c r="R106" s="7">
        <f t="shared" si="263"/>
        <v>57222</v>
      </c>
      <c r="T106" s="15"/>
      <c r="U106" s="7"/>
      <c r="V106" s="7"/>
      <c r="W106" s="7"/>
      <c r="X106" s="7">
        <f t="shared" si="264"/>
        <v>0</v>
      </c>
      <c r="Z106" s="15">
        <v>0</v>
      </c>
      <c r="AA106" s="15"/>
      <c r="AB106" s="7"/>
      <c r="AC106" s="7"/>
      <c r="AD106" s="7">
        <f t="shared" si="265"/>
        <v>0</v>
      </c>
      <c r="AF106" s="15"/>
      <c r="AG106" s="15">
        <v>0</v>
      </c>
      <c r="AH106" s="15">
        <v>0</v>
      </c>
      <c r="AI106" s="15">
        <v>0</v>
      </c>
      <c r="AJ106" s="7">
        <f t="shared" si="266"/>
        <v>0</v>
      </c>
      <c r="AL106" s="15">
        <v>0</v>
      </c>
      <c r="AM106" s="15"/>
      <c r="AN106" s="7"/>
      <c r="AO106" s="7"/>
      <c r="AP106" s="7">
        <f t="shared" si="267"/>
        <v>0</v>
      </c>
      <c r="AR106" s="15">
        <f t="shared" si="270"/>
        <v>0</v>
      </c>
      <c r="AS106" s="15">
        <f t="shared" si="271"/>
        <v>57222</v>
      </c>
      <c r="AT106" s="15">
        <f t="shared" si="272"/>
        <v>0</v>
      </c>
      <c r="AU106" s="15">
        <f t="shared" si="273"/>
        <v>0</v>
      </c>
      <c r="AV106" s="7">
        <f t="shared" si="269"/>
        <v>57222</v>
      </c>
    </row>
    <row r="107" spans="1:48" x14ac:dyDescent="0.25">
      <c r="A107" s="62" t="s">
        <v>87</v>
      </c>
      <c r="B107" s="7">
        <f>55000*1.02*1.02</f>
        <v>57222</v>
      </c>
      <c r="C107" s="7"/>
      <c r="D107" s="7"/>
      <c r="E107" s="7"/>
      <c r="F107" s="7">
        <f t="shared" si="261"/>
        <v>57222</v>
      </c>
      <c r="H107" s="7">
        <f>(58500*1.015*1.02*1.02)*H45</f>
        <v>308881.755</v>
      </c>
      <c r="I107" s="15"/>
      <c r="J107" s="7"/>
      <c r="K107" s="7"/>
      <c r="L107" s="7">
        <f t="shared" si="262"/>
        <v>308881.755</v>
      </c>
      <c r="N107" s="15">
        <f>55000*1.02*1.02</f>
        <v>57222</v>
      </c>
      <c r="O107" s="7"/>
      <c r="P107" s="7"/>
      <c r="Q107" s="7"/>
      <c r="R107" s="7">
        <f t="shared" si="263"/>
        <v>57222</v>
      </c>
      <c r="T107" s="7">
        <f>62000*1.02*1.02</f>
        <v>64504.800000000003</v>
      </c>
      <c r="U107" s="7"/>
      <c r="V107" s="7"/>
      <c r="W107" s="7"/>
      <c r="X107" s="7">
        <f t="shared" si="264"/>
        <v>64504.800000000003</v>
      </c>
      <c r="Z107" s="15">
        <f>(58770*Z45)*1.02*1.02</f>
        <v>122288.61600000001</v>
      </c>
      <c r="AA107" s="15"/>
      <c r="AB107" s="7"/>
      <c r="AC107" s="7"/>
      <c r="AD107" s="7">
        <f t="shared" si="265"/>
        <v>122288.61600000001</v>
      </c>
      <c r="AF107" s="7"/>
      <c r="AG107" s="15">
        <v>0</v>
      </c>
      <c r="AH107" s="15">
        <v>0</v>
      </c>
      <c r="AI107" s="15">
        <v>0</v>
      </c>
      <c r="AJ107" s="7">
        <f t="shared" si="266"/>
        <v>0</v>
      </c>
      <c r="AL107" s="7">
        <f>(58500*1.015*1.02)*AL45</f>
        <v>0</v>
      </c>
      <c r="AM107" s="7"/>
      <c r="AN107" s="7"/>
      <c r="AO107" s="7"/>
      <c r="AP107" s="7">
        <f t="shared" si="267"/>
        <v>0</v>
      </c>
      <c r="AR107" s="15">
        <f t="shared" si="270"/>
        <v>610119.17099999997</v>
      </c>
      <c r="AS107" s="15">
        <f t="shared" si="271"/>
        <v>0</v>
      </c>
      <c r="AT107" s="15">
        <f t="shared" si="272"/>
        <v>0</v>
      </c>
      <c r="AU107" s="15">
        <f t="shared" si="273"/>
        <v>0</v>
      </c>
      <c r="AV107" s="7">
        <f t="shared" si="269"/>
        <v>610119.17099999997</v>
      </c>
    </row>
    <row r="108" spans="1:48" x14ac:dyDescent="0.25">
      <c r="A108" s="62" t="s">
        <v>89</v>
      </c>
      <c r="B108" s="7">
        <f>47725*B39</f>
        <v>1932862.5</v>
      </c>
      <c r="C108" s="7"/>
      <c r="D108" s="7"/>
      <c r="E108" s="7"/>
      <c r="F108" s="7">
        <f t="shared" si="261"/>
        <v>1932862.5</v>
      </c>
      <c r="G108" s="214">
        <v>47725</v>
      </c>
      <c r="H108" s="7">
        <f>47725*H39+(800*26)</f>
        <v>4316050</v>
      </c>
      <c r="I108" s="15"/>
      <c r="J108" s="7"/>
      <c r="K108" s="7">
        <f t="shared" ref="K108" si="274">47350*K39</f>
        <v>0</v>
      </c>
      <c r="L108" s="7">
        <f t="shared" si="262"/>
        <v>4316050</v>
      </c>
      <c r="N108" s="15">
        <f>47725*N39</f>
        <v>2052175</v>
      </c>
      <c r="O108" s="7"/>
      <c r="P108" s="7"/>
      <c r="Q108" s="7"/>
      <c r="R108" s="7">
        <f t="shared" si="263"/>
        <v>2052175</v>
      </c>
      <c r="T108" s="7">
        <f>47725*T39</f>
        <v>2529425</v>
      </c>
      <c r="U108" s="7"/>
      <c r="V108" s="7"/>
      <c r="W108" s="7"/>
      <c r="X108" s="7">
        <f t="shared" si="264"/>
        <v>2529425</v>
      </c>
      <c r="Z108" s="15">
        <f>47725*Z39+(25*800)</f>
        <v>4076625</v>
      </c>
      <c r="AA108" s="15"/>
      <c r="AB108" s="7"/>
      <c r="AC108" s="7"/>
      <c r="AD108" s="7">
        <f t="shared" si="265"/>
        <v>4076625</v>
      </c>
      <c r="AF108" s="7"/>
      <c r="AG108" s="15">
        <v>0</v>
      </c>
      <c r="AH108" s="15">
        <v>0</v>
      </c>
      <c r="AI108" s="15">
        <v>0</v>
      </c>
      <c r="AJ108" s="7">
        <f t="shared" si="266"/>
        <v>0</v>
      </c>
      <c r="AL108" s="7">
        <v>0</v>
      </c>
      <c r="AM108" s="7"/>
      <c r="AN108" s="7"/>
      <c r="AO108" s="7"/>
      <c r="AP108" s="7">
        <f t="shared" si="267"/>
        <v>0</v>
      </c>
      <c r="AR108" s="15">
        <f t="shared" si="270"/>
        <v>14907137.5</v>
      </c>
      <c r="AS108" s="15">
        <f t="shared" si="271"/>
        <v>0</v>
      </c>
      <c r="AT108" s="15">
        <f t="shared" si="272"/>
        <v>0</v>
      </c>
      <c r="AU108" s="15">
        <f t="shared" si="273"/>
        <v>0</v>
      </c>
      <c r="AV108" s="7">
        <f t="shared" si="269"/>
        <v>14907137.5</v>
      </c>
    </row>
    <row r="109" spans="1:48" x14ac:dyDescent="0.25">
      <c r="A109" s="62" t="s">
        <v>90</v>
      </c>
      <c r="B109" s="14">
        <v>0</v>
      </c>
      <c r="C109" s="14"/>
      <c r="D109" s="14"/>
      <c r="E109" s="14"/>
      <c r="F109" s="7">
        <f t="shared" si="261"/>
        <v>0</v>
      </c>
      <c r="G109" s="214">
        <f>G108*1.02</f>
        <v>48679.5</v>
      </c>
      <c r="H109" s="14">
        <v>0</v>
      </c>
      <c r="I109" s="11"/>
      <c r="J109" s="14"/>
      <c r="K109" s="14"/>
      <c r="L109" s="7">
        <f t="shared" si="262"/>
        <v>0</v>
      </c>
      <c r="N109" s="14">
        <v>0</v>
      </c>
      <c r="O109" s="14"/>
      <c r="P109" s="14"/>
      <c r="Q109" s="14"/>
      <c r="R109" s="7">
        <f t="shared" si="263"/>
        <v>0</v>
      </c>
      <c r="T109" s="14">
        <v>0</v>
      </c>
      <c r="U109" s="14"/>
      <c r="V109" s="14"/>
      <c r="W109" s="14"/>
      <c r="X109" s="7">
        <f t="shared" si="264"/>
        <v>0</v>
      </c>
      <c r="Z109" s="11">
        <v>0</v>
      </c>
      <c r="AA109" s="11"/>
      <c r="AB109" s="14"/>
      <c r="AC109" s="14"/>
      <c r="AD109" s="7">
        <f t="shared" si="265"/>
        <v>0</v>
      </c>
      <c r="AF109" s="14"/>
      <c r="AG109" s="15">
        <v>0</v>
      </c>
      <c r="AH109" s="15">
        <v>0</v>
      </c>
      <c r="AI109" s="15">
        <v>0</v>
      </c>
      <c r="AJ109" s="7">
        <f t="shared" si="266"/>
        <v>0</v>
      </c>
      <c r="AL109" s="14">
        <v>0</v>
      </c>
      <c r="AM109" s="14"/>
      <c r="AN109" s="14"/>
      <c r="AO109" s="14"/>
      <c r="AP109" s="7">
        <f t="shared" si="267"/>
        <v>0</v>
      </c>
      <c r="AR109" s="15">
        <f t="shared" si="270"/>
        <v>0</v>
      </c>
      <c r="AS109" s="15">
        <f t="shared" si="271"/>
        <v>0</v>
      </c>
      <c r="AT109" s="15">
        <f t="shared" si="272"/>
        <v>0</v>
      </c>
      <c r="AU109" s="15">
        <f t="shared" si="273"/>
        <v>0</v>
      </c>
      <c r="AV109" s="7">
        <f t="shared" si="269"/>
        <v>0</v>
      </c>
    </row>
    <row r="110" spans="1:48" x14ac:dyDescent="0.25">
      <c r="A110" s="62" t="s">
        <v>30</v>
      </c>
      <c r="B110" s="7">
        <v>0</v>
      </c>
      <c r="C110" s="7"/>
      <c r="D110" s="7">
        <f>47725*D30</f>
        <v>190900</v>
      </c>
      <c r="E110" s="7"/>
      <c r="F110" s="7">
        <f t="shared" si="261"/>
        <v>190900</v>
      </c>
      <c r="H110" s="7">
        <v>0</v>
      </c>
      <c r="I110" s="15"/>
      <c r="J110" s="7">
        <f>47725*J30</f>
        <v>620425</v>
      </c>
      <c r="K110" s="7"/>
      <c r="L110" s="7">
        <f t="shared" si="262"/>
        <v>620425</v>
      </c>
      <c r="N110" s="7">
        <v>0</v>
      </c>
      <c r="O110" s="7"/>
      <c r="P110" s="7">
        <f>47725*P30</f>
        <v>190900</v>
      </c>
      <c r="Q110" s="7"/>
      <c r="R110" s="7">
        <f t="shared" si="263"/>
        <v>190900</v>
      </c>
      <c r="T110" s="7">
        <v>0</v>
      </c>
      <c r="U110" s="7"/>
      <c r="V110" s="7">
        <f>47725*V30</f>
        <v>238625</v>
      </c>
      <c r="W110" s="7"/>
      <c r="X110" s="7">
        <f t="shared" si="264"/>
        <v>238625</v>
      </c>
      <c r="Z110" s="15">
        <v>0</v>
      </c>
      <c r="AA110" s="15"/>
      <c r="AB110" s="7">
        <f>47725*AB30+3500</f>
        <v>480750</v>
      </c>
      <c r="AC110" s="7"/>
      <c r="AD110" s="7">
        <f t="shared" si="265"/>
        <v>480750</v>
      </c>
      <c r="AF110" s="7"/>
      <c r="AG110" s="15">
        <v>0</v>
      </c>
      <c r="AH110" s="15">
        <v>0</v>
      </c>
      <c r="AI110" s="15">
        <v>0</v>
      </c>
      <c r="AJ110" s="7">
        <f t="shared" si="266"/>
        <v>0</v>
      </c>
      <c r="AL110" s="7">
        <v>0</v>
      </c>
      <c r="AM110" s="7"/>
      <c r="AN110" s="7">
        <f>46725*AN30</f>
        <v>0</v>
      </c>
      <c r="AO110" s="7"/>
      <c r="AP110" s="7">
        <f t="shared" si="267"/>
        <v>0</v>
      </c>
      <c r="AR110" s="15">
        <f t="shared" si="270"/>
        <v>0</v>
      </c>
      <c r="AS110" s="15">
        <f t="shared" si="271"/>
        <v>0</v>
      </c>
      <c r="AT110" s="15">
        <f t="shared" si="272"/>
        <v>1721600</v>
      </c>
      <c r="AU110" s="15">
        <f t="shared" si="273"/>
        <v>0</v>
      </c>
      <c r="AV110" s="7">
        <f t="shared" si="269"/>
        <v>1721600</v>
      </c>
    </row>
    <row r="111" spans="1:48" x14ac:dyDescent="0.25">
      <c r="A111" s="62" t="s">
        <v>91</v>
      </c>
      <c r="B111" s="7">
        <f>107688*1.015*1.02*1.02</f>
        <v>113719.17412799998</v>
      </c>
      <c r="C111" s="7"/>
      <c r="D111" s="7"/>
      <c r="E111" s="7"/>
      <c r="F111" s="7">
        <f t="shared" si="261"/>
        <v>113719.17412799998</v>
      </c>
      <c r="H111" s="7">
        <f>(46725*1.02*1.02)*(H47+H48)</f>
        <v>194450.76</v>
      </c>
      <c r="I111" s="15"/>
      <c r="J111" s="7"/>
      <c r="K111" s="7"/>
      <c r="L111" s="7">
        <f t="shared" si="262"/>
        <v>194450.76</v>
      </c>
      <c r="N111" s="7">
        <f>(45500+49200)*1.015*1.02*1.02</f>
        <v>100003.76819999999</v>
      </c>
      <c r="O111" s="7"/>
      <c r="P111" s="7"/>
      <c r="Q111" s="7"/>
      <c r="R111" s="7">
        <f t="shared" si="263"/>
        <v>100003.76819999999</v>
      </c>
      <c r="T111" s="15">
        <f>(49200+38500)*1.015*1.02*1.02</f>
        <v>92611.72619999999</v>
      </c>
      <c r="U111" s="7"/>
      <c r="V111" s="7"/>
      <c r="W111" s="7"/>
      <c r="X111" s="7">
        <f t="shared" si="264"/>
        <v>92611.72619999999</v>
      </c>
      <c r="Z111" s="7">
        <f>((48000+45000+40000)*1.02*1.02)+(14*8*190)</f>
        <v>159653.20000000001</v>
      </c>
      <c r="AA111" s="7"/>
      <c r="AB111" s="7"/>
      <c r="AC111" s="7"/>
      <c r="AD111" s="7">
        <f t="shared" si="265"/>
        <v>159653.20000000001</v>
      </c>
      <c r="AF111" s="7">
        <f>(71400*1.02)</f>
        <v>72828</v>
      </c>
      <c r="AG111" s="15">
        <v>0</v>
      </c>
      <c r="AH111" s="15">
        <v>0</v>
      </c>
      <c r="AI111" s="15">
        <v>0</v>
      </c>
      <c r="AJ111" s="7">
        <f t="shared" si="266"/>
        <v>72828</v>
      </c>
      <c r="AL111" s="7">
        <f>(46725*1.02)*(AL47+AL48)</f>
        <v>0</v>
      </c>
      <c r="AM111" s="7"/>
      <c r="AN111" s="7"/>
      <c r="AO111" s="7"/>
      <c r="AP111" s="7">
        <f t="shared" si="267"/>
        <v>0</v>
      </c>
      <c r="AR111" s="15">
        <f t="shared" si="270"/>
        <v>733266.62852799997</v>
      </c>
      <c r="AS111" s="15">
        <f t="shared" si="271"/>
        <v>0</v>
      </c>
      <c r="AT111" s="15">
        <f t="shared" si="272"/>
        <v>0</v>
      </c>
      <c r="AU111" s="15">
        <f t="shared" si="273"/>
        <v>0</v>
      </c>
      <c r="AV111" s="7">
        <f t="shared" si="269"/>
        <v>733266.62852799997</v>
      </c>
    </row>
    <row r="112" spans="1:48" x14ac:dyDescent="0.25">
      <c r="A112" s="62" t="s">
        <v>92</v>
      </c>
      <c r="B112" s="7">
        <f>56056*1.015*1.02*1.02</f>
        <v>59195.472335999999</v>
      </c>
      <c r="C112" s="7"/>
      <c r="D112" s="7"/>
      <c r="E112" s="7"/>
      <c r="F112" s="7">
        <f t="shared" si="261"/>
        <v>59195.472335999999</v>
      </c>
      <c r="H112" s="7">
        <f>((42750+43800+56000)+(33000+19000))*1.015*1.02*1.02</f>
        <v>205445.96729999996</v>
      </c>
      <c r="I112" s="15"/>
      <c r="J112" s="7"/>
      <c r="K112" s="7"/>
      <c r="L112" s="7">
        <f t="shared" si="262"/>
        <v>205445.96729999996</v>
      </c>
      <c r="N112" s="7">
        <f>(17*8*190)*(N49+N50)</f>
        <v>51680</v>
      </c>
      <c r="O112" s="7"/>
      <c r="P112" s="7"/>
      <c r="Q112" s="7"/>
      <c r="R112" s="7">
        <f t="shared" si="263"/>
        <v>51680</v>
      </c>
      <c r="T112" s="7">
        <f>(14.75*8*190)*(T49+T50)</f>
        <v>44840</v>
      </c>
      <c r="U112" s="7"/>
      <c r="V112" s="7"/>
      <c r="W112" s="7"/>
      <c r="X112" s="7">
        <f t="shared" si="264"/>
        <v>44840</v>
      </c>
      <c r="Z112" s="7">
        <f>(14*8*200)*(Z49+Z50)</f>
        <v>89600</v>
      </c>
      <c r="AA112" s="7"/>
      <c r="AB112" s="7"/>
      <c r="AC112" s="7"/>
      <c r="AD112" s="7">
        <f t="shared" si="265"/>
        <v>89600</v>
      </c>
      <c r="AF112" s="7"/>
      <c r="AG112" s="15">
        <v>0</v>
      </c>
      <c r="AH112" s="15">
        <v>0</v>
      </c>
      <c r="AI112" s="15">
        <v>0</v>
      </c>
      <c r="AJ112" s="7">
        <f t="shared" si="266"/>
        <v>0</v>
      </c>
      <c r="AL112" s="7">
        <v>0</v>
      </c>
      <c r="AM112" s="7"/>
      <c r="AN112" s="7"/>
      <c r="AO112" s="7"/>
      <c r="AP112" s="7">
        <f t="shared" si="267"/>
        <v>0</v>
      </c>
      <c r="AR112" s="15">
        <f t="shared" si="270"/>
        <v>450761.43963599997</v>
      </c>
      <c r="AS112" s="15">
        <f t="shared" si="271"/>
        <v>0</v>
      </c>
      <c r="AT112" s="15">
        <f t="shared" si="272"/>
        <v>0</v>
      </c>
      <c r="AU112" s="15">
        <f t="shared" si="273"/>
        <v>0</v>
      </c>
      <c r="AV112" s="7">
        <f t="shared" si="269"/>
        <v>450761.43963599997</v>
      </c>
    </row>
    <row r="113" spans="1:48" x14ac:dyDescent="0.25">
      <c r="A113" s="62" t="s">
        <v>93</v>
      </c>
      <c r="B113" s="7">
        <f>(13.5*8*180)*B51</f>
        <v>0</v>
      </c>
      <c r="C113" s="7">
        <f>(14*8*180)*C51</f>
        <v>30240</v>
      </c>
      <c r="D113" s="7">
        <f>(14*8*180)*D51</f>
        <v>80640</v>
      </c>
      <c r="E113" s="7">
        <f>(14.5*8*180)*E51</f>
        <v>0</v>
      </c>
      <c r="F113" s="7">
        <f t="shared" si="261"/>
        <v>110880</v>
      </c>
      <c r="H113" s="7">
        <f>(13.5*8*200)*H51</f>
        <v>0</v>
      </c>
      <c r="I113" s="7">
        <f>(14*8*180)*I51</f>
        <v>80640</v>
      </c>
      <c r="J113" s="7">
        <f>(14*8*180)*J51</f>
        <v>262080</v>
      </c>
      <c r="K113" s="7">
        <v>0</v>
      </c>
      <c r="L113" s="7">
        <f t="shared" si="262"/>
        <v>342720</v>
      </c>
      <c r="N113" s="7">
        <f>(13.5*8*180)*N51</f>
        <v>0</v>
      </c>
      <c r="O113" s="7">
        <f>(14*8*180)*O51</f>
        <v>90720</v>
      </c>
      <c r="P113" s="7">
        <f>(14*8*180)*P51</f>
        <v>80640</v>
      </c>
      <c r="Q113" s="7">
        <f>(14.5*8*180)*Q51</f>
        <v>0</v>
      </c>
      <c r="R113" s="7">
        <f t="shared" si="263"/>
        <v>171360</v>
      </c>
      <c r="T113" s="7">
        <f>(14*8*180)*T51</f>
        <v>30240</v>
      </c>
      <c r="U113" s="7">
        <f>(14*8*180)*U51</f>
        <v>40320</v>
      </c>
      <c r="V113" s="7">
        <f>(14*8*180)*V51</f>
        <v>100800</v>
      </c>
      <c r="W113" s="7">
        <f>(14.5*8*180)*W51</f>
        <v>0</v>
      </c>
      <c r="X113" s="7">
        <f t="shared" si="264"/>
        <v>171360</v>
      </c>
      <c r="Z113" s="7">
        <f>(13.25*8*180)*Z51</f>
        <v>0</v>
      </c>
      <c r="AA113" s="7">
        <f>(14*8*180)*AA51</f>
        <v>40320</v>
      </c>
      <c r="AB113" s="7">
        <f>(14*8*180)*AB51</f>
        <v>201600</v>
      </c>
      <c r="AC113" s="7">
        <f>(14.5*8*180)*AC51</f>
        <v>0</v>
      </c>
      <c r="AD113" s="7">
        <f t="shared" si="265"/>
        <v>241920</v>
      </c>
      <c r="AF113" s="7">
        <f>(14*6*180)*AF51</f>
        <v>15120</v>
      </c>
      <c r="AG113" s="15">
        <v>0</v>
      </c>
      <c r="AH113" s="15">
        <v>0</v>
      </c>
      <c r="AI113" s="15">
        <v>0</v>
      </c>
      <c r="AJ113" s="7">
        <f t="shared" si="266"/>
        <v>15120</v>
      </c>
      <c r="AL113" s="7">
        <f>(13.5*8*200)*AL51</f>
        <v>0</v>
      </c>
      <c r="AM113" s="7">
        <f>(13.75*8*180)*AM51</f>
        <v>0</v>
      </c>
      <c r="AN113" s="7">
        <f>(14*8*180)*AN51</f>
        <v>20160</v>
      </c>
      <c r="AO113" s="7">
        <f>(14.5*8*180)*AO51</f>
        <v>0</v>
      </c>
      <c r="AP113" s="7">
        <f t="shared" si="267"/>
        <v>20160</v>
      </c>
      <c r="AR113" s="15">
        <f t="shared" si="270"/>
        <v>45360</v>
      </c>
      <c r="AS113" s="15">
        <f t="shared" si="271"/>
        <v>282240</v>
      </c>
      <c r="AT113" s="15">
        <f t="shared" si="272"/>
        <v>745920</v>
      </c>
      <c r="AU113" s="15">
        <f t="shared" si="273"/>
        <v>0</v>
      </c>
      <c r="AV113" s="7">
        <f t="shared" si="269"/>
        <v>1073520</v>
      </c>
    </row>
    <row r="114" spans="1:48" x14ac:dyDescent="0.25">
      <c r="A114" s="62" t="s">
        <v>94</v>
      </c>
      <c r="B114" s="7">
        <f>(23*8*240)*B52</f>
        <v>44160</v>
      </c>
      <c r="C114" s="7"/>
      <c r="D114" s="7"/>
      <c r="E114" s="7"/>
      <c r="F114" s="7">
        <f t="shared" si="261"/>
        <v>44160</v>
      </c>
      <c r="H114" s="7">
        <f>(14.25*8*240)*H52</f>
        <v>136800</v>
      </c>
      <c r="I114" s="7"/>
      <c r="J114" s="7"/>
      <c r="K114" s="7"/>
      <c r="L114" s="7">
        <f t="shared" si="262"/>
        <v>136800</v>
      </c>
      <c r="N114" s="7">
        <f>(15.5*8*240)*N52</f>
        <v>59520</v>
      </c>
      <c r="O114" s="7"/>
      <c r="P114" s="7"/>
      <c r="Q114" s="7"/>
      <c r="R114" s="7">
        <f t="shared" si="263"/>
        <v>59520</v>
      </c>
      <c r="T114" s="7">
        <f>(14*8*240)*T52</f>
        <v>53760</v>
      </c>
      <c r="U114" s="7"/>
      <c r="V114" s="7"/>
      <c r="W114" s="7"/>
      <c r="X114" s="7">
        <f t="shared" si="264"/>
        <v>53760</v>
      </c>
      <c r="Z114" s="7">
        <f>(14*8*240)*Z52+6000</f>
        <v>113520</v>
      </c>
      <c r="AA114" s="7"/>
      <c r="AB114" s="7"/>
      <c r="AC114" s="7"/>
      <c r="AD114" s="7">
        <f t="shared" si="265"/>
        <v>113520</v>
      </c>
      <c r="AF114" s="7">
        <f>(13.25*8*240)*AF52</f>
        <v>0</v>
      </c>
      <c r="AG114" s="15">
        <v>0</v>
      </c>
      <c r="AH114" s="15">
        <v>0</v>
      </c>
      <c r="AI114" s="15">
        <v>0</v>
      </c>
      <c r="AJ114" s="7">
        <f t="shared" si="266"/>
        <v>0</v>
      </c>
      <c r="AL114" s="7">
        <f>(14*8*240)*AL52</f>
        <v>0</v>
      </c>
      <c r="AM114" s="7"/>
      <c r="AN114" s="7"/>
      <c r="AO114" s="7"/>
      <c r="AP114" s="7">
        <f t="shared" si="267"/>
        <v>0</v>
      </c>
      <c r="AR114" s="15">
        <f t="shared" si="270"/>
        <v>407760</v>
      </c>
      <c r="AS114" s="15">
        <f t="shared" si="271"/>
        <v>0</v>
      </c>
      <c r="AT114" s="15">
        <f t="shared" si="272"/>
        <v>0</v>
      </c>
      <c r="AU114" s="15">
        <f t="shared" si="273"/>
        <v>0</v>
      </c>
      <c r="AV114" s="7">
        <f t="shared" si="269"/>
        <v>407760</v>
      </c>
    </row>
    <row r="115" spans="1:48" x14ac:dyDescent="0.25">
      <c r="A115" s="62" t="s">
        <v>248</v>
      </c>
      <c r="B115" s="7">
        <v>0</v>
      </c>
      <c r="C115" s="7">
        <f>(12.75*8*180)*C54</f>
        <v>0</v>
      </c>
      <c r="D115" s="7"/>
      <c r="E115" s="7"/>
      <c r="F115" s="7">
        <f t="shared" si="261"/>
        <v>0</v>
      </c>
      <c r="H115" s="7">
        <v>0</v>
      </c>
      <c r="I115" s="7">
        <f>(12.75*8*180)*I54</f>
        <v>0</v>
      </c>
      <c r="J115" s="7"/>
      <c r="K115" s="7"/>
      <c r="L115" s="7">
        <f t="shared" si="262"/>
        <v>0</v>
      </c>
      <c r="N115" s="7">
        <v>0</v>
      </c>
      <c r="O115" s="7">
        <f>(12.75*8*180)*O54</f>
        <v>0</v>
      </c>
      <c r="P115" s="7"/>
      <c r="Q115" s="7"/>
      <c r="R115" s="7">
        <f t="shared" si="263"/>
        <v>0</v>
      </c>
      <c r="T115" s="7">
        <f>(13*8*180)*T54</f>
        <v>0</v>
      </c>
      <c r="U115" s="7">
        <f>(12.75*8*180)*U54</f>
        <v>0</v>
      </c>
      <c r="V115" s="7"/>
      <c r="W115" s="7"/>
      <c r="X115" s="7">
        <f t="shared" si="264"/>
        <v>0</v>
      </c>
      <c r="Z115" s="7">
        <v>0</v>
      </c>
      <c r="AA115" s="7">
        <f>(12.75*8*180)*AA54</f>
        <v>0</v>
      </c>
      <c r="AB115" s="7"/>
      <c r="AC115" s="7"/>
      <c r="AD115" s="7">
        <f t="shared" si="265"/>
        <v>0</v>
      </c>
      <c r="AF115" s="7">
        <f>(13*8*180)*AF54</f>
        <v>0</v>
      </c>
      <c r="AG115" s="15">
        <v>0</v>
      </c>
      <c r="AH115" s="15">
        <v>0</v>
      </c>
      <c r="AI115" s="15">
        <v>0</v>
      </c>
      <c r="AJ115" s="7">
        <f t="shared" si="266"/>
        <v>0</v>
      </c>
      <c r="AL115" s="7">
        <v>60000</v>
      </c>
      <c r="AM115" s="7">
        <f>(12.75*8*180)*AM54</f>
        <v>0</v>
      </c>
      <c r="AN115" s="7"/>
      <c r="AO115" s="7"/>
      <c r="AP115" s="7">
        <f t="shared" si="267"/>
        <v>60000</v>
      </c>
      <c r="AR115" s="15">
        <f t="shared" si="270"/>
        <v>60000</v>
      </c>
      <c r="AS115" s="15">
        <f t="shared" si="271"/>
        <v>0</v>
      </c>
      <c r="AT115" s="15">
        <f t="shared" si="272"/>
        <v>0</v>
      </c>
      <c r="AU115" s="15">
        <f t="shared" si="273"/>
        <v>0</v>
      </c>
      <c r="AV115" s="7">
        <f t="shared" si="269"/>
        <v>60000</v>
      </c>
    </row>
    <row r="116" spans="1:48" ht="15.75" thickBot="1" x14ac:dyDescent="0.3">
      <c r="A116" s="82" t="s">
        <v>95</v>
      </c>
      <c r="B116" s="83">
        <f>SUM(B103:B115)</f>
        <v>2482015.2416639999</v>
      </c>
      <c r="C116" s="83">
        <f>SUM(C103:C115)</f>
        <v>101640</v>
      </c>
      <c r="D116" s="83">
        <f t="shared" ref="D116:F116" si="275">SUM(D103:D115)</f>
        <v>271540</v>
      </c>
      <c r="E116" s="83">
        <f t="shared" si="275"/>
        <v>0</v>
      </c>
      <c r="F116" s="83">
        <f t="shared" si="275"/>
        <v>2855195.2416639999</v>
      </c>
      <c r="H116" s="83">
        <f>SUM(H103:H115)</f>
        <v>5688449.2002999997</v>
      </c>
      <c r="I116" s="83">
        <f>SUM(I103:I115)</f>
        <v>80640</v>
      </c>
      <c r="J116" s="83">
        <f t="shared" ref="J116:L116" si="276">SUM(J103:J115)</f>
        <v>882505</v>
      </c>
      <c r="K116" s="83">
        <f t="shared" si="276"/>
        <v>0</v>
      </c>
      <c r="L116" s="83">
        <f t="shared" si="276"/>
        <v>6651594.2002999997</v>
      </c>
      <c r="N116" s="83">
        <f>SUM(N103:N115)</f>
        <v>2597143.1681999997</v>
      </c>
      <c r="O116" s="83">
        <f>SUM(O103:O115)</f>
        <v>147942</v>
      </c>
      <c r="P116" s="83">
        <f t="shared" ref="P116:R116" si="277">SUM(P103:P115)</f>
        <v>271540</v>
      </c>
      <c r="Q116" s="83">
        <f t="shared" si="277"/>
        <v>0</v>
      </c>
      <c r="R116" s="83">
        <f t="shared" si="277"/>
        <v>3016625.1681999997</v>
      </c>
      <c r="T116" s="83">
        <f>SUM(T103:T115)</f>
        <v>3213751.6082000001</v>
      </c>
      <c r="U116" s="83">
        <f>SUM(U103:U115)</f>
        <v>40320</v>
      </c>
      <c r="V116" s="83">
        <f t="shared" ref="V116:X116" si="278">SUM(V103:V115)</f>
        <v>339425</v>
      </c>
      <c r="W116" s="83">
        <f t="shared" si="278"/>
        <v>0</v>
      </c>
      <c r="X116" s="83">
        <f t="shared" si="278"/>
        <v>3593496.6082000001</v>
      </c>
      <c r="Z116" s="83">
        <f>SUM(Z103:Z115)</f>
        <v>4991847.9479999999</v>
      </c>
      <c r="AA116" s="83">
        <f>SUM(AA103:AA115)</f>
        <v>40320</v>
      </c>
      <c r="AB116" s="83">
        <f t="shared" ref="AB116:AD116" si="279">SUM(AB103:AB115)</f>
        <v>772350</v>
      </c>
      <c r="AC116" s="83">
        <f t="shared" si="279"/>
        <v>0</v>
      </c>
      <c r="AD116" s="83">
        <f t="shared" si="279"/>
        <v>5804517.9479999999</v>
      </c>
      <c r="AF116" s="83">
        <f>SUM(AF103:AF115)</f>
        <v>160776</v>
      </c>
      <c r="AG116" s="83">
        <f>SUM(AG103:AG115)</f>
        <v>0</v>
      </c>
      <c r="AH116" s="83">
        <f t="shared" ref="AH116:AJ116" si="280">SUM(AH103:AH115)</f>
        <v>0</v>
      </c>
      <c r="AI116" s="83">
        <f t="shared" si="280"/>
        <v>0</v>
      </c>
      <c r="AJ116" s="83">
        <f t="shared" si="280"/>
        <v>160776</v>
      </c>
      <c r="AL116" s="83">
        <f>SUM(AL103:AL115)</f>
        <v>60000</v>
      </c>
      <c r="AM116" s="83">
        <f>SUM(AM103:AM115)</f>
        <v>0</v>
      </c>
      <c r="AN116" s="83">
        <f t="shared" ref="AN116:AP116" si="281">SUM(AN103:AN115)</f>
        <v>20160</v>
      </c>
      <c r="AO116" s="83">
        <f t="shared" si="281"/>
        <v>0</v>
      </c>
      <c r="AP116" s="83">
        <f t="shared" si="281"/>
        <v>80160</v>
      </c>
      <c r="AR116" s="83">
        <f>SUM(AR103:AR115)</f>
        <v>19193983.166363999</v>
      </c>
      <c r="AS116" s="83">
        <f>SUM(AS103:AS115)</f>
        <v>410862</v>
      </c>
      <c r="AT116" s="83">
        <f t="shared" ref="AT116:AV116" si="282">SUM(AT103:AT115)</f>
        <v>2557520</v>
      </c>
      <c r="AU116" s="83">
        <f t="shared" si="282"/>
        <v>0</v>
      </c>
      <c r="AV116" s="83">
        <f t="shared" si="282"/>
        <v>22162365.166363999</v>
      </c>
    </row>
    <row r="117" spans="1:48" x14ac:dyDescent="0.25">
      <c r="A117" s="84" t="s">
        <v>96</v>
      </c>
      <c r="B117" s="150" t="str">
        <f>B1</f>
        <v>Operating</v>
      </c>
      <c r="C117" s="150" t="str">
        <f>C1</f>
        <v>Weights</v>
      </c>
      <c r="D117" s="150" t="str">
        <f>D1</f>
        <v>SPED</v>
      </c>
      <c r="E117" s="150" t="str">
        <f t="shared" ref="E117:F117" si="283">E1</f>
        <v>NSLP</v>
      </c>
      <c r="F117" s="150" t="str">
        <f t="shared" si="283"/>
        <v>Horizon</v>
      </c>
      <c r="H117" s="150" t="str">
        <f>H1</f>
        <v>Operating</v>
      </c>
      <c r="I117" s="150" t="str">
        <f>I1</f>
        <v>Weights</v>
      </c>
      <c r="J117" s="150" t="str">
        <f>J1</f>
        <v>SPED</v>
      </c>
      <c r="K117" s="150" t="str">
        <f t="shared" ref="K117:L117" si="284">K1</f>
        <v>NSLP</v>
      </c>
      <c r="L117" s="150" t="str">
        <f t="shared" si="284"/>
        <v>Cadence</v>
      </c>
      <c r="N117" s="150" t="str">
        <f>N1</f>
        <v>Operating</v>
      </c>
      <c r="O117" s="150" t="str">
        <f>O1</f>
        <v>Weights</v>
      </c>
      <c r="P117" s="150" t="str">
        <f>P1</f>
        <v>SPED</v>
      </c>
      <c r="Q117" s="150" t="str">
        <f t="shared" ref="Q117:R117" si="285">Q1</f>
        <v>NSLP</v>
      </c>
      <c r="R117" s="150" t="str">
        <f t="shared" si="285"/>
        <v>St. Rose</v>
      </c>
      <c r="T117" s="150" t="str">
        <f>T1</f>
        <v>Operating</v>
      </c>
      <c r="U117" s="150" t="str">
        <f>U1</f>
        <v>Weights</v>
      </c>
      <c r="V117" s="150" t="str">
        <f>V1</f>
        <v>SPED</v>
      </c>
      <c r="W117" s="150" t="str">
        <f t="shared" ref="W117:X117" si="286">W1</f>
        <v>NSLP</v>
      </c>
      <c r="X117" s="150" t="str">
        <f t="shared" si="286"/>
        <v>Inspirada</v>
      </c>
      <c r="Z117" s="150" t="str">
        <f>Z1</f>
        <v>Operating</v>
      </c>
      <c r="AA117" s="150" t="str">
        <f>AA1</f>
        <v>Weights</v>
      </c>
      <c r="AB117" s="150" t="str">
        <f>AB1</f>
        <v>SPED</v>
      </c>
      <c r="AC117" s="150" t="str">
        <f t="shared" ref="AC117:AD117" si="287">AC1</f>
        <v>NSLP</v>
      </c>
      <c r="AD117" s="150" t="str">
        <f t="shared" si="287"/>
        <v>Sloan Canyon</v>
      </c>
      <c r="AF117" s="150" t="str">
        <f>AF1</f>
        <v>Operating</v>
      </c>
      <c r="AG117" s="150" t="str">
        <f>AG1</f>
        <v>Weights</v>
      </c>
      <c r="AH117" s="150" t="str">
        <f>AH1</f>
        <v>SPED</v>
      </c>
      <c r="AI117" s="150" t="str">
        <f t="shared" ref="AI117:AJ117" si="288">AI1</f>
        <v>NSLP</v>
      </c>
      <c r="AJ117" s="150" t="str">
        <f t="shared" si="288"/>
        <v>System Wide</v>
      </c>
      <c r="AL117" s="150" t="str">
        <f>AL1</f>
        <v>Operating</v>
      </c>
      <c r="AM117" s="150" t="str">
        <f>AM1</f>
        <v>Weights</v>
      </c>
      <c r="AN117" s="150" t="str">
        <f>AN1</f>
        <v>SPED</v>
      </c>
      <c r="AO117" s="150" t="str">
        <f t="shared" ref="AO117:AP117" si="289">AO1</f>
        <v>NSLP</v>
      </c>
      <c r="AP117" s="150" t="str">
        <f t="shared" si="289"/>
        <v>Virtual</v>
      </c>
      <c r="AR117" s="150" t="str">
        <f>AR1</f>
        <v>Operating</v>
      </c>
      <c r="AS117" s="150" t="str">
        <f>AS1</f>
        <v>Weights</v>
      </c>
      <c r="AT117" s="150" t="str">
        <f>AT1</f>
        <v>SPED</v>
      </c>
      <c r="AU117" s="150" t="str">
        <f t="shared" ref="AU117:AV117" si="290">AU1</f>
        <v>NSLP</v>
      </c>
      <c r="AV117" s="150" t="str">
        <f t="shared" si="290"/>
        <v>Pinecrest System</v>
      </c>
    </row>
    <row r="118" spans="1:48" x14ac:dyDescent="0.25">
      <c r="A118" s="62"/>
      <c r="B118" s="7"/>
      <c r="C118" s="7"/>
      <c r="D118" s="7"/>
      <c r="E118" s="7"/>
      <c r="F118" s="7">
        <f t="shared" ref="F118:F127" si="291">SUM(B118:E118)</f>
        <v>0</v>
      </c>
      <c r="H118" s="7"/>
      <c r="I118" s="7"/>
      <c r="J118" s="7"/>
      <c r="K118" s="7"/>
      <c r="L118" s="7">
        <f t="shared" ref="L118:L127" si="292">SUM(H118:K118)</f>
        <v>0</v>
      </c>
      <c r="N118" s="7"/>
      <c r="O118" s="7"/>
      <c r="P118" s="7"/>
      <c r="Q118" s="7"/>
      <c r="R118" s="7">
        <f t="shared" ref="R118:R127" si="293">SUM(N118:Q118)</f>
        <v>0</v>
      </c>
      <c r="T118" s="7"/>
      <c r="U118" s="7"/>
      <c r="V118" s="7"/>
      <c r="W118" s="7"/>
      <c r="X118" s="7">
        <f t="shared" ref="X118:X127" si="294">SUM(T118:W118)</f>
        <v>0</v>
      </c>
      <c r="Z118" s="7"/>
      <c r="AA118" s="7"/>
      <c r="AB118" s="7"/>
      <c r="AC118" s="7"/>
      <c r="AD118" s="7">
        <f t="shared" ref="AD118:AD127" si="295">SUM(Z118:AC118)</f>
        <v>0</v>
      </c>
      <c r="AF118" s="7"/>
      <c r="AG118" s="7"/>
      <c r="AH118" s="7"/>
      <c r="AI118" s="7"/>
      <c r="AJ118" s="7">
        <f t="shared" ref="AJ118:AJ127" si="296">SUM(AF118:AI118)</f>
        <v>0</v>
      </c>
      <c r="AL118" s="7"/>
      <c r="AM118" s="7"/>
      <c r="AN118" s="7"/>
      <c r="AO118" s="7"/>
      <c r="AP118" s="7">
        <f t="shared" ref="AP118:AP127" si="297">SUM(AL118:AO118)</f>
        <v>0</v>
      </c>
      <c r="AR118" s="7">
        <f>B118+H118+N118+T118+Z118+AF118+AL118</f>
        <v>0</v>
      </c>
      <c r="AS118" s="7">
        <f t="shared" ref="AS118:AU118" si="298">C118+I118+O118+U118+AA118+AG118+AM118</f>
        <v>0</v>
      </c>
      <c r="AT118" s="7">
        <f t="shared" si="298"/>
        <v>0</v>
      </c>
      <c r="AU118" s="7">
        <f t="shared" si="298"/>
        <v>0</v>
      </c>
      <c r="AV118" s="7">
        <f t="shared" ref="AV118:AV127" si="299">SUM(AR118:AU118)</f>
        <v>0</v>
      </c>
    </row>
    <row r="119" spans="1:48" x14ac:dyDescent="0.25">
      <c r="A119" s="62" t="s">
        <v>54</v>
      </c>
      <c r="B119" s="7"/>
      <c r="C119" s="7"/>
      <c r="D119" s="15">
        <f>63450*1.02*1.02</f>
        <v>66013.38</v>
      </c>
      <c r="E119" s="7"/>
      <c r="F119" s="7">
        <f t="shared" si="291"/>
        <v>66013.38</v>
      </c>
      <c r="H119" s="7"/>
      <c r="I119" s="7"/>
      <c r="J119" s="15">
        <v>65825</v>
      </c>
      <c r="K119" s="7"/>
      <c r="L119" s="7">
        <f t="shared" si="292"/>
        <v>65825</v>
      </c>
      <c r="N119" s="7"/>
      <c r="O119" s="7"/>
      <c r="P119" s="15">
        <v>61000</v>
      </c>
      <c r="Q119" s="7"/>
      <c r="R119" s="7">
        <f t="shared" si="293"/>
        <v>61000</v>
      </c>
      <c r="T119" s="7"/>
      <c r="U119" s="7"/>
      <c r="V119" s="7">
        <f>46000</f>
        <v>46000</v>
      </c>
      <c r="W119" s="7"/>
      <c r="X119" s="7">
        <f t="shared" si="294"/>
        <v>46000</v>
      </c>
      <c r="Z119" s="7"/>
      <c r="AA119" s="7"/>
      <c r="AB119" s="15"/>
      <c r="AC119" s="7"/>
      <c r="AD119" s="7">
        <f t="shared" si="295"/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f t="shared" si="296"/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f t="shared" si="297"/>
        <v>0</v>
      </c>
      <c r="AR119" s="7">
        <f t="shared" ref="AR119:AR127" si="300">B119+H119+N119+T119+Z119+AF119+AL119</f>
        <v>0</v>
      </c>
      <c r="AS119" s="7">
        <f t="shared" ref="AS119:AS127" si="301">C119+I119+O119+U119+AA119+AG119+AM119</f>
        <v>0</v>
      </c>
      <c r="AT119" s="7">
        <f t="shared" ref="AT119:AT127" si="302">D119+J119+P119+V119+AB119+AH119+AN119</f>
        <v>238838.38</v>
      </c>
      <c r="AU119" s="7">
        <f t="shared" ref="AU119:AU127" si="303">E119+K119+Q119+W119+AC119+AI119+AO119</f>
        <v>0</v>
      </c>
      <c r="AV119" s="7">
        <f t="shared" si="299"/>
        <v>238838.38</v>
      </c>
    </row>
    <row r="120" spans="1:48" x14ac:dyDescent="0.25">
      <c r="A120" s="62" t="s">
        <v>55</v>
      </c>
      <c r="B120" s="7"/>
      <c r="C120" s="7"/>
      <c r="D120" s="7"/>
      <c r="E120" s="7"/>
      <c r="F120" s="7">
        <f t="shared" si="291"/>
        <v>0</v>
      </c>
      <c r="H120" s="7"/>
      <c r="I120" s="7"/>
      <c r="J120" s="15">
        <f>47000*1.02+60</f>
        <v>48000</v>
      </c>
      <c r="K120" s="7"/>
      <c r="L120" s="7">
        <f t="shared" si="292"/>
        <v>48000</v>
      </c>
      <c r="N120" s="7"/>
      <c r="O120" s="7"/>
      <c r="P120" s="7"/>
      <c r="Q120" s="7"/>
      <c r="R120" s="7">
        <f t="shared" si="293"/>
        <v>0</v>
      </c>
      <c r="T120" s="7"/>
      <c r="U120" s="7"/>
      <c r="V120" s="15">
        <v>42575</v>
      </c>
      <c r="W120" s="7"/>
      <c r="X120" s="7">
        <f t="shared" si="294"/>
        <v>42575</v>
      </c>
      <c r="Z120" s="7"/>
      <c r="AA120" s="7"/>
      <c r="AB120" s="15">
        <f>46000*1.02*1.02</f>
        <v>47858.400000000001</v>
      </c>
      <c r="AC120" s="7"/>
      <c r="AD120" s="7">
        <f t="shared" si="295"/>
        <v>47858.400000000001</v>
      </c>
      <c r="AF120" s="7">
        <v>0</v>
      </c>
      <c r="AG120" s="7">
        <v>0</v>
      </c>
      <c r="AH120" s="7">
        <v>0</v>
      </c>
      <c r="AI120" s="7">
        <v>0</v>
      </c>
      <c r="AJ120" s="7">
        <f t="shared" si="296"/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f t="shared" si="297"/>
        <v>0</v>
      </c>
      <c r="AR120" s="7">
        <f t="shared" si="300"/>
        <v>0</v>
      </c>
      <c r="AS120" s="7">
        <f t="shared" si="301"/>
        <v>0</v>
      </c>
      <c r="AT120" s="7">
        <f t="shared" si="302"/>
        <v>138433.4</v>
      </c>
      <c r="AU120" s="7">
        <f t="shared" si="303"/>
        <v>0</v>
      </c>
      <c r="AV120" s="7">
        <f t="shared" si="299"/>
        <v>138433.4</v>
      </c>
    </row>
    <row r="121" spans="1:48" x14ac:dyDescent="0.25">
      <c r="A121" s="62" t="s">
        <v>56</v>
      </c>
      <c r="B121" s="7"/>
      <c r="C121" s="7"/>
      <c r="D121" s="7">
        <v>0</v>
      </c>
      <c r="E121" s="7"/>
      <c r="F121" s="7">
        <f t="shared" si="291"/>
        <v>0</v>
      </c>
      <c r="H121" s="7"/>
      <c r="I121" s="7"/>
      <c r="J121" s="15">
        <v>80000</v>
      </c>
      <c r="K121" s="7"/>
      <c r="L121" s="7">
        <f t="shared" si="292"/>
        <v>80000</v>
      </c>
      <c r="N121" s="7"/>
      <c r="O121" s="7"/>
      <c r="P121" s="15">
        <v>35000</v>
      </c>
      <c r="Q121" s="7"/>
      <c r="R121" s="7">
        <f t="shared" si="293"/>
        <v>35000</v>
      </c>
      <c r="T121" s="7"/>
      <c r="U121" s="7"/>
      <c r="V121" s="7">
        <v>35000</v>
      </c>
      <c r="W121" s="7"/>
      <c r="X121" s="7">
        <f t="shared" si="294"/>
        <v>35000</v>
      </c>
      <c r="Z121" s="7"/>
      <c r="AA121" s="7"/>
      <c r="AB121" s="15">
        <v>65000</v>
      </c>
      <c r="AC121" s="7"/>
      <c r="AD121" s="7">
        <f t="shared" si="295"/>
        <v>65000</v>
      </c>
      <c r="AF121" s="7">
        <v>0</v>
      </c>
      <c r="AG121" s="7">
        <v>0</v>
      </c>
      <c r="AH121" s="7">
        <v>0</v>
      </c>
      <c r="AI121" s="7">
        <v>0</v>
      </c>
      <c r="AJ121" s="7">
        <f t="shared" si="296"/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f t="shared" si="297"/>
        <v>0</v>
      </c>
      <c r="AR121" s="7">
        <f t="shared" si="300"/>
        <v>0</v>
      </c>
      <c r="AS121" s="7">
        <f t="shared" si="301"/>
        <v>0</v>
      </c>
      <c r="AT121" s="7">
        <f t="shared" si="302"/>
        <v>215000</v>
      </c>
      <c r="AU121" s="7">
        <f t="shared" si="303"/>
        <v>0</v>
      </c>
      <c r="AV121" s="7">
        <f t="shared" si="299"/>
        <v>215000</v>
      </c>
    </row>
    <row r="122" spans="1:48" x14ac:dyDescent="0.25">
      <c r="A122" s="62" t="s">
        <v>97</v>
      </c>
      <c r="B122" s="7"/>
      <c r="C122" s="7"/>
      <c r="D122" s="7"/>
      <c r="E122" s="7"/>
      <c r="F122" s="7">
        <f t="shared" si="291"/>
        <v>0</v>
      </c>
      <c r="H122" s="7"/>
      <c r="I122" s="7"/>
      <c r="J122" s="7"/>
      <c r="K122" s="7"/>
      <c r="L122" s="7">
        <f t="shared" si="292"/>
        <v>0</v>
      </c>
      <c r="N122" s="7"/>
      <c r="O122" s="7"/>
      <c r="P122" s="15"/>
      <c r="Q122" s="7"/>
      <c r="R122" s="7">
        <f t="shared" si="293"/>
        <v>0</v>
      </c>
      <c r="T122" s="7"/>
      <c r="U122" s="7"/>
      <c r="V122" s="15"/>
      <c r="W122" s="7"/>
      <c r="X122" s="7">
        <f t="shared" si="294"/>
        <v>0</v>
      </c>
      <c r="Z122" s="7"/>
      <c r="AA122" s="7"/>
      <c r="AB122" s="15">
        <f>16600*1.02*1.02</f>
        <v>17270.64</v>
      </c>
      <c r="AC122" s="7"/>
      <c r="AD122" s="7">
        <f t="shared" si="295"/>
        <v>17270.64</v>
      </c>
      <c r="AF122" s="7">
        <v>0</v>
      </c>
      <c r="AG122" s="7">
        <v>0</v>
      </c>
      <c r="AH122" s="7">
        <v>0</v>
      </c>
      <c r="AI122" s="7">
        <v>0</v>
      </c>
      <c r="AJ122" s="7">
        <f t="shared" si="296"/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f t="shared" si="297"/>
        <v>0</v>
      </c>
      <c r="AR122" s="7">
        <f t="shared" si="300"/>
        <v>0</v>
      </c>
      <c r="AS122" s="7">
        <f t="shared" si="301"/>
        <v>0</v>
      </c>
      <c r="AT122" s="7">
        <f t="shared" si="302"/>
        <v>17270.64</v>
      </c>
      <c r="AU122" s="7">
        <f t="shared" si="303"/>
        <v>0</v>
      </c>
      <c r="AV122" s="7">
        <f t="shared" si="299"/>
        <v>17270.64</v>
      </c>
    </row>
    <row r="123" spans="1:48" x14ac:dyDescent="0.25">
      <c r="A123" s="62" t="s">
        <v>58</v>
      </c>
      <c r="B123" s="7"/>
      <c r="C123" s="7"/>
      <c r="D123" s="7">
        <v>0</v>
      </c>
      <c r="E123" s="7"/>
      <c r="F123" s="7">
        <f t="shared" si="291"/>
        <v>0</v>
      </c>
      <c r="H123" s="7"/>
      <c r="I123" s="7"/>
      <c r="J123" s="15">
        <v>61000</v>
      </c>
      <c r="K123" s="7"/>
      <c r="L123" s="7">
        <f t="shared" si="292"/>
        <v>61000</v>
      </c>
      <c r="N123" s="7"/>
      <c r="O123" s="7"/>
      <c r="P123" s="7">
        <v>0</v>
      </c>
      <c r="Q123" s="7"/>
      <c r="R123" s="7">
        <f t="shared" si="293"/>
        <v>0</v>
      </c>
      <c r="T123" s="7"/>
      <c r="U123" s="7"/>
      <c r="V123" s="7"/>
      <c r="W123" s="7"/>
      <c r="X123" s="7">
        <f t="shared" si="294"/>
        <v>0</v>
      </c>
      <c r="Z123" s="7"/>
      <c r="AA123" s="7"/>
      <c r="AB123" s="15">
        <f>65000*1.02*1.02</f>
        <v>67626</v>
      </c>
      <c r="AC123" s="7"/>
      <c r="AD123" s="7">
        <f t="shared" si="295"/>
        <v>67626</v>
      </c>
      <c r="AF123" s="7">
        <v>0</v>
      </c>
      <c r="AG123" s="7">
        <v>0</v>
      </c>
      <c r="AH123" s="7">
        <v>0</v>
      </c>
      <c r="AI123" s="7">
        <v>0</v>
      </c>
      <c r="AJ123" s="7">
        <f t="shared" si="296"/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f t="shared" si="297"/>
        <v>0</v>
      </c>
      <c r="AR123" s="7">
        <f t="shared" si="300"/>
        <v>0</v>
      </c>
      <c r="AS123" s="7">
        <f t="shared" si="301"/>
        <v>0</v>
      </c>
      <c r="AT123" s="7">
        <f t="shared" si="302"/>
        <v>128626</v>
      </c>
      <c r="AU123" s="7">
        <f t="shared" si="303"/>
        <v>0</v>
      </c>
      <c r="AV123" s="7">
        <f t="shared" si="299"/>
        <v>128626</v>
      </c>
    </row>
    <row r="124" spans="1:48" x14ac:dyDescent="0.25">
      <c r="A124" s="62" t="s">
        <v>98</v>
      </c>
      <c r="B124" s="7">
        <v>0</v>
      </c>
      <c r="C124" s="7">
        <f>23345*1.02*1.02</f>
        <v>24288.138000000003</v>
      </c>
      <c r="D124" s="7"/>
      <c r="E124" s="7"/>
      <c r="F124" s="7">
        <f t="shared" si="291"/>
        <v>24288.138000000003</v>
      </c>
      <c r="H124" s="7">
        <v>0</v>
      </c>
      <c r="I124" s="7">
        <f>41615*1.02*1.02</f>
        <v>43296.246000000006</v>
      </c>
      <c r="J124" s="7"/>
      <c r="K124" s="7"/>
      <c r="L124" s="7">
        <f t="shared" si="292"/>
        <v>43296.246000000006</v>
      </c>
      <c r="N124" s="7">
        <v>0</v>
      </c>
      <c r="O124" s="15">
        <f>23000*1.015*1.02*1.02</f>
        <v>24288.137999999999</v>
      </c>
      <c r="P124" s="7"/>
      <c r="Q124" s="7"/>
      <c r="R124" s="7">
        <f t="shared" si="293"/>
        <v>24288.137999999999</v>
      </c>
      <c r="T124" s="7">
        <v>0</v>
      </c>
      <c r="U124" s="15">
        <f>45000+22500</f>
        <v>67500</v>
      </c>
      <c r="V124" s="7"/>
      <c r="W124" s="7"/>
      <c r="X124" s="7">
        <f t="shared" si="294"/>
        <v>67500</v>
      </c>
      <c r="Z124" s="7">
        <v>0</v>
      </c>
      <c r="AA124" s="15">
        <f>47000+22500</f>
        <v>69500</v>
      </c>
      <c r="AB124" s="15"/>
      <c r="AC124" s="7"/>
      <c r="AD124" s="7">
        <f t="shared" si="295"/>
        <v>69500</v>
      </c>
      <c r="AF124" s="7">
        <v>0</v>
      </c>
      <c r="AG124" s="15">
        <f>25000*1.015*1.02</f>
        <v>25882.499999999996</v>
      </c>
      <c r="AH124" s="7">
        <v>0</v>
      </c>
      <c r="AI124" s="7">
        <v>0</v>
      </c>
      <c r="AJ124" s="7">
        <f t="shared" si="296"/>
        <v>25882.499999999996</v>
      </c>
      <c r="AL124" s="7">
        <v>0</v>
      </c>
      <c r="AM124" s="7">
        <v>0</v>
      </c>
      <c r="AN124" s="7">
        <v>0</v>
      </c>
      <c r="AO124" s="7">
        <v>0</v>
      </c>
      <c r="AP124" s="7">
        <f t="shared" si="297"/>
        <v>0</v>
      </c>
      <c r="AR124" s="7">
        <f t="shared" si="300"/>
        <v>0</v>
      </c>
      <c r="AS124" s="7">
        <f t="shared" si="301"/>
        <v>254755.022</v>
      </c>
      <c r="AT124" s="7">
        <f t="shared" si="302"/>
        <v>0</v>
      </c>
      <c r="AU124" s="7">
        <f t="shared" si="303"/>
        <v>0</v>
      </c>
      <c r="AV124" s="7">
        <f t="shared" si="299"/>
        <v>254755.022</v>
      </c>
    </row>
    <row r="125" spans="1:48" x14ac:dyDescent="0.25">
      <c r="A125" s="62" t="s">
        <v>99</v>
      </c>
      <c r="B125" s="7">
        <v>0</v>
      </c>
      <c r="C125" s="7">
        <v>0</v>
      </c>
      <c r="D125" s="7"/>
      <c r="E125" s="7">
        <v>0</v>
      </c>
      <c r="F125" s="7">
        <f t="shared" si="291"/>
        <v>0</v>
      </c>
      <c r="H125" s="7">
        <v>0</v>
      </c>
      <c r="I125" s="7">
        <v>0</v>
      </c>
      <c r="J125" s="7"/>
      <c r="K125" s="7">
        <v>0</v>
      </c>
      <c r="L125" s="7">
        <f t="shared" si="292"/>
        <v>0</v>
      </c>
      <c r="N125" s="7">
        <v>0</v>
      </c>
      <c r="O125" s="7">
        <v>0</v>
      </c>
      <c r="P125" s="7"/>
      <c r="Q125" s="7">
        <v>0</v>
      </c>
      <c r="R125" s="7">
        <f t="shared" si="293"/>
        <v>0</v>
      </c>
      <c r="T125" s="7">
        <v>0</v>
      </c>
      <c r="U125" s="7">
        <v>0</v>
      </c>
      <c r="V125" s="7"/>
      <c r="W125" s="7">
        <v>0</v>
      </c>
      <c r="X125" s="7">
        <f t="shared" si="294"/>
        <v>0</v>
      </c>
      <c r="Z125" s="7">
        <v>0</v>
      </c>
      <c r="AA125" s="7">
        <v>0</v>
      </c>
      <c r="AB125" s="7"/>
      <c r="AC125" s="7">
        <v>0</v>
      </c>
      <c r="AD125" s="7">
        <f t="shared" si="295"/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f t="shared" si="296"/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f t="shared" si="297"/>
        <v>0</v>
      </c>
      <c r="AR125" s="7">
        <f t="shared" si="300"/>
        <v>0</v>
      </c>
      <c r="AS125" s="7">
        <f t="shared" si="301"/>
        <v>0</v>
      </c>
      <c r="AT125" s="7">
        <f t="shared" si="302"/>
        <v>0</v>
      </c>
      <c r="AU125" s="7">
        <f t="shared" si="303"/>
        <v>0</v>
      </c>
      <c r="AV125" s="7">
        <f t="shared" si="299"/>
        <v>0</v>
      </c>
    </row>
    <row r="126" spans="1:48" x14ac:dyDescent="0.25">
      <c r="A126" s="62" t="s">
        <v>100</v>
      </c>
      <c r="B126" s="146"/>
      <c r="C126" s="7">
        <f t="shared" ref="C126" si="304">(12.5*6*185)*C53</f>
        <v>0</v>
      </c>
      <c r="D126" s="146"/>
      <c r="E126" s="7">
        <f>(14*8*180)*E53</f>
        <v>20160</v>
      </c>
      <c r="F126" s="7">
        <f t="shared" si="291"/>
        <v>20160</v>
      </c>
      <c r="H126" s="146"/>
      <c r="I126" s="7">
        <f t="shared" ref="I126" si="305">(12.5*6*185)*I53</f>
        <v>0</v>
      </c>
      <c r="J126" s="146"/>
      <c r="K126" s="7">
        <f>(14*8*180)*K53</f>
        <v>60480</v>
      </c>
      <c r="L126" s="7">
        <f t="shared" si="292"/>
        <v>60480</v>
      </c>
      <c r="N126" s="146"/>
      <c r="O126" s="7">
        <f t="shared" ref="O126" si="306">(12.5*6*185)*O53</f>
        <v>0</v>
      </c>
      <c r="P126" s="146"/>
      <c r="Q126" s="7">
        <f>(14*7*180)*Q53</f>
        <v>17640</v>
      </c>
      <c r="R126" s="7">
        <f t="shared" si="293"/>
        <v>17640</v>
      </c>
      <c r="T126" s="146"/>
      <c r="U126" s="7">
        <f t="shared" ref="U126" si="307">(12.5*6*185)*U53</f>
        <v>0</v>
      </c>
      <c r="V126" s="146"/>
      <c r="W126" s="7">
        <f>(14*7*180)*W53</f>
        <v>17640</v>
      </c>
      <c r="X126" s="7">
        <f t="shared" si="294"/>
        <v>17640</v>
      </c>
      <c r="Z126" s="146"/>
      <c r="AA126" s="7">
        <f t="shared" ref="AA126" si="308">(12.5*6*185)*AA53</f>
        <v>0</v>
      </c>
      <c r="AB126" s="146"/>
      <c r="AC126" s="7">
        <f>(14*8*180)*AC53</f>
        <v>40320</v>
      </c>
      <c r="AD126" s="7">
        <f t="shared" si="295"/>
        <v>40320</v>
      </c>
      <c r="AF126" s="7">
        <v>0</v>
      </c>
      <c r="AG126" s="7">
        <v>0</v>
      </c>
      <c r="AH126" s="7">
        <v>0</v>
      </c>
      <c r="AI126" s="7">
        <f>(14*8*180)*AI53</f>
        <v>0</v>
      </c>
      <c r="AJ126" s="7">
        <f t="shared" si="296"/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f t="shared" si="297"/>
        <v>0</v>
      </c>
      <c r="AR126" s="7">
        <f t="shared" si="300"/>
        <v>0</v>
      </c>
      <c r="AS126" s="7">
        <f t="shared" si="301"/>
        <v>0</v>
      </c>
      <c r="AT126" s="7">
        <f t="shared" si="302"/>
        <v>0</v>
      </c>
      <c r="AU126" s="7">
        <f t="shared" si="303"/>
        <v>156240</v>
      </c>
      <c r="AV126" s="7">
        <f t="shared" si="299"/>
        <v>156240</v>
      </c>
    </row>
    <row r="127" spans="1:48" x14ac:dyDescent="0.25">
      <c r="A127" s="62" t="s">
        <v>101</v>
      </c>
      <c r="B127" s="37">
        <f>135*180</f>
        <v>24300</v>
      </c>
      <c r="C127" s="37"/>
      <c r="D127" s="37"/>
      <c r="E127" s="37"/>
      <c r="F127" s="7">
        <f t="shared" si="291"/>
        <v>24300</v>
      </c>
      <c r="H127" s="37">
        <f>135*180*2</f>
        <v>48600</v>
      </c>
      <c r="I127" s="37"/>
      <c r="J127" s="37"/>
      <c r="K127" s="37"/>
      <c r="L127" s="7">
        <f t="shared" si="292"/>
        <v>48600</v>
      </c>
      <c r="N127" s="37">
        <f>125*180</f>
        <v>22500</v>
      </c>
      <c r="O127" s="37"/>
      <c r="P127" s="37"/>
      <c r="Q127" s="37"/>
      <c r="R127" s="7">
        <f t="shared" si="293"/>
        <v>22500</v>
      </c>
      <c r="T127" s="37">
        <f>125*180</f>
        <v>22500</v>
      </c>
      <c r="U127" s="37"/>
      <c r="V127" s="37"/>
      <c r="W127" s="37"/>
      <c r="X127" s="7">
        <f t="shared" si="294"/>
        <v>22500</v>
      </c>
      <c r="Z127" s="37">
        <f>135*180</f>
        <v>24300</v>
      </c>
      <c r="AA127" s="37"/>
      <c r="AB127" s="37"/>
      <c r="AC127" s="37"/>
      <c r="AD127" s="7">
        <f t="shared" si="295"/>
        <v>24300</v>
      </c>
      <c r="AF127" s="7">
        <v>0</v>
      </c>
      <c r="AG127" s="7">
        <v>0</v>
      </c>
      <c r="AH127" s="7">
        <v>0</v>
      </c>
      <c r="AI127" s="7">
        <v>0</v>
      </c>
      <c r="AJ127" s="7">
        <f t="shared" si="296"/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f t="shared" si="297"/>
        <v>0</v>
      </c>
      <c r="AR127" s="7">
        <f t="shared" si="300"/>
        <v>142200</v>
      </c>
      <c r="AS127" s="7">
        <f t="shared" si="301"/>
        <v>0</v>
      </c>
      <c r="AT127" s="7">
        <f t="shared" si="302"/>
        <v>0</v>
      </c>
      <c r="AU127" s="7">
        <f t="shared" si="303"/>
        <v>0</v>
      </c>
      <c r="AV127" s="7">
        <f t="shared" si="299"/>
        <v>142200</v>
      </c>
    </row>
    <row r="128" spans="1:48" ht="15.75" thickBot="1" x14ac:dyDescent="0.3">
      <c r="A128" s="82" t="s">
        <v>102</v>
      </c>
      <c r="B128" s="87">
        <f>SUM(B118:B127)</f>
        <v>24300</v>
      </c>
      <c r="C128" s="87">
        <f>SUM(C118:C127)</f>
        <v>24288.138000000003</v>
      </c>
      <c r="D128" s="87">
        <f>SUM(D118:D127)</f>
        <v>66013.38</v>
      </c>
      <c r="E128" s="87">
        <f t="shared" ref="E128:F128" si="309">SUM(E118:E127)</f>
        <v>20160</v>
      </c>
      <c r="F128" s="87">
        <f t="shared" si="309"/>
        <v>134761.51800000001</v>
      </c>
      <c r="H128" s="87">
        <f>SUM(H118:H127)</f>
        <v>48600</v>
      </c>
      <c r="I128" s="87">
        <f>SUM(I118:I127)</f>
        <v>43296.246000000006</v>
      </c>
      <c r="J128" s="87">
        <f>SUM(J118:J127)</f>
        <v>254825</v>
      </c>
      <c r="K128" s="87">
        <f t="shared" ref="K128:L128" si="310">SUM(K118:K127)</f>
        <v>60480</v>
      </c>
      <c r="L128" s="87">
        <f t="shared" si="310"/>
        <v>407201.24599999998</v>
      </c>
      <c r="N128" s="87">
        <f>SUM(N118:N127)</f>
        <v>22500</v>
      </c>
      <c r="O128" s="87">
        <f>SUM(O118:O127)</f>
        <v>24288.137999999999</v>
      </c>
      <c r="P128" s="87">
        <f>SUM(P118:P127)</f>
        <v>96000</v>
      </c>
      <c r="Q128" s="87">
        <f t="shared" ref="Q128:R128" si="311">SUM(Q118:Q127)</f>
        <v>17640</v>
      </c>
      <c r="R128" s="87">
        <f t="shared" si="311"/>
        <v>160428.13800000001</v>
      </c>
      <c r="T128" s="87">
        <f>SUM(T118:T127)</f>
        <v>22500</v>
      </c>
      <c r="U128" s="87">
        <f>SUM(U118:U127)</f>
        <v>67500</v>
      </c>
      <c r="V128" s="87">
        <f>SUM(V118:V127)</f>
        <v>123575</v>
      </c>
      <c r="W128" s="87">
        <f t="shared" ref="W128:X128" si="312">SUM(W118:W127)</f>
        <v>17640</v>
      </c>
      <c r="X128" s="87">
        <f t="shared" si="312"/>
        <v>231215</v>
      </c>
      <c r="Z128" s="87">
        <f>SUM(Z118:Z127)</f>
        <v>24300</v>
      </c>
      <c r="AA128" s="87">
        <f>SUM(AA118:AA127)</f>
        <v>69500</v>
      </c>
      <c r="AB128" s="87">
        <f>SUM(AB118:AB127)</f>
        <v>197755.03999999998</v>
      </c>
      <c r="AC128" s="87">
        <f t="shared" ref="AC128:AD128" si="313">SUM(AC118:AC127)</f>
        <v>40320</v>
      </c>
      <c r="AD128" s="87">
        <f t="shared" si="313"/>
        <v>331875.03999999998</v>
      </c>
      <c r="AF128" s="87">
        <f>SUM(AF118:AF127)</f>
        <v>0</v>
      </c>
      <c r="AG128" s="87">
        <f>SUM(AG118:AG127)</f>
        <v>25882.499999999996</v>
      </c>
      <c r="AH128" s="87">
        <f>SUM(AH118:AH127)</f>
        <v>0</v>
      </c>
      <c r="AI128" s="87">
        <f t="shared" ref="AI128:AJ128" si="314">SUM(AI118:AI127)</f>
        <v>0</v>
      </c>
      <c r="AJ128" s="87">
        <f t="shared" si="314"/>
        <v>25882.499999999996</v>
      </c>
      <c r="AL128" s="87">
        <f>SUM(AL118:AL127)</f>
        <v>0</v>
      </c>
      <c r="AM128" s="87">
        <f>SUM(AM118:AM127)</f>
        <v>0</v>
      </c>
      <c r="AN128" s="87">
        <f>SUM(AN118:AN127)</f>
        <v>0</v>
      </c>
      <c r="AO128" s="87">
        <f t="shared" ref="AO128:AP128" si="315">SUM(AO118:AO127)</f>
        <v>0</v>
      </c>
      <c r="AP128" s="87">
        <f t="shared" si="315"/>
        <v>0</v>
      </c>
      <c r="AR128" s="87">
        <f>SUM(AR118:AR127)</f>
        <v>142200</v>
      </c>
      <c r="AS128" s="87">
        <f>SUM(AS118:AS127)</f>
        <v>254755.022</v>
      </c>
      <c r="AT128" s="87">
        <f>SUM(AT118:AT127)</f>
        <v>738168.42</v>
      </c>
      <c r="AU128" s="87">
        <f t="shared" ref="AU128:AV128" si="316">SUM(AU118:AU127)</f>
        <v>156240</v>
      </c>
      <c r="AV128" s="87">
        <f t="shared" si="316"/>
        <v>1291363.442</v>
      </c>
    </row>
    <row r="129" spans="1:49" ht="15.75" thickBot="1" x14ac:dyDescent="0.3">
      <c r="A129" s="89" t="s">
        <v>103</v>
      </c>
      <c r="B129" s="90">
        <f>B116+B128</f>
        <v>2506315.2416639999</v>
      </c>
      <c r="C129" s="90">
        <f>C116+C128</f>
        <v>125928.13800000001</v>
      </c>
      <c r="D129" s="90">
        <f>D116+D128</f>
        <v>337553.38</v>
      </c>
      <c r="E129" s="90">
        <f t="shared" ref="E129" si="317">E116+E128</f>
        <v>20160</v>
      </c>
      <c r="F129" s="90">
        <f>F116+F128</f>
        <v>2989956.759664</v>
      </c>
      <c r="H129" s="90">
        <f>H116+H128</f>
        <v>5737049.2002999997</v>
      </c>
      <c r="I129" s="90">
        <f>I116+I128</f>
        <v>123936.24600000001</v>
      </c>
      <c r="J129" s="90">
        <f>J116+J128</f>
        <v>1137330</v>
      </c>
      <c r="K129" s="90">
        <f t="shared" ref="K129" si="318">K116+K128</f>
        <v>60480</v>
      </c>
      <c r="L129" s="90">
        <f>L116+L128</f>
        <v>7058795.4463</v>
      </c>
      <c r="N129" s="90">
        <f>N116+N128</f>
        <v>2619643.1681999997</v>
      </c>
      <c r="O129" s="90">
        <f>O116+O128</f>
        <v>172230.13800000001</v>
      </c>
      <c r="P129" s="90">
        <f>P116+P128</f>
        <v>367540</v>
      </c>
      <c r="Q129" s="90">
        <f t="shared" ref="Q129" si="319">Q116+Q128</f>
        <v>17640</v>
      </c>
      <c r="R129" s="90">
        <f>R116+R128</f>
        <v>3177053.3061999995</v>
      </c>
      <c r="T129" s="90">
        <f>T116+T128</f>
        <v>3236251.6082000001</v>
      </c>
      <c r="U129" s="90">
        <f>U116+U128</f>
        <v>107820</v>
      </c>
      <c r="V129" s="90">
        <f>V116+V128</f>
        <v>463000</v>
      </c>
      <c r="W129" s="90">
        <f t="shared" ref="W129" si="320">W116+W128</f>
        <v>17640</v>
      </c>
      <c r="X129" s="90">
        <f>X116+X128</f>
        <v>3824711.6082000001</v>
      </c>
      <c r="Z129" s="90">
        <f>Z116+Z128</f>
        <v>5016147.9479999999</v>
      </c>
      <c r="AA129" s="90">
        <f>AA116+AA128</f>
        <v>109820</v>
      </c>
      <c r="AB129" s="90">
        <f>AB116+AB128</f>
        <v>970105.04</v>
      </c>
      <c r="AC129" s="90">
        <f t="shared" ref="AC129" si="321">AC116+AC128</f>
        <v>40320</v>
      </c>
      <c r="AD129" s="90">
        <f>AD116+AD128</f>
        <v>6136392.9879999999</v>
      </c>
      <c r="AF129" s="90">
        <f>AF116+AF128</f>
        <v>160776</v>
      </c>
      <c r="AG129" s="90">
        <f>AG116+AG128</f>
        <v>25882.499999999996</v>
      </c>
      <c r="AH129" s="90">
        <f>AH116+AH128</f>
        <v>0</v>
      </c>
      <c r="AI129" s="90">
        <f t="shared" ref="AI129" si="322">AI116+AI128</f>
        <v>0</v>
      </c>
      <c r="AJ129" s="90">
        <f>AJ116+AJ128</f>
        <v>186658.5</v>
      </c>
      <c r="AL129" s="90">
        <f>AL116+AL128</f>
        <v>60000</v>
      </c>
      <c r="AM129" s="90">
        <f>AM116+AM128</f>
        <v>0</v>
      </c>
      <c r="AN129" s="90">
        <f>AN116+AN128</f>
        <v>20160</v>
      </c>
      <c r="AO129" s="90">
        <f t="shared" ref="AO129" si="323">AO116+AO128</f>
        <v>0</v>
      </c>
      <c r="AP129" s="90">
        <f>AP116+AP128</f>
        <v>80160</v>
      </c>
      <c r="AR129" s="90">
        <f>AR116+AR128</f>
        <v>19336183.166363999</v>
      </c>
      <c r="AS129" s="90">
        <f>AS116+AS128</f>
        <v>665617.022</v>
      </c>
      <c r="AT129" s="90">
        <f>AT116+AT128</f>
        <v>3295688.42</v>
      </c>
      <c r="AU129" s="90">
        <f t="shared" ref="AU129" si="324">AU116+AU128</f>
        <v>156240</v>
      </c>
      <c r="AV129" s="90">
        <f>AV116+AV128</f>
        <v>23453728.608364001</v>
      </c>
    </row>
    <row r="130" spans="1:49" x14ac:dyDescent="0.25">
      <c r="A130" s="62" t="s">
        <v>104</v>
      </c>
      <c r="B130" s="61">
        <f>B129*0.2975</f>
        <v>745628.7843950399</v>
      </c>
      <c r="C130" s="61">
        <f t="shared" ref="C130:E130" si="325">C129*0.2975</f>
        <v>37463.621055000003</v>
      </c>
      <c r="D130" s="61">
        <f t="shared" si="325"/>
        <v>100422.13055</v>
      </c>
      <c r="E130" s="61">
        <f t="shared" si="325"/>
        <v>5997.5999999999995</v>
      </c>
      <c r="F130" s="61">
        <f>SUM(B130:E130)</f>
        <v>889512.13600003987</v>
      </c>
      <c r="H130" s="61">
        <f>H129*0.2975</f>
        <v>1706772.1370892499</v>
      </c>
      <c r="I130" s="61">
        <f t="shared" ref="I130:K130" si="326">I129*0.2975</f>
        <v>36871.033185</v>
      </c>
      <c r="J130" s="61">
        <f t="shared" si="326"/>
        <v>338355.67499999999</v>
      </c>
      <c r="K130" s="61">
        <f t="shared" si="326"/>
        <v>17992.8</v>
      </c>
      <c r="L130" s="61">
        <f>SUM(H130:K130)</f>
        <v>2099991.6452742498</v>
      </c>
      <c r="N130" s="61">
        <f>N129*0.2975</f>
        <v>779343.84253949986</v>
      </c>
      <c r="O130" s="61">
        <f t="shared" ref="O130:Q130" si="327">O129*0.2975</f>
        <v>51238.466054999997</v>
      </c>
      <c r="P130" s="61">
        <f t="shared" si="327"/>
        <v>109343.15</v>
      </c>
      <c r="Q130" s="61">
        <f t="shared" si="327"/>
        <v>5247.9</v>
      </c>
      <c r="R130" s="61">
        <f>SUM(N130:Q130)</f>
        <v>945173.35859449988</v>
      </c>
      <c r="T130" s="80">
        <f>T129*0.2975</f>
        <v>962784.85343949997</v>
      </c>
      <c r="U130" s="61">
        <f t="shared" ref="U130:W130" si="328">U129*0.2975</f>
        <v>32076.449999999997</v>
      </c>
      <c r="V130" s="61">
        <f t="shared" si="328"/>
        <v>137742.5</v>
      </c>
      <c r="W130" s="61">
        <f t="shared" si="328"/>
        <v>5247.9</v>
      </c>
      <c r="X130" s="61">
        <f>SUM(T130:W130)</f>
        <v>1137851.7034394997</v>
      </c>
      <c r="Z130" s="61">
        <f>Z129*0.2975-15000</f>
        <v>1477304.0145299998</v>
      </c>
      <c r="AA130" s="61">
        <f t="shared" ref="AA130:AC130" si="329">AA129*0.2975</f>
        <v>32671.449999999997</v>
      </c>
      <c r="AB130" s="61">
        <f t="shared" si="329"/>
        <v>288606.24939999997</v>
      </c>
      <c r="AC130" s="61">
        <f t="shared" si="329"/>
        <v>11995.199999999999</v>
      </c>
      <c r="AD130" s="61">
        <f>SUM(Z130:AC130)</f>
        <v>1810576.9139299996</v>
      </c>
      <c r="AF130" s="61">
        <f>AF129*0.2975</f>
        <v>47830.86</v>
      </c>
      <c r="AG130" s="61">
        <f t="shared" ref="AG130:AI130" si="330">AG129*0.2975</f>
        <v>7700.0437499999989</v>
      </c>
      <c r="AH130" s="61">
        <f t="shared" si="330"/>
        <v>0</v>
      </c>
      <c r="AI130" s="61">
        <f t="shared" si="330"/>
        <v>0</v>
      </c>
      <c r="AJ130" s="61">
        <f>SUM(AF130:AI130)</f>
        <v>55530.903749999998</v>
      </c>
      <c r="AL130" s="61">
        <f>AL129*0.2975</f>
        <v>17850</v>
      </c>
      <c r="AM130" s="61">
        <f t="shared" ref="AM130:AO130" si="331">AM129*0.2975</f>
        <v>0</v>
      </c>
      <c r="AN130" s="61">
        <f t="shared" si="331"/>
        <v>5997.5999999999995</v>
      </c>
      <c r="AO130" s="61">
        <f t="shared" si="331"/>
        <v>0</v>
      </c>
      <c r="AP130" s="61">
        <f>SUM(AL130:AO130)</f>
        <v>23847.599999999999</v>
      </c>
      <c r="AR130" s="61">
        <f>B130+H130+N130+T130+Z130+AF130+AL130</f>
        <v>5737514.4919932904</v>
      </c>
      <c r="AS130" s="61">
        <f t="shared" ref="AS130:AU130" si="332">C130+I130+O130+U130+AA130+AG130+AM130</f>
        <v>198021.06404500001</v>
      </c>
      <c r="AT130" s="61">
        <f t="shared" si="332"/>
        <v>980467.3049499999</v>
      </c>
      <c r="AU130" s="61">
        <f t="shared" si="332"/>
        <v>46481.399999999994</v>
      </c>
      <c r="AV130" s="61">
        <f>SUM(AR130:AU130)</f>
        <v>6962484.2609882904</v>
      </c>
    </row>
    <row r="131" spans="1:49" x14ac:dyDescent="0.25">
      <c r="A131" s="62" t="s">
        <v>105</v>
      </c>
      <c r="B131" s="7">
        <f>(((600*B66)*0.75)*12)+((294*(B66*0.75)))+((68*(B66*0.75)))+(B129*0.0145)+(B129*0.035)+(7*B66)</f>
        <v>405148.35446236795</v>
      </c>
      <c r="C131" s="7">
        <f>(((600*C66)*0.5)*12)+((294*(C66*0.5)))+((68*(C66*0.5)))+(C129*0.0145)+(C129*0.035)+(7*C66)</f>
        <v>17597.442831</v>
      </c>
      <c r="D131" s="7">
        <f>(((600*D66)*0.75)*12)+((294*(D66*0.75)))+((68*(D66*0.75)))+(D129*0.0145)+(D129*0.035)+(7*D66)</f>
        <v>67815.392309999996</v>
      </c>
      <c r="E131" s="7">
        <f>(((600*E66)*0.2)*12)+((294*(E66*0.2)))+((68*(E66*0.2)))+(E129*0.0145)+(E129*0.035)+(7*E66)</f>
        <v>2517.3199999999997</v>
      </c>
      <c r="F131" s="61">
        <f t="shared" ref="F131:F137" si="333">SUM(B131:E131)</f>
        <v>493078.50960336794</v>
      </c>
      <c r="H131" s="7">
        <f>(((600*H66)*0.78)*12)+((294*(H66*0.78)))+((68*(H66*0.78)))+(H129*0.015)+(H129*0.035)+(7*H66)</f>
        <v>960063.50001500011</v>
      </c>
      <c r="I131" s="7">
        <f>(((600*I66)*0.65)*12)+((294*(I66*0.65)))+((68*(I66*0.65)))+(I129*0.015)+(I129*0.035)+(7*I66)</f>
        <v>35730.612300000001</v>
      </c>
      <c r="J131" s="7">
        <f>(((600*J66)*0.78)*12)+((294*(J66*0.78)))+((68*(J66*0.78)))+(J129*0.015)+(J129*0.035)+(7*J66)</f>
        <v>228121.94</v>
      </c>
      <c r="K131" s="7">
        <f>(((600*K66)*0.2)*12)+((294*(K66*0.2)))+((68*(K66*0.2)))+(K129*0.015)+(K129*0.035)+(7*K66)</f>
        <v>7582.2</v>
      </c>
      <c r="L131" s="61">
        <f t="shared" ref="L131:L137" si="334">SUM(H131:K131)</f>
        <v>1231498.2523150002</v>
      </c>
      <c r="N131" s="7">
        <f>(((600*N66)*0.78)*12)+((294*(N66*0.78)))+((68*(N66*0.78)))+(N129*0.015)+(N129*0.035)+(7*N66)</f>
        <v>449871.59840999998</v>
      </c>
      <c r="O131" s="7">
        <f>(((600*O66)*0.7)*12)+((294*(O66*0.7)))+((68*(O66*0.7)))+(O129*0.015)+(O129*0.035)+(7*O66)</f>
        <v>35113.5069</v>
      </c>
      <c r="P131" s="7">
        <f>(((600*P66)*0.78)*12)+((294*(P66*0.78)))+((68*(P66*0.78)))+(P129*0.015)+(P129*0.035)+(7*P66)</f>
        <v>67568.648799999995</v>
      </c>
      <c r="Q131" s="7">
        <f>(((600*Q66)*0.35)*12)+((294*(Q66*0.35)))+((68*(Q66*0.35)))+(Q129*0.015)+(Q129*0.035)+(7*Q66)</f>
        <v>3535.7000000000003</v>
      </c>
      <c r="R131" s="61">
        <f t="shared" ref="R131:R137" si="335">SUM(N131:Q131)</f>
        <v>556089.45410999993</v>
      </c>
      <c r="T131" s="7">
        <f>(((600*T66)*0.78)*12)+((294*(T66*0.78)))+((68*(T66*0.78)))+(T129*0.015)+(T129*0.035)+(7*T66)-12500</f>
        <v>542019.02041</v>
      </c>
      <c r="U131" s="7">
        <f>(((600*U66)*0.67)*12)+((294*(U66*0.67)))+((68*(U66*0.67)))+(U129*0.015)+(U129*0.035)+(7*U66)</f>
        <v>23148.39</v>
      </c>
      <c r="V131" s="7">
        <f>(((600*V66)*0.77)*12)+((294*(V66*0.78)))+((68*(V66*0.78)))+(V129*0.015)+(V129*0.035)+(7*V66)</f>
        <v>100967.0224</v>
      </c>
      <c r="W131" s="7">
        <f>(((600*W66)*0.3)*12)+((294*(W66*0.3)))+((68*(W66*0.3)))+(W129*0.015)+(W129*0.035)+(7*W66)</f>
        <v>3157.6</v>
      </c>
      <c r="X131" s="61">
        <f t="shared" ref="X131:X137" si="336">SUM(T131:W131)</f>
        <v>669292.03281</v>
      </c>
      <c r="Z131" s="7">
        <f>(((600*Z66)*0.78)*12)+((294*(Z66*0.78)))+((68*(Z66*0.78)))+(Z129*0.015)+(Z129*0.035)+(7*Z66)</f>
        <v>867917.51740000001</v>
      </c>
      <c r="AA131" s="7">
        <f>(((600*AA66)*0.55)*12)+((294*(AA66*0.55)))+((68*(AA66*0.55)))+(AA129*0.015)+(AA129*0.035)+(7*AA66)</f>
        <v>20072.349999999999</v>
      </c>
      <c r="AB131" s="7">
        <f t="shared" ref="AB131" si="337">(((600*AB66)*0.78)*12)+((294*(AB66*0.78)))+((68*(AB66*0.78)))+(AB129*0.015)+(AB129*0.035)+(7*AB66)</f>
        <v>183324.6208</v>
      </c>
      <c r="AC131" s="7">
        <f>(((600*AC66)*0.2)*12)+((294*(AC66*0.2)))+((68*(AC66*0.2)))+(AC129*0.015)+(AC129*0.035)+(7*AC66)</f>
        <v>5054.7999999999993</v>
      </c>
      <c r="AD131" s="61">
        <f t="shared" ref="AD131:AD137" si="338">SUM(Z131:AC131)</f>
        <v>1076369.2882000001</v>
      </c>
      <c r="AF131" s="14">
        <f>((AF129*0.1825))</f>
        <v>29341.62</v>
      </c>
      <c r="AG131" s="14">
        <f>AG129*0.1725</f>
        <v>4464.7312499999989</v>
      </c>
      <c r="AH131" s="14">
        <f>AH129*0.175</f>
        <v>0</v>
      </c>
      <c r="AI131" s="14">
        <f>AI129*0.14</f>
        <v>0</v>
      </c>
      <c r="AJ131" s="61">
        <f t="shared" ref="AJ131:AJ137" si="339">SUM(AF131:AI131)</f>
        <v>33806.35125</v>
      </c>
      <c r="AL131" s="7">
        <f>(((590*AL66))*12)+((294*(AL66*1)))+((68*(AL66*1)))+(AL129*0.015)+(AL129*0.035)+(7*AL66)</f>
        <v>10449</v>
      </c>
      <c r="AM131" s="7">
        <f t="shared" ref="AM131:AO131" si="340">(((590*AM66))*12)+((294*(AM66*1)))+((68*(AM66*1)))+(AM129*0.015)+(AM129*0.035)+(7*AM66)</f>
        <v>0</v>
      </c>
      <c r="AN131" s="7">
        <f t="shared" si="340"/>
        <v>8457</v>
      </c>
      <c r="AO131" s="7">
        <f t="shared" si="340"/>
        <v>0</v>
      </c>
      <c r="AP131" s="61">
        <f t="shared" ref="AP131:AP137" si="341">SUM(AL131:AO131)</f>
        <v>18906</v>
      </c>
      <c r="AR131" s="61">
        <f t="shared" ref="AR131:AR137" si="342">B131+H131+N131+T131+Z131+AF131+AL131</f>
        <v>3264810.6106973682</v>
      </c>
      <c r="AS131" s="61">
        <f t="shared" ref="AS131:AS137" si="343">C131+I131+O131+U131+AA131+AG131+AM131</f>
        <v>136127.03328100001</v>
      </c>
      <c r="AT131" s="61">
        <f t="shared" ref="AT131:AT137" si="344">D131+J131+P131+V131+AB131+AH131+AN131</f>
        <v>656254.62430999998</v>
      </c>
      <c r="AU131" s="61">
        <f t="shared" ref="AU131:AU137" si="345">E131+K131+Q131+W131+AC131+AI131+AO131</f>
        <v>21847.62</v>
      </c>
      <c r="AV131" s="61">
        <f t="shared" ref="AV131:AV137" si="346">SUM(AR131:AU131)</f>
        <v>4079039.888288368</v>
      </c>
      <c r="AW131" s="341">
        <f>AV131/AV129</f>
        <v>0.17391861040097958</v>
      </c>
    </row>
    <row r="132" spans="1:49" x14ac:dyDescent="0.25">
      <c r="A132" s="62" t="s">
        <v>249</v>
      </c>
      <c r="B132" s="11">
        <f>(((B42*2000)+(B43*1500)+(B44*1200)+(B45*1200)+(B46*1200)+(B47*1000)+(B48*1000)+(B49*300)+(B50*300)+(B51*300)+(B52*300)+(B53*300)+(B55*1000)+(B56*1000)+(B57*1000)+(B58*1000)+(B59*1000)+(B60*1000)+(B39*1000)+(1000*B54)))*0.88</f>
        <v>43648</v>
      </c>
      <c r="C132" s="11">
        <f t="shared" ref="C132:E132" si="347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1">
        <f t="shared" si="347"/>
        <v>5456</v>
      </c>
      <c r="E132" s="11">
        <f t="shared" si="347"/>
        <v>264</v>
      </c>
      <c r="F132" s="61">
        <f t="shared" si="333"/>
        <v>51524</v>
      </c>
      <c r="H132" s="11">
        <f>(((H42*2000)+(H43*1500)+(H44*1200)+(H45*1200)+(H46*1200)+(H47*1000)+(H48*1000)+(H49*300)+(H50*300)+(H51*300)+(H52*300)+(H53*300)+(H55*1000)+(H56*1000)+(H57*1000)+(H58*1000)+(H59*1000)+(H60*1000)+(H39*1000)+(1000*H54)))*0.9</f>
        <v>100710</v>
      </c>
      <c r="I132" s="11">
        <f t="shared" ref="I132:K132" si="348">(((I42*2000)+(I43*1500)+(I44*1200)+(I45*1200)+(I46*1200)+(I47*1000)+(I48*1000)+(I49*300)+(I50*300)+(I51*300)+(I52*300)+(I53*300)+(I55*1000)+(I56*1000)+(I57*1000)+(I58*1000)+(I59*1000)+(I60*1000)+(I39*1000)+(1000*I54)))*0.9</f>
        <v>3060</v>
      </c>
      <c r="J132" s="11">
        <f t="shared" si="348"/>
        <v>17910</v>
      </c>
      <c r="K132" s="11">
        <f t="shared" si="348"/>
        <v>810</v>
      </c>
      <c r="L132" s="61">
        <f t="shared" si="334"/>
        <v>122490</v>
      </c>
      <c r="N132" s="11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1">
        <f t="shared" ref="O132:Q132" si="349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1">
        <f t="shared" si="349"/>
        <v>4977</v>
      </c>
      <c r="Q132" s="11">
        <f t="shared" si="349"/>
        <v>270</v>
      </c>
      <c r="R132" s="61">
        <f t="shared" si="335"/>
        <v>55152</v>
      </c>
      <c r="T132" s="11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1">
        <f t="shared" ref="U132:W132" si="350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1">
        <f t="shared" si="350"/>
        <v>8856</v>
      </c>
      <c r="W132" s="11">
        <f t="shared" si="350"/>
        <v>270</v>
      </c>
      <c r="X132" s="61">
        <f t="shared" si="336"/>
        <v>69741</v>
      </c>
      <c r="Z132" s="11">
        <f>(((Z42*2000)+(Z43*1500)+(Z44*1200)+(Z45*1200)+(Z46*1200)+(Z47*1000)+(Z48*1000)+(Z49*300)+(Z50*300)+(Z51*300)+(Z52*300)+(Z53*300)+(Z55*1000)+(Z56*1000)+(Z57*1000)+(Z58*1000)+(Z59*1000)+(Z60*1000)+(Z39*1000)+(1000*Z54)))*0.88</f>
        <v>89936</v>
      </c>
      <c r="AA132" s="11">
        <f t="shared" ref="AA132:AC132" si="351">(((AA42*2000)+(AA43*1500)+(AA44*1200)+(AA45*1200)+(AA46*1200)+(AA47*1000)+(AA48*1000)+(AA49*300)+(AA50*300)+(AA51*300)+(AA52*300)+(AA53*300)+(AA55*1000)+(AA56*1000)+(AA57*1000)+(AA58*1000)+(AA59*1000)+(AA60*1000)+(AA39*1000)+(1000*AA54)))*0.88</f>
        <v>1848</v>
      </c>
      <c r="AB132" s="11">
        <f t="shared" si="351"/>
        <v>14370.4</v>
      </c>
      <c r="AC132" s="11">
        <f t="shared" si="351"/>
        <v>528</v>
      </c>
      <c r="AD132" s="61">
        <f t="shared" si="338"/>
        <v>106682.4</v>
      </c>
      <c r="AF132" s="11">
        <f>((AF42*2000)+(AF43*1500)+(AF44*1200)+(AF45*1200)+(AF46*1200)+(AF47*1000)+(AF48*1000)+(AF49*300)+(AF50*300)+(AF51*300)+(AF52*300)+(AF53*300)+(AF55*1000)+(AF56*1000)+(AF57*1000)+(AF58*1000)+(AF59*1000)+(AF60*1000)+(AF39*1000)+(1000*AF54))</f>
        <v>2500</v>
      </c>
      <c r="AG132" s="11">
        <f t="shared" ref="AG132:AI132" si="352">((AG42*2000)+(AG43*1500)+(AG44*1200)+(AG45*1200)+(AG46*1200)+(AG47*1000)+(AG48*1000)+(AG49*300)+(AG50*300)+(AG51*300)+(AG52*300)+(AG53*300)+(AG55*1000)+(AG56*1000)+(AG57*1000)+(AG58*1000)+(AG59*1000)+(AG60*1000)+(AG39*1000)+(1000*AG54))</f>
        <v>500</v>
      </c>
      <c r="AH132" s="11">
        <f t="shared" si="352"/>
        <v>0</v>
      </c>
      <c r="AI132" s="11">
        <f t="shared" si="352"/>
        <v>0</v>
      </c>
      <c r="AJ132" s="61">
        <f t="shared" si="339"/>
        <v>3000</v>
      </c>
      <c r="AL132" s="11">
        <f>((AL42*2000)+(AL43*1500)+(AL44*1200)+(AL45*1200)+(AL46*1200)+(AL47*1000)+(AL48*1000)+(AL49*300)+(AL50*300)+(AL51*300)+(AL52*300)+(AL53*300)+(AL55*1000)+(AL56*1000)+(AL57*1000)+(AL58*1000)+(AL59*1000)+(AL60*1000)+(AL39*1000)+(1000*AL54))+(1000*AL61)</f>
        <v>1000</v>
      </c>
      <c r="AM132" s="11">
        <f t="shared" ref="AM132:AO132" si="353">((AM42*2000)+(AM43*1500)+(AM44*1200)+(AM45*1200)+(AM46*1200)+(AM47*1000)+(AM48*1000)+(AM49*300)+(AM50*300)+(AM51*300)+(AM52*300)+(AM53*300)+(AM55*1000)+(AM56*1000)+(AM57*1000)+(AM58*1000)+(AM59*1000)+(AM60*1000)+(AM39*1000)+(1000*AM54))</f>
        <v>0</v>
      </c>
      <c r="AN132" s="11">
        <f t="shared" si="353"/>
        <v>300</v>
      </c>
      <c r="AO132" s="11">
        <f t="shared" si="353"/>
        <v>0</v>
      </c>
      <c r="AP132" s="61">
        <f t="shared" si="341"/>
        <v>1300</v>
      </c>
      <c r="AR132" s="61">
        <f t="shared" si="342"/>
        <v>344759</v>
      </c>
      <c r="AS132" s="61">
        <f t="shared" si="343"/>
        <v>11119</v>
      </c>
      <c r="AT132" s="61">
        <f t="shared" si="344"/>
        <v>51869.4</v>
      </c>
      <c r="AU132" s="61">
        <f t="shared" si="345"/>
        <v>2142</v>
      </c>
      <c r="AV132" s="61">
        <f t="shared" si="346"/>
        <v>409889.4</v>
      </c>
    </row>
    <row r="133" spans="1:49" x14ac:dyDescent="0.25">
      <c r="A133" s="62" t="s">
        <v>250</v>
      </c>
      <c r="B133" s="11">
        <f>125*B66+2500</f>
        <v>8687.5</v>
      </c>
      <c r="C133" s="11">
        <f t="shared" ref="C133:E133" si="354">125*C66</f>
        <v>375</v>
      </c>
      <c r="D133" s="11">
        <f t="shared" si="354"/>
        <v>1125</v>
      </c>
      <c r="E133" s="11">
        <f t="shared" si="354"/>
        <v>125</v>
      </c>
      <c r="F133" s="61">
        <f t="shared" si="333"/>
        <v>10312.5</v>
      </c>
      <c r="H133" s="11">
        <f>125*H66+3000</f>
        <v>17250</v>
      </c>
      <c r="I133" s="11">
        <f t="shared" ref="I133:K133" si="355">125*I66</f>
        <v>750</v>
      </c>
      <c r="J133" s="11">
        <f t="shared" si="355"/>
        <v>3625</v>
      </c>
      <c r="K133" s="11">
        <f t="shared" si="355"/>
        <v>375</v>
      </c>
      <c r="L133" s="61">
        <f t="shared" si="334"/>
        <v>22000</v>
      </c>
      <c r="N133" s="11">
        <f>125*N66+2500</f>
        <v>9250</v>
      </c>
      <c r="O133" s="11">
        <f t="shared" ref="O133:Q133" si="356">125*O66</f>
        <v>625</v>
      </c>
      <c r="P133" s="11">
        <f t="shared" si="356"/>
        <v>1041.25</v>
      </c>
      <c r="Q133" s="11">
        <f t="shared" si="356"/>
        <v>125</v>
      </c>
      <c r="R133" s="61">
        <f t="shared" si="335"/>
        <v>11041.25</v>
      </c>
      <c r="T133" s="11">
        <f>125*T66+2500</f>
        <v>10812.5</v>
      </c>
      <c r="U133" s="11">
        <f t="shared" ref="U133:W133" si="357">125*U66</f>
        <v>437.5</v>
      </c>
      <c r="V133" s="11">
        <f t="shared" si="357"/>
        <v>1667.5</v>
      </c>
      <c r="W133" s="11">
        <f t="shared" si="357"/>
        <v>125</v>
      </c>
      <c r="X133" s="61">
        <f t="shared" si="336"/>
        <v>13042.5</v>
      </c>
      <c r="Z133" s="11">
        <f>125*Z66+3000</f>
        <v>16062.5</v>
      </c>
      <c r="AA133" s="11">
        <f t="shared" ref="AA133:AC133" si="358">125*AA66</f>
        <v>437.5</v>
      </c>
      <c r="AB133" s="11">
        <f t="shared" si="358"/>
        <v>2853.75</v>
      </c>
      <c r="AC133" s="11">
        <f t="shared" si="358"/>
        <v>250</v>
      </c>
      <c r="AD133" s="61">
        <f t="shared" si="338"/>
        <v>19603.75</v>
      </c>
      <c r="AF133" s="11">
        <f>125*AF66</f>
        <v>375</v>
      </c>
      <c r="AG133" s="11">
        <f t="shared" ref="AG133:AI133" si="359">125*AG66</f>
        <v>62.5</v>
      </c>
      <c r="AH133" s="11">
        <f t="shared" si="359"/>
        <v>0</v>
      </c>
      <c r="AI133" s="11">
        <f t="shared" si="359"/>
        <v>0</v>
      </c>
      <c r="AJ133" s="61">
        <f t="shared" si="339"/>
        <v>437.5</v>
      </c>
      <c r="AL133" s="11">
        <f>125*AL66</f>
        <v>125</v>
      </c>
      <c r="AM133" s="11">
        <f t="shared" ref="AM133:AO133" si="360">125*AM66</f>
        <v>0</v>
      </c>
      <c r="AN133" s="11">
        <f t="shared" si="360"/>
        <v>125</v>
      </c>
      <c r="AO133" s="11">
        <f t="shared" si="360"/>
        <v>0</v>
      </c>
      <c r="AP133" s="61">
        <f t="shared" si="341"/>
        <v>250</v>
      </c>
      <c r="AR133" s="61">
        <f t="shared" ref="AR133:AR135" si="361">B133+H133+N133+T133+Z133+AF133+AL133</f>
        <v>62562.5</v>
      </c>
      <c r="AS133" s="61">
        <f t="shared" ref="AS133:AS135" si="362">C133+I133+O133+U133+AA133+AG133+AM133</f>
        <v>2687.5</v>
      </c>
      <c r="AT133" s="61">
        <f t="shared" ref="AT133:AT135" si="363">D133+J133+P133+V133+AB133+AH133+AN133</f>
        <v>10437.5</v>
      </c>
      <c r="AU133" s="61">
        <f t="shared" ref="AU133:AU135" si="364">E133+K133+Q133+W133+AC133+AI133+AO133</f>
        <v>1000</v>
      </c>
      <c r="AV133" s="61">
        <f t="shared" ref="AV133:AV135" si="365">SUM(AR133:AU133)</f>
        <v>76687.5</v>
      </c>
    </row>
    <row r="134" spans="1:49" x14ac:dyDescent="0.25">
      <c r="A134" s="62" t="s">
        <v>107</v>
      </c>
      <c r="B134" s="14">
        <v>2500</v>
      </c>
      <c r="C134" s="14"/>
      <c r="D134" s="14"/>
      <c r="E134" s="14"/>
      <c r="F134" s="61">
        <f t="shared" si="333"/>
        <v>2500</v>
      </c>
      <c r="H134" s="14">
        <v>2500</v>
      </c>
      <c r="I134" s="14"/>
      <c r="J134" s="14"/>
      <c r="K134" s="14"/>
      <c r="L134" s="61">
        <f t="shared" si="334"/>
        <v>2500</v>
      </c>
      <c r="N134" s="14">
        <v>2500</v>
      </c>
      <c r="O134" s="14"/>
      <c r="P134" s="14"/>
      <c r="Q134" s="14"/>
      <c r="R134" s="61">
        <f t="shared" si="335"/>
        <v>2500</v>
      </c>
      <c r="T134" s="14">
        <f>2500+15000</f>
        <v>17500</v>
      </c>
      <c r="U134" s="14"/>
      <c r="V134" s="14"/>
      <c r="W134" s="14"/>
      <c r="X134" s="61">
        <f t="shared" si="336"/>
        <v>17500</v>
      </c>
      <c r="Z134" s="14">
        <v>15000</v>
      </c>
      <c r="AA134" s="14"/>
      <c r="AB134" s="14"/>
      <c r="AC134" s="14"/>
      <c r="AD134" s="61">
        <f t="shared" si="338"/>
        <v>15000</v>
      </c>
      <c r="AF134" s="14">
        <v>0</v>
      </c>
      <c r="AG134" s="14">
        <v>0</v>
      </c>
      <c r="AH134" s="14">
        <f t="shared" ref="AH134:AI134" si="366">125*AH66</f>
        <v>0</v>
      </c>
      <c r="AI134" s="14">
        <f t="shared" si="366"/>
        <v>0</v>
      </c>
      <c r="AJ134" s="61">
        <f t="shared" si="339"/>
        <v>0</v>
      </c>
      <c r="AL134" s="14">
        <f>(50*AL19*12)+6000+15000</f>
        <v>73800</v>
      </c>
      <c r="AM134" s="14">
        <v>0</v>
      </c>
      <c r="AN134" s="11">
        <v>10000</v>
      </c>
      <c r="AO134" s="14">
        <f t="shared" ref="AO134" si="367">125*AO66</f>
        <v>0</v>
      </c>
      <c r="AP134" s="61">
        <f t="shared" si="341"/>
        <v>83800</v>
      </c>
      <c r="AR134" s="61">
        <f t="shared" si="361"/>
        <v>113800</v>
      </c>
      <c r="AS134" s="61">
        <f t="shared" si="362"/>
        <v>0</v>
      </c>
      <c r="AT134" s="61">
        <f t="shared" si="363"/>
        <v>10000</v>
      </c>
      <c r="AU134" s="61">
        <f t="shared" si="364"/>
        <v>0</v>
      </c>
      <c r="AV134" s="61">
        <f t="shared" si="365"/>
        <v>123800</v>
      </c>
    </row>
    <row r="135" spans="1:49" x14ac:dyDescent="0.25">
      <c r="A135" s="62" t="s">
        <v>251</v>
      </c>
      <c r="B135" s="14">
        <f>(500*B39)+((500*(B42+B43+B44+B45+B46+B47+B48))+((250*(B49+B50+B51+B52+B53+B54))+((500*(B55+B56+B57+B58+B59+B60+B61)))))</f>
        <v>24000</v>
      </c>
      <c r="C135" s="14">
        <f t="shared" ref="C135:E135" si="368">(500*C39)+((500*(C42+C43+C44+C45+C46+C47+C48))+((250*(C49+C50+C51+C52+C53+C54))+((500*(C55+C56+C57+C58+C59+C60+C61)))))</f>
        <v>1125</v>
      </c>
      <c r="D135" s="14">
        <f t="shared" si="368"/>
        <v>3500</v>
      </c>
      <c r="E135" s="14">
        <f t="shared" si="368"/>
        <v>250</v>
      </c>
      <c r="F135" s="61">
        <f t="shared" si="333"/>
        <v>28875</v>
      </c>
      <c r="H135" s="14">
        <f>(500*H39)+((500*(H42+H43+H44+H45+H46+H47+H48))+((250*(H49+H50+H51+H52+H53+H54))+((500*(H55+H56+H57+H58+H59+H60+H61)))))</f>
        <v>54750</v>
      </c>
      <c r="I135" s="14">
        <f t="shared" ref="I135:K135" si="369">(1000*I39)+((1000*(I42+I43+I44+I45+I46+I47+I48))+((500*(I49+I50+I51+I52+I53+I54))+((1000*(I55+I56+I57+I58+I59+I60+I61)))))</f>
        <v>4000</v>
      </c>
      <c r="J135" s="14">
        <f t="shared" si="369"/>
        <v>22500</v>
      </c>
      <c r="K135" s="14">
        <f t="shared" si="369"/>
        <v>1500</v>
      </c>
      <c r="L135" s="61">
        <f t="shared" si="334"/>
        <v>82750</v>
      </c>
      <c r="N135" s="14">
        <f>(500*N39)+((500*(N42+N43+N44+N45+N46+N47+N48))+((250*(N49+N50+N51+N52+N53+N54))+((500*(N55+N56+N57+N58+N59+N60+N61)))))</f>
        <v>26000</v>
      </c>
      <c r="O135" s="14">
        <f t="shared" ref="O135:Q135" si="370">(500*O39)+((500*(O42+O43+O44+O45+O46+O47+O48))+((250*(O49+O50+O51+O52+O53+O54))+((500*(O55+O56+O57+O58+O59+O60+O61)))))</f>
        <v>1375</v>
      </c>
      <c r="P135" s="14">
        <f t="shared" si="370"/>
        <v>3165</v>
      </c>
      <c r="Q135" s="14">
        <f t="shared" si="370"/>
        <v>250</v>
      </c>
      <c r="R135" s="61">
        <f t="shared" si="335"/>
        <v>30790</v>
      </c>
      <c r="T135" s="14">
        <f>(500*T39)+((500*(T42+T43+T44+T45+T46+T47+T48))+((250*(T49+T50+T51+T52+T53+T54))+((500*(T55+T56+T57+T58+T59+T60+T61)))))</f>
        <v>31875</v>
      </c>
      <c r="U135" s="14">
        <f t="shared" ref="U135:W135" si="371">(500*U39)+((500*(U42+U43+U44+U45+U46+U47+U48))+((250*(U49+U50+U51+U52+U53+U54))+((500*(U55+U56+U57+U58+U59+U60+U61)))))</f>
        <v>1250</v>
      </c>
      <c r="V135" s="14">
        <f t="shared" si="371"/>
        <v>5420</v>
      </c>
      <c r="W135" s="14">
        <f t="shared" si="371"/>
        <v>250</v>
      </c>
      <c r="X135" s="61">
        <f t="shared" si="336"/>
        <v>38795</v>
      </c>
      <c r="Z135" s="14">
        <f>(500*Z39)+((500*(Z42+Z43+Z44+Z45+Z46+Z47+Z48))+((250*(Z49+Z50+Z51+Z52+Z53+Z54))+((500*(Z55+Z56+Z57+Z58+Z59+Z60+Z61)))))</f>
        <v>50250</v>
      </c>
      <c r="AA135" s="14">
        <f t="shared" ref="AA135:AC135" si="372">(500*AA39)+((500*(AA42+AA43+AA44+AA45+AA46+AA47+AA48))+((250*(AA49+AA50+AA51+AA52+AA53+AA54))+((500*(AA55+AA56+AA57+AA58+AA59+AA60+AA61)))))</f>
        <v>1250</v>
      </c>
      <c r="AB135" s="14">
        <f t="shared" si="372"/>
        <v>8915</v>
      </c>
      <c r="AC135" s="14">
        <f t="shared" si="372"/>
        <v>500</v>
      </c>
      <c r="AD135" s="61">
        <f t="shared" si="338"/>
        <v>60915</v>
      </c>
      <c r="AF135" s="14">
        <f>(500*AF39)+((500*(AF42+AF43+AF44+AF45+AF46+AF47+AF48))+((250*(AF49+AF50+AF51+AF52+AF53+AF54))+((500*(AF55+AF56+AF57+AF58+AF59+AF60+AF61)))))</f>
        <v>1250</v>
      </c>
      <c r="AG135" s="14">
        <f t="shared" ref="AG135:AI135" si="373">(500*AG39)+((500*(AG42+AG43+AG44+AG45+AG46+AG47+AG48))+((250*(AG49+AG50+AG51+AG52+AG53+AG54))+((500*(AG55+AG56+AG57+AG58+AG59+AG60+AG61)))))</f>
        <v>250</v>
      </c>
      <c r="AH135" s="14">
        <f t="shared" si="373"/>
        <v>0</v>
      </c>
      <c r="AI135" s="14">
        <f t="shared" si="373"/>
        <v>0</v>
      </c>
      <c r="AJ135" s="61">
        <f t="shared" si="339"/>
        <v>1500</v>
      </c>
      <c r="AL135" s="14">
        <f>(500*AL39)+((500*(AL42+AL43+AL44+AL45+AL46+AL47+AL48))+((250*(AL49+AL50+AL51+AL52+AL53+AL54))+((500*(AL55+AL56+AL57+AL58+AL59+AL60+AL61)))))</f>
        <v>500</v>
      </c>
      <c r="AM135" s="14">
        <f t="shared" ref="AM135:AO135" si="374">(500*AM39)+((500*(AM42+AM43+AM44+AM45+AM46+AM47+AM48))+((250*(AM49+AM50+AM51+AM52+AM53+AM54))+((500*(AM55+AM56+AM57+AM58+AM59+AM60+AM61)))))</f>
        <v>0</v>
      </c>
      <c r="AN135" s="14">
        <f t="shared" si="374"/>
        <v>250</v>
      </c>
      <c r="AO135" s="14">
        <f t="shared" si="374"/>
        <v>0</v>
      </c>
      <c r="AP135" s="61">
        <f t="shared" si="341"/>
        <v>750</v>
      </c>
      <c r="AR135" s="61">
        <f t="shared" si="361"/>
        <v>188625</v>
      </c>
      <c r="AS135" s="61">
        <f t="shared" si="362"/>
        <v>9250</v>
      </c>
      <c r="AT135" s="61">
        <f t="shared" si="363"/>
        <v>43750</v>
      </c>
      <c r="AU135" s="61">
        <f t="shared" si="364"/>
        <v>2750</v>
      </c>
      <c r="AV135" s="61">
        <f t="shared" si="365"/>
        <v>244375</v>
      </c>
    </row>
    <row r="136" spans="1:49" x14ac:dyDescent="0.25">
      <c r="A136" s="62" t="s">
        <v>108</v>
      </c>
      <c r="B136" s="7">
        <v>7500</v>
      </c>
      <c r="C136" s="7"/>
      <c r="D136" s="7"/>
      <c r="E136" s="7"/>
      <c r="F136" s="61">
        <f t="shared" si="333"/>
        <v>7500</v>
      </c>
      <c r="H136" s="7">
        <v>15500</v>
      </c>
      <c r="I136" s="7"/>
      <c r="J136" s="7"/>
      <c r="K136" s="7"/>
      <c r="L136" s="61">
        <f t="shared" si="334"/>
        <v>15500</v>
      </c>
      <c r="N136" s="7">
        <v>7500</v>
      </c>
      <c r="O136" s="7"/>
      <c r="P136" s="7"/>
      <c r="Q136" s="7"/>
      <c r="R136" s="61">
        <f t="shared" si="335"/>
        <v>7500</v>
      </c>
      <c r="T136" s="7">
        <v>7500</v>
      </c>
      <c r="U136" s="7"/>
      <c r="V136" s="7"/>
      <c r="W136" s="7"/>
      <c r="X136" s="61">
        <f t="shared" si="336"/>
        <v>7500</v>
      </c>
      <c r="Z136" s="7">
        <v>7500</v>
      </c>
      <c r="AA136" s="7"/>
      <c r="AB136" s="7"/>
      <c r="AC136" s="7"/>
      <c r="AD136" s="61">
        <f t="shared" si="338"/>
        <v>7500</v>
      </c>
      <c r="AF136" s="7">
        <v>0</v>
      </c>
      <c r="AG136" s="7"/>
      <c r="AH136" s="7"/>
      <c r="AI136" s="7"/>
      <c r="AJ136" s="61">
        <f t="shared" si="339"/>
        <v>0</v>
      </c>
      <c r="AL136" s="7"/>
      <c r="AM136" s="7"/>
      <c r="AN136" s="7"/>
      <c r="AO136" s="7"/>
      <c r="AP136" s="61">
        <f t="shared" si="341"/>
        <v>0</v>
      </c>
      <c r="AR136" s="61">
        <f t="shared" si="342"/>
        <v>45500</v>
      </c>
      <c r="AS136" s="61">
        <f t="shared" si="343"/>
        <v>0</v>
      </c>
      <c r="AT136" s="61">
        <f t="shared" si="344"/>
        <v>0</v>
      </c>
      <c r="AU136" s="61">
        <f t="shared" si="345"/>
        <v>0</v>
      </c>
      <c r="AV136" s="61">
        <f t="shared" si="346"/>
        <v>45500</v>
      </c>
    </row>
    <row r="137" spans="1:49" x14ac:dyDescent="0.25">
      <c r="A137" s="62" t="s">
        <v>109</v>
      </c>
      <c r="B137" s="37">
        <f>(175*10*B39)-B127</f>
        <v>46575</v>
      </c>
      <c r="C137" s="37">
        <v>1250</v>
      </c>
      <c r="D137" s="37">
        <f>(175*10*D39)-D127</f>
        <v>7000</v>
      </c>
      <c r="E137" s="37">
        <f>(175*10*E39)-E127</f>
        <v>0</v>
      </c>
      <c r="F137" s="61">
        <f t="shared" si="333"/>
        <v>54825</v>
      </c>
      <c r="H137" s="37">
        <f>(175*10*H39)-H127</f>
        <v>108900</v>
      </c>
      <c r="I137" s="37">
        <v>3000</v>
      </c>
      <c r="J137" s="37">
        <f t="shared" ref="J137:K137" si="375">(175*10*J39)-J127</f>
        <v>22750</v>
      </c>
      <c r="K137" s="37">
        <f t="shared" si="375"/>
        <v>0</v>
      </c>
      <c r="L137" s="61">
        <f t="shared" si="334"/>
        <v>134650</v>
      </c>
      <c r="N137" s="37">
        <f>(175*10*N39)-N127</f>
        <v>52750</v>
      </c>
      <c r="O137" s="37">
        <v>1500</v>
      </c>
      <c r="P137" s="37">
        <f t="shared" ref="P137:Q137" si="376">(175*10*P39)-P127</f>
        <v>7000</v>
      </c>
      <c r="Q137" s="37">
        <f t="shared" si="376"/>
        <v>0</v>
      </c>
      <c r="R137" s="61">
        <f t="shared" si="335"/>
        <v>61250</v>
      </c>
      <c r="T137" s="37">
        <f>(175*10*T39)-T127</f>
        <v>70250</v>
      </c>
      <c r="U137" s="37">
        <v>2000</v>
      </c>
      <c r="V137" s="37">
        <f t="shared" ref="V137:W137" si="377">(175*10*V39)-V127</f>
        <v>8750</v>
      </c>
      <c r="W137" s="37">
        <f t="shared" si="377"/>
        <v>0</v>
      </c>
      <c r="X137" s="61">
        <f t="shared" si="336"/>
        <v>81000</v>
      </c>
      <c r="Z137" s="37">
        <f>(175*10*Z39)-Z127</f>
        <v>124450</v>
      </c>
      <c r="AA137" s="37">
        <v>3000</v>
      </c>
      <c r="AB137" s="37">
        <f t="shared" ref="AB137:AC137" si="378">(175*10*AB39)-AB127</f>
        <v>17500</v>
      </c>
      <c r="AC137" s="37">
        <f t="shared" si="378"/>
        <v>0</v>
      </c>
      <c r="AD137" s="61">
        <f t="shared" si="338"/>
        <v>144950</v>
      </c>
      <c r="AF137" s="37">
        <f>(165*10*AF39)-AF127</f>
        <v>0</v>
      </c>
      <c r="AG137" s="37">
        <v>0</v>
      </c>
      <c r="AH137" s="37">
        <f t="shared" ref="AH137:AI137" si="379">(165*10*AH39)-AH127</f>
        <v>0</v>
      </c>
      <c r="AI137" s="37">
        <f t="shared" si="379"/>
        <v>0</v>
      </c>
      <c r="AJ137" s="61">
        <f t="shared" si="339"/>
        <v>0</v>
      </c>
      <c r="AL137" s="37">
        <f>(165*10*AL39)-AL127</f>
        <v>0</v>
      </c>
      <c r="AM137" s="37">
        <v>0</v>
      </c>
      <c r="AN137" s="37">
        <f t="shared" ref="AN137:AO137" si="380">(165*10*AN39)-AN127</f>
        <v>0</v>
      </c>
      <c r="AO137" s="37">
        <f t="shared" si="380"/>
        <v>0</v>
      </c>
      <c r="AP137" s="61">
        <f t="shared" si="341"/>
        <v>0</v>
      </c>
      <c r="AR137" s="61">
        <f t="shared" si="342"/>
        <v>402925</v>
      </c>
      <c r="AS137" s="61">
        <f t="shared" si="343"/>
        <v>10750</v>
      </c>
      <c r="AT137" s="61">
        <f t="shared" si="344"/>
        <v>63000</v>
      </c>
      <c r="AU137" s="61">
        <f t="shared" si="345"/>
        <v>0</v>
      </c>
      <c r="AV137" s="61">
        <f t="shared" si="346"/>
        <v>476675</v>
      </c>
    </row>
    <row r="138" spans="1:49" ht="15.75" thickBot="1" x14ac:dyDescent="0.3">
      <c r="A138" s="91" t="s">
        <v>110</v>
      </c>
      <c r="B138" s="87">
        <f>SUM(B130:B137)</f>
        <v>1283687.638857408</v>
      </c>
      <c r="C138" s="87">
        <f>SUM(C130:C137)</f>
        <v>59967.063886000004</v>
      </c>
      <c r="D138" s="87">
        <f>SUM(D130:D137)</f>
        <v>185318.52286</v>
      </c>
      <c r="E138" s="87">
        <f t="shared" ref="E138:F138" si="381">SUM(E130:E137)</f>
        <v>9153.9199999999983</v>
      </c>
      <c r="F138" s="87">
        <f t="shared" si="381"/>
        <v>1538127.1456034079</v>
      </c>
      <c r="H138" s="87">
        <f>SUM(H130:H137)</f>
        <v>2966445.63710425</v>
      </c>
      <c r="I138" s="87">
        <f>SUM(I130:I137)</f>
        <v>83411.645485000001</v>
      </c>
      <c r="J138" s="87">
        <f>SUM(J130:J137)</f>
        <v>633262.61499999999</v>
      </c>
      <c r="K138" s="87">
        <f t="shared" ref="K138:L138" si="382">SUM(K130:K137)</f>
        <v>28260</v>
      </c>
      <c r="L138" s="87">
        <f t="shared" si="382"/>
        <v>3711379.89758925</v>
      </c>
      <c r="N138" s="87">
        <f>SUM(N130:N137)</f>
        <v>1375455.4409494998</v>
      </c>
      <c r="O138" s="87">
        <f>SUM(O130:O137)</f>
        <v>91516.972955000005</v>
      </c>
      <c r="P138" s="87">
        <f>SUM(P130:P137)</f>
        <v>193095.04879999999</v>
      </c>
      <c r="Q138" s="87">
        <f t="shared" ref="Q138:R138" si="383">SUM(Q130:Q137)</f>
        <v>9428.6</v>
      </c>
      <c r="R138" s="87">
        <f t="shared" si="383"/>
        <v>1669496.0627044998</v>
      </c>
      <c r="T138" s="87">
        <f>SUM(T130:T137)</f>
        <v>1701466.3738495</v>
      </c>
      <c r="U138" s="87">
        <f>SUM(U130:U137)</f>
        <v>60802.34</v>
      </c>
      <c r="V138" s="87">
        <f>SUM(V130:V137)</f>
        <v>263403.02240000002</v>
      </c>
      <c r="W138" s="87">
        <f t="shared" ref="W138:X138" si="384">SUM(W130:W137)</f>
        <v>9050.5</v>
      </c>
      <c r="X138" s="87">
        <f t="shared" si="384"/>
        <v>2034722.2362494997</v>
      </c>
      <c r="Z138" s="87">
        <f>SUM(Z130:Z137)</f>
        <v>2648420.0319299996</v>
      </c>
      <c r="AA138" s="87">
        <f>SUM(AA130:AA137)</f>
        <v>59279.299999999996</v>
      </c>
      <c r="AB138" s="87">
        <f>SUM(AB130:AB137)</f>
        <v>515570.02020000003</v>
      </c>
      <c r="AC138" s="87">
        <f t="shared" ref="AC138:AD138" si="385">SUM(AC130:AC137)</f>
        <v>18328</v>
      </c>
      <c r="AD138" s="87">
        <f t="shared" si="385"/>
        <v>3241597.3521299995</v>
      </c>
      <c r="AF138" s="87">
        <f>SUM(AF130:AF137)</f>
        <v>81297.48</v>
      </c>
      <c r="AG138" s="87">
        <f>SUM(AG130:AG137)</f>
        <v>12977.274999999998</v>
      </c>
      <c r="AH138" s="87">
        <f>SUM(AH130:AH137)</f>
        <v>0</v>
      </c>
      <c r="AI138" s="87">
        <f t="shared" ref="AI138:AJ138" si="386">SUM(AI130:AI137)</f>
        <v>0</v>
      </c>
      <c r="AJ138" s="87">
        <f t="shared" si="386"/>
        <v>94274.755000000005</v>
      </c>
      <c r="AL138" s="87">
        <f>SUM(AL130:AL137)</f>
        <v>103724</v>
      </c>
      <c r="AM138" s="87">
        <f>SUM(AM130:AM137)</f>
        <v>0</v>
      </c>
      <c r="AN138" s="87">
        <f>SUM(AN130:AN137)</f>
        <v>25129.599999999999</v>
      </c>
      <c r="AO138" s="87">
        <f t="shared" ref="AO138:AP138" si="387">SUM(AO130:AO137)</f>
        <v>0</v>
      </c>
      <c r="AP138" s="87">
        <f t="shared" si="387"/>
        <v>128853.6</v>
      </c>
      <c r="AR138" s="87">
        <f>SUM(AR130:AR137)</f>
        <v>10160496.602690659</v>
      </c>
      <c r="AS138" s="87">
        <f>SUM(AS130:AS137)</f>
        <v>367954.59732599999</v>
      </c>
      <c r="AT138" s="87">
        <f>SUM(AT130:AT137)</f>
        <v>1815778.8292599998</v>
      </c>
      <c r="AU138" s="87">
        <f t="shared" ref="AU138:AV138" si="388">SUM(AU130:AU137)</f>
        <v>74221.01999999999</v>
      </c>
      <c r="AV138" s="87">
        <f t="shared" si="388"/>
        <v>12418451.049276659</v>
      </c>
    </row>
    <row r="139" spans="1:49" ht="15.75" thickBot="1" x14ac:dyDescent="0.3">
      <c r="A139" s="95" t="s">
        <v>111</v>
      </c>
      <c r="B139" s="90">
        <f>B129+B138</f>
        <v>3790002.8805214078</v>
      </c>
      <c r="C139" s="90">
        <f>C129+C138</f>
        <v>185895.201886</v>
      </c>
      <c r="D139" s="90">
        <f>D129+D138</f>
        <v>522871.90286000003</v>
      </c>
      <c r="E139" s="90">
        <f t="shared" ref="E139:F139" si="389">E129+E138</f>
        <v>29313.919999999998</v>
      </c>
      <c r="F139" s="90">
        <f t="shared" si="389"/>
        <v>4528083.9052674081</v>
      </c>
      <c r="H139" s="90">
        <f>H129+H138</f>
        <v>8703494.8374042492</v>
      </c>
      <c r="I139" s="90">
        <f>I129+I138</f>
        <v>207347.89148500003</v>
      </c>
      <c r="J139" s="90">
        <f>J129+J138</f>
        <v>1770592.615</v>
      </c>
      <c r="K139" s="90">
        <f t="shared" ref="K139:L139" si="390">K129+K138</f>
        <v>88740</v>
      </c>
      <c r="L139" s="90">
        <f t="shared" si="390"/>
        <v>10770175.343889249</v>
      </c>
      <c r="N139" s="90">
        <f>N129+N138</f>
        <v>3995098.6091494998</v>
      </c>
      <c r="O139" s="90">
        <f>O129+O138</f>
        <v>263747.11095500004</v>
      </c>
      <c r="P139" s="90">
        <f>P129+P138</f>
        <v>560635.04879999999</v>
      </c>
      <c r="Q139" s="90">
        <f t="shared" ref="Q139:R139" si="391">Q129+Q138</f>
        <v>27068.6</v>
      </c>
      <c r="R139" s="90">
        <f t="shared" si="391"/>
        <v>4846549.3689044993</v>
      </c>
      <c r="T139" s="90">
        <f>T129+T138</f>
        <v>4937717.9820495006</v>
      </c>
      <c r="U139" s="90">
        <f>U129+U138</f>
        <v>168622.34</v>
      </c>
      <c r="V139" s="90">
        <f>V129+V138</f>
        <v>726403.02240000002</v>
      </c>
      <c r="W139" s="90">
        <f t="shared" ref="W139:X139" si="392">W129+W138</f>
        <v>26690.5</v>
      </c>
      <c r="X139" s="90">
        <f t="shared" si="392"/>
        <v>5859433.8444494996</v>
      </c>
      <c r="Z139" s="90">
        <f>Z129+Z138</f>
        <v>7664567.9799299994</v>
      </c>
      <c r="AA139" s="90">
        <f>AA129+AA138</f>
        <v>169099.3</v>
      </c>
      <c r="AB139" s="90">
        <f>AB129+AB138</f>
        <v>1485675.0602000002</v>
      </c>
      <c r="AC139" s="90">
        <f t="shared" ref="AC139:AD139" si="393">AC129+AC138</f>
        <v>58648</v>
      </c>
      <c r="AD139" s="90">
        <f t="shared" si="393"/>
        <v>9377990.3401299994</v>
      </c>
      <c r="AF139" s="90">
        <f>AF129+AF138</f>
        <v>242073.47999999998</v>
      </c>
      <c r="AG139" s="90">
        <f>AG129+AG138</f>
        <v>38859.774999999994</v>
      </c>
      <c r="AH139" s="90">
        <f>AH129+AH138</f>
        <v>0</v>
      </c>
      <c r="AI139" s="90">
        <f t="shared" ref="AI139:AJ139" si="394">AI129+AI138</f>
        <v>0</v>
      </c>
      <c r="AJ139" s="90">
        <f t="shared" si="394"/>
        <v>280933.255</v>
      </c>
      <c r="AL139" s="90">
        <f>AL129+AL138</f>
        <v>163724</v>
      </c>
      <c r="AM139" s="90">
        <f>AM129+AM138</f>
        <v>0</v>
      </c>
      <c r="AN139" s="90">
        <f>AN129+AN138</f>
        <v>45289.599999999999</v>
      </c>
      <c r="AO139" s="90">
        <f t="shared" ref="AO139:AP139" si="395">AO129+AO138</f>
        <v>0</v>
      </c>
      <c r="AP139" s="90">
        <f t="shared" si="395"/>
        <v>209013.6</v>
      </c>
      <c r="AR139" s="90">
        <f>AR129+AR138</f>
        <v>29496679.769054659</v>
      </c>
      <c r="AS139" s="90">
        <f>AS129+AS138</f>
        <v>1033571.619326</v>
      </c>
      <c r="AT139" s="90">
        <f>AT129+AT138</f>
        <v>5111467.24926</v>
      </c>
      <c r="AU139" s="90">
        <f t="shared" ref="AU139:AV139" si="396">AU129+AU138</f>
        <v>230461.02</v>
      </c>
      <c r="AV139" s="90">
        <f t="shared" si="396"/>
        <v>35872179.657640658</v>
      </c>
    </row>
    <row r="140" spans="1:49" x14ac:dyDescent="0.25">
      <c r="A140" s="97" t="s">
        <v>112</v>
      </c>
      <c r="B140" s="149" t="str">
        <f>B1</f>
        <v>Operating</v>
      </c>
      <c r="C140" s="149" t="str">
        <f>C1</f>
        <v>Weights</v>
      </c>
      <c r="D140" s="149" t="str">
        <f>D1</f>
        <v>SPED</v>
      </c>
      <c r="E140" s="149" t="str">
        <f t="shared" ref="E140:F140" si="397">E1</f>
        <v>NSLP</v>
      </c>
      <c r="F140" s="149" t="str">
        <f t="shared" si="397"/>
        <v>Horizon</v>
      </c>
      <c r="H140" s="149" t="str">
        <f>H1</f>
        <v>Operating</v>
      </c>
      <c r="I140" s="149" t="str">
        <f>I1</f>
        <v>Weights</v>
      </c>
      <c r="J140" s="149" t="str">
        <f>J1</f>
        <v>SPED</v>
      </c>
      <c r="K140" s="149" t="str">
        <f t="shared" ref="K140:L140" si="398">K1</f>
        <v>NSLP</v>
      </c>
      <c r="L140" s="149" t="str">
        <f t="shared" si="398"/>
        <v>Cadence</v>
      </c>
      <c r="N140" s="149" t="str">
        <f>N1</f>
        <v>Operating</v>
      </c>
      <c r="O140" s="149" t="str">
        <f>O1</f>
        <v>Weights</v>
      </c>
      <c r="P140" s="149" t="str">
        <f>P1</f>
        <v>SPED</v>
      </c>
      <c r="Q140" s="149" t="str">
        <f t="shared" ref="Q140:R140" si="399">Q1</f>
        <v>NSLP</v>
      </c>
      <c r="R140" s="149" t="str">
        <f t="shared" si="399"/>
        <v>St. Rose</v>
      </c>
      <c r="T140" s="149" t="str">
        <f>T1</f>
        <v>Operating</v>
      </c>
      <c r="U140" s="149" t="str">
        <f>U1</f>
        <v>Weights</v>
      </c>
      <c r="V140" s="149" t="str">
        <f>V1</f>
        <v>SPED</v>
      </c>
      <c r="W140" s="149" t="str">
        <f t="shared" ref="W140:X140" si="400">W1</f>
        <v>NSLP</v>
      </c>
      <c r="X140" s="149" t="str">
        <f t="shared" si="400"/>
        <v>Inspirada</v>
      </c>
      <c r="Z140" s="149" t="str">
        <f>Z1</f>
        <v>Operating</v>
      </c>
      <c r="AA140" s="149" t="str">
        <f>AA1</f>
        <v>Weights</v>
      </c>
      <c r="AB140" s="149" t="str">
        <f>AB1</f>
        <v>SPED</v>
      </c>
      <c r="AC140" s="149" t="str">
        <f t="shared" ref="AC140:AD140" si="401">AC1</f>
        <v>NSLP</v>
      </c>
      <c r="AD140" s="149" t="str">
        <f t="shared" si="401"/>
        <v>Sloan Canyon</v>
      </c>
      <c r="AF140" s="149" t="str">
        <f>AF1</f>
        <v>Operating</v>
      </c>
      <c r="AG140" s="149" t="str">
        <f>AG1</f>
        <v>Weights</v>
      </c>
      <c r="AH140" s="149" t="str">
        <f>AH1</f>
        <v>SPED</v>
      </c>
      <c r="AI140" s="149" t="str">
        <f t="shared" ref="AI140:AJ140" si="402">AI1</f>
        <v>NSLP</v>
      </c>
      <c r="AJ140" s="149" t="str">
        <f t="shared" si="402"/>
        <v>System Wide</v>
      </c>
      <c r="AL140" s="149" t="str">
        <f>AL1</f>
        <v>Operating</v>
      </c>
      <c r="AM140" s="149" t="str">
        <f>AM1</f>
        <v>Weights</v>
      </c>
      <c r="AN140" s="149" t="str">
        <f>AN1</f>
        <v>SPED</v>
      </c>
      <c r="AO140" s="149" t="str">
        <f t="shared" ref="AO140:AP140" si="403">AO1</f>
        <v>NSLP</v>
      </c>
      <c r="AP140" s="149" t="str">
        <f t="shared" si="403"/>
        <v>Virtual</v>
      </c>
      <c r="AR140" s="149" t="str">
        <f>AR1</f>
        <v>Operating</v>
      </c>
      <c r="AS140" s="149" t="str">
        <f>AS1</f>
        <v>Weights</v>
      </c>
      <c r="AT140" s="149" t="str">
        <f>AT1</f>
        <v>SPED</v>
      </c>
      <c r="AU140" s="149" t="str">
        <f t="shared" ref="AU140:AV140" si="404">AU1</f>
        <v>NSLP</v>
      </c>
      <c r="AV140" s="149" t="str">
        <f t="shared" si="404"/>
        <v>Pinecrest System</v>
      </c>
    </row>
    <row r="141" spans="1:49" x14ac:dyDescent="0.25">
      <c r="A141" s="98" t="s">
        <v>113</v>
      </c>
      <c r="B141" s="15">
        <f>B19*140</f>
        <v>125860</v>
      </c>
      <c r="C141" s="15"/>
      <c r="D141" s="15"/>
      <c r="E141" s="15"/>
      <c r="F141" s="15">
        <f>SUM(B141:E141)</f>
        <v>125860</v>
      </c>
      <c r="H141" s="15">
        <f>H19*140</f>
        <v>314160</v>
      </c>
      <c r="I141" s="15"/>
      <c r="J141" s="15"/>
      <c r="K141" s="15"/>
      <c r="L141" s="15">
        <f>SUM(H141:K141)</f>
        <v>314160</v>
      </c>
      <c r="N141" s="15">
        <f>N19*140</f>
        <v>142240</v>
      </c>
      <c r="O141" s="15"/>
      <c r="P141" s="15"/>
      <c r="Q141" s="15"/>
      <c r="R141" s="15">
        <f>SUM(N141:Q141)</f>
        <v>142240</v>
      </c>
      <c r="T141" s="15">
        <f>T19*140</f>
        <v>167860</v>
      </c>
      <c r="U141" s="15"/>
      <c r="V141" s="15"/>
      <c r="W141" s="15"/>
      <c r="X141" s="15">
        <f>SUM(T141:W141)</f>
        <v>167860</v>
      </c>
      <c r="Z141" s="15">
        <f>Z19*140</f>
        <v>292600</v>
      </c>
      <c r="AA141" s="15"/>
      <c r="AB141" s="15"/>
      <c r="AC141" s="15"/>
      <c r="AD141" s="15">
        <f>SUM(Z141:AC141)</f>
        <v>292600</v>
      </c>
      <c r="AF141" s="15">
        <f>AF19*140</f>
        <v>0</v>
      </c>
      <c r="AG141" s="15"/>
      <c r="AH141" s="15"/>
      <c r="AI141" s="15"/>
      <c r="AJ141" s="15">
        <f>SUM(AF141:AI141)</f>
        <v>0</v>
      </c>
      <c r="AL141" s="15">
        <f>250*AL19</f>
        <v>22000</v>
      </c>
      <c r="AM141" s="15"/>
      <c r="AN141" s="15"/>
      <c r="AO141" s="15"/>
      <c r="AP141" s="15">
        <f>SUM(AL141:AO141)</f>
        <v>22000</v>
      </c>
      <c r="AR141" s="15">
        <f>B141+H141+N141+T141+Z141+AF141+AL141</f>
        <v>1064720</v>
      </c>
      <c r="AS141" s="15">
        <f t="shared" ref="AS141:AU141" si="405">C141+I141+O141+U141+AA141+AG141+AM141</f>
        <v>0</v>
      </c>
      <c r="AT141" s="15">
        <f t="shared" si="405"/>
        <v>0</v>
      </c>
      <c r="AU141" s="15">
        <f t="shared" si="405"/>
        <v>0</v>
      </c>
      <c r="AV141" s="15">
        <f>SUM(AR141:AU141)</f>
        <v>1064720</v>
      </c>
    </row>
    <row r="142" spans="1:49" x14ac:dyDescent="0.25">
      <c r="A142" s="99" t="s">
        <v>252</v>
      </c>
      <c r="B142" s="7">
        <v>0</v>
      </c>
      <c r="C142" s="7"/>
      <c r="D142" s="7"/>
      <c r="E142" s="7"/>
      <c r="F142" s="15">
        <f t="shared" ref="F142:F147" si="406">SUM(B142:E142)</f>
        <v>0</v>
      </c>
      <c r="H142" s="15">
        <f>H82+170000</f>
        <v>258000</v>
      </c>
      <c r="I142" s="7"/>
      <c r="J142" s="7"/>
      <c r="K142" s="7"/>
      <c r="L142" s="15">
        <f t="shared" ref="L142:L147" si="407">SUM(H142:K142)</f>
        <v>258000</v>
      </c>
      <c r="N142" s="7">
        <v>0</v>
      </c>
      <c r="O142" s="7"/>
      <c r="P142" s="7"/>
      <c r="Q142" s="7"/>
      <c r="R142" s="15">
        <f t="shared" ref="R142:R147" si="408">SUM(N142:Q142)</f>
        <v>0</v>
      </c>
      <c r="T142" s="7">
        <v>0</v>
      </c>
      <c r="U142" s="7"/>
      <c r="V142" s="7"/>
      <c r="W142" s="7"/>
      <c r="X142" s="15">
        <f t="shared" ref="X142:X147" si="409">SUM(T142:W142)</f>
        <v>0</v>
      </c>
      <c r="Z142" s="15">
        <v>50000</v>
      </c>
      <c r="AA142" s="7"/>
      <c r="AB142" s="7"/>
      <c r="AC142" s="7"/>
      <c r="AD142" s="15">
        <f t="shared" ref="AD142:AD147" si="410">SUM(Z142:AC142)</f>
        <v>50000</v>
      </c>
      <c r="AF142" s="15">
        <v>0</v>
      </c>
      <c r="AG142" s="7"/>
      <c r="AH142" s="7"/>
      <c r="AI142" s="7"/>
      <c r="AJ142" s="15">
        <f t="shared" ref="AJ142:AJ147" si="411">SUM(AF142:AI142)</f>
        <v>0</v>
      </c>
      <c r="AL142" s="7">
        <v>0</v>
      </c>
      <c r="AM142" s="7"/>
      <c r="AN142" s="7"/>
      <c r="AO142" s="7"/>
      <c r="AP142" s="15">
        <f t="shared" ref="AP142:AP147" si="412">SUM(AL142:AO142)</f>
        <v>0</v>
      </c>
      <c r="AR142" s="15">
        <f t="shared" ref="AR142:AR150" si="413">B142+H142+N142+T142+Z142+AF142+AL142</f>
        <v>308000</v>
      </c>
      <c r="AS142" s="15">
        <f t="shared" ref="AS142:AS150" si="414">C142+I142+O142+U142+AA142+AG142+AM142</f>
        <v>0</v>
      </c>
      <c r="AT142" s="15">
        <f t="shared" ref="AT142:AT150" si="415">D142+J142+P142+V142+AB142+AH142+AN142</f>
        <v>0</v>
      </c>
      <c r="AU142" s="15">
        <f t="shared" ref="AU142:AU150" si="416">E142+K142+Q142+W142+AC142+AI142+AO142</f>
        <v>0</v>
      </c>
      <c r="AV142" s="15">
        <f t="shared" ref="AV142:AV147" si="417">SUM(AR142:AU142)</f>
        <v>308000</v>
      </c>
    </row>
    <row r="143" spans="1:49" x14ac:dyDescent="0.25">
      <c r="A143" s="62" t="s">
        <v>115</v>
      </c>
      <c r="B143" s="11">
        <v>1100</v>
      </c>
      <c r="C143" s="11"/>
      <c r="D143" s="11"/>
      <c r="E143" s="11"/>
      <c r="F143" s="15">
        <f t="shared" si="406"/>
        <v>1100</v>
      </c>
      <c r="H143" s="11">
        <f>121600</f>
        <v>121600</v>
      </c>
      <c r="I143" s="11"/>
      <c r="J143" s="11"/>
      <c r="K143" s="11"/>
      <c r="L143" s="15">
        <f t="shared" si="407"/>
        <v>121600</v>
      </c>
      <c r="N143" s="11">
        <v>0</v>
      </c>
      <c r="O143" s="11"/>
      <c r="P143" s="11"/>
      <c r="Q143" s="11"/>
      <c r="R143" s="15">
        <f t="shared" si="408"/>
        <v>0</v>
      </c>
      <c r="T143" s="11">
        <v>0</v>
      </c>
      <c r="U143" s="11"/>
      <c r="V143" s="11"/>
      <c r="W143" s="11"/>
      <c r="X143" s="15">
        <f t="shared" si="409"/>
        <v>0</v>
      </c>
      <c r="Z143" s="11">
        <f>63700+200000</f>
        <v>263700</v>
      </c>
      <c r="AA143" s="11"/>
      <c r="AB143" s="11"/>
      <c r="AC143" s="11"/>
      <c r="AD143" s="15">
        <f t="shared" si="410"/>
        <v>263700</v>
      </c>
      <c r="AF143" s="11">
        <v>0</v>
      </c>
      <c r="AG143" s="11"/>
      <c r="AH143" s="11"/>
      <c r="AI143" s="11"/>
      <c r="AJ143" s="15">
        <f t="shared" si="411"/>
        <v>0</v>
      </c>
      <c r="AL143" s="11">
        <v>0</v>
      </c>
      <c r="AM143" s="11"/>
      <c r="AN143" s="11"/>
      <c r="AO143" s="11"/>
      <c r="AP143" s="15">
        <f t="shared" si="412"/>
        <v>0</v>
      </c>
      <c r="AR143" s="15">
        <f t="shared" si="413"/>
        <v>386400</v>
      </c>
      <c r="AS143" s="15">
        <f t="shared" si="414"/>
        <v>0</v>
      </c>
      <c r="AT143" s="15">
        <f t="shared" si="415"/>
        <v>0</v>
      </c>
      <c r="AU143" s="15">
        <f t="shared" si="416"/>
        <v>0</v>
      </c>
      <c r="AV143" s="15">
        <f t="shared" si="417"/>
        <v>386400</v>
      </c>
    </row>
    <row r="144" spans="1:49" x14ac:dyDescent="0.25">
      <c r="A144" s="62" t="s">
        <v>116</v>
      </c>
      <c r="B144" s="7">
        <v>0</v>
      </c>
      <c r="C144" s="7">
        <v>0</v>
      </c>
      <c r="D144" s="7"/>
      <c r="E144" s="7"/>
      <c r="F144" s="15">
        <f t="shared" si="406"/>
        <v>0</v>
      </c>
      <c r="H144" s="15">
        <v>75000</v>
      </c>
      <c r="I144" s="7">
        <v>0</v>
      </c>
      <c r="J144" s="7"/>
      <c r="K144" s="7"/>
      <c r="L144" s="15">
        <f t="shared" si="407"/>
        <v>75000</v>
      </c>
      <c r="N144" s="7">
        <v>0</v>
      </c>
      <c r="O144" s="7">
        <v>0</v>
      </c>
      <c r="P144" s="7"/>
      <c r="Q144" s="7"/>
      <c r="R144" s="15">
        <f t="shared" si="408"/>
        <v>0</v>
      </c>
      <c r="T144" s="7">
        <v>0</v>
      </c>
      <c r="U144" s="7">
        <v>0</v>
      </c>
      <c r="V144" s="7"/>
      <c r="W144" s="7"/>
      <c r="X144" s="15">
        <f t="shared" si="409"/>
        <v>0</v>
      </c>
      <c r="Z144" s="15">
        <v>0</v>
      </c>
      <c r="AA144" s="15">
        <v>0</v>
      </c>
      <c r="AB144" s="15"/>
      <c r="AC144" s="7"/>
      <c r="AD144" s="15">
        <f t="shared" si="410"/>
        <v>0</v>
      </c>
      <c r="AF144" s="7">
        <v>0</v>
      </c>
      <c r="AG144" s="7">
        <v>0</v>
      </c>
      <c r="AH144" s="7"/>
      <c r="AI144" s="7"/>
      <c r="AJ144" s="15">
        <f t="shared" si="411"/>
        <v>0</v>
      </c>
      <c r="AL144" s="7">
        <v>20000</v>
      </c>
      <c r="AM144" s="7">
        <v>0</v>
      </c>
      <c r="AN144" s="7"/>
      <c r="AO144" s="7"/>
      <c r="AP144" s="15">
        <f t="shared" si="412"/>
        <v>20000</v>
      </c>
      <c r="AR144" s="15">
        <f t="shared" si="413"/>
        <v>95000</v>
      </c>
      <c r="AS144" s="15">
        <f t="shared" si="414"/>
        <v>0</v>
      </c>
      <c r="AT144" s="15">
        <f t="shared" si="415"/>
        <v>0</v>
      </c>
      <c r="AU144" s="15">
        <f t="shared" si="416"/>
        <v>0</v>
      </c>
      <c r="AV144" s="15">
        <f t="shared" si="417"/>
        <v>95000</v>
      </c>
    </row>
    <row r="145" spans="1:48" x14ac:dyDescent="0.25">
      <c r="A145" s="62" t="s">
        <v>117</v>
      </c>
      <c r="B145" s="7">
        <f>14*B19</f>
        <v>12586</v>
      </c>
      <c r="C145" s="7">
        <f>13*C19</f>
        <v>0</v>
      </c>
      <c r="D145" s="7"/>
      <c r="E145" s="7">
        <v>0</v>
      </c>
      <c r="F145" s="15">
        <f t="shared" si="406"/>
        <v>12586</v>
      </c>
      <c r="H145" s="7">
        <f>14*H19</f>
        <v>31416</v>
      </c>
      <c r="I145" s="7">
        <f t="shared" ref="I145" si="418">13*I19</f>
        <v>0</v>
      </c>
      <c r="J145" s="7"/>
      <c r="K145" s="7">
        <v>0</v>
      </c>
      <c r="L145" s="15">
        <f t="shared" si="407"/>
        <v>31416</v>
      </c>
      <c r="N145" s="7">
        <f>14*N19</f>
        <v>14224</v>
      </c>
      <c r="O145" s="7">
        <f t="shared" ref="O145" si="419">13*O19</f>
        <v>0</v>
      </c>
      <c r="P145" s="7"/>
      <c r="Q145" s="7">
        <v>0</v>
      </c>
      <c r="R145" s="15">
        <f t="shared" si="408"/>
        <v>14224</v>
      </c>
      <c r="T145" s="7">
        <f>14*T19</f>
        <v>16786</v>
      </c>
      <c r="U145" s="7">
        <f t="shared" ref="U145" si="420">13*U19</f>
        <v>0</v>
      </c>
      <c r="V145" s="7"/>
      <c r="W145" s="7">
        <v>0</v>
      </c>
      <c r="X145" s="15">
        <f t="shared" si="409"/>
        <v>16786</v>
      </c>
      <c r="Z145" s="15">
        <f>14*Z19</f>
        <v>29260</v>
      </c>
      <c r="AA145" s="15">
        <f t="shared" ref="AA145" si="421">13*AA19</f>
        <v>0</v>
      </c>
      <c r="AB145" s="15"/>
      <c r="AC145" s="7">
        <v>0</v>
      </c>
      <c r="AD145" s="15">
        <f t="shared" si="410"/>
        <v>29260</v>
      </c>
      <c r="AF145" s="7">
        <v>1100</v>
      </c>
      <c r="AG145" s="7">
        <f>13*AG19</f>
        <v>0</v>
      </c>
      <c r="AH145" s="7"/>
      <c r="AI145" s="7">
        <v>0</v>
      </c>
      <c r="AJ145" s="15">
        <f t="shared" si="411"/>
        <v>1100</v>
      </c>
      <c r="AL145" s="7">
        <f>14*AL19</f>
        <v>1232</v>
      </c>
      <c r="AM145" s="7">
        <f t="shared" ref="AM145" si="422">13*AM19</f>
        <v>0</v>
      </c>
      <c r="AN145" s="7"/>
      <c r="AO145" s="7">
        <v>0</v>
      </c>
      <c r="AP145" s="15">
        <f t="shared" si="412"/>
        <v>1232</v>
      </c>
      <c r="AR145" s="15">
        <f t="shared" si="413"/>
        <v>106604</v>
      </c>
      <c r="AS145" s="15">
        <f t="shared" si="414"/>
        <v>0</v>
      </c>
      <c r="AT145" s="15">
        <f t="shared" si="415"/>
        <v>0</v>
      </c>
      <c r="AU145" s="15">
        <f t="shared" si="416"/>
        <v>0</v>
      </c>
      <c r="AV145" s="15">
        <f t="shared" si="417"/>
        <v>106604</v>
      </c>
    </row>
    <row r="146" spans="1:48" x14ac:dyDescent="0.25">
      <c r="A146" s="62" t="s">
        <v>118</v>
      </c>
      <c r="B146" s="7">
        <f>(29*B19)</f>
        <v>26071</v>
      </c>
      <c r="C146" s="7">
        <v>0</v>
      </c>
      <c r="D146" s="7"/>
      <c r="E146" s="7"/>
      <c r="F146" s="15">
        <f t="shared" si="406"/>
        <v>26071</v>
      </c>
      <c r="H146" s="7">
        <f>(29*H19)</f>
        <v>65076</v>
      </c>
      <c r="I146" s="7">
        <v>0</v>
      </c>
      <c r="J146" s="7"/>
      <c r="K146" s="7"/>
      <c r="L146" s="15">
        <f t="shared" si="407"/>
        <v>65076</v>
      </c>
      <c r="N146" s="7">
        <f>(29*N19)</f>
        <v>29464</v>
      </c>
      <c r="O146" s="7">
        <v>0</v>
      </c>
      <c r="P146" s="7"/>
      <c r="Q146" s="7"/>
      <c r="R146" s="15">
        <f t="shared" si="408"/>
        <v>29464</v>
      </c>
      <c r="T146" s="7">
        <f>(29*T19)</f>
        <v>34771</v>
      </c>
      <c r="U146" s="7">
        <v>0</v>
      </c>
      <c r="V146" s="7"/>
      <c r="W146" s="7"/>
      <c r="X146" s="15">
        <f t="shared" si="409"/>
        <v>34771</v>
      </c>
      <c r="Z146" s="7">
        <f>(29*Z19)</f>
        <v>60610</v>
      </c>
      <c r="AA146" s="7">
        <v>0</v>
      </c>
      <c r="AB146" s="7"/>
      <c r="AC146" s="7"/>
      <c r="AD146" s="15">
        <f t="shared" si="410"/>
        <v>60610</v>
      </c>
      <c r="AF146" s="7">
        <f>(27*AF19)</f>
        <v>0</v>
      </c>
      <c r="AG146" s="7">
        <v>0</v>
      </c>
      <c r="AH146" s="7"/>
      <c r="AI146" s="7"/>
      <c r="AJ146" s="15">
        <f t="shared" si="411"/>
        <v>0</v>
      </c>
      <c r="AL146" s="7">
        <f>(29*AL19)</f>
        <v>2552</v>
      </c>
      <c r="AM146" s="7">
        <v>0</v>
      </c>
      <c r="AN146" s="7"/>
      <c r="AO146" s="7"/>
      <c r="AP146" s="15">
        <f t="shared" si="412"/>
        <v>2552</v>
      </c>
      <c r="AR146" s="15">
        <f t="shared" si="413"/>
        <v>218544</v>
      </c>
      <c r="AS146" s="15">
        <f t="shared" si="414"/>
        <v>0</v>
      </c>
      <c r="AT146" s="15">
        <f t="shared" si="415"/>
        <v>0</v>
      </c>
      <c r="AU146" s="15">
        <f t="shared" si="416"/>
        <v>0</v>
      </c>
      <c r="AV146" s="15">
        <f t="shared" si="417"/>
        <v>218544</v>
      </c>
    </row>
    <row r="147" spans="1:48" x14ac:dyDescent="0.25">
      <c r="A147" s="62" t="s">
        <v>119</v>
      </c>
      <c r="B147" s="7">
        <f>4.25*B19</f>
        <v>3820.75</v>
      </c>
      <c r="C147" s="7">
        <f>4*C19</f>
        <v>0</v>
      </c>
      <c r="D147" s="7"/>
      <c r="E147" s="7"/>
      <c r="F147" s="15">
        <f t="shared" si="406"/>
        <v>3820.75</v>
      </c>
      <c r="H147" s="7">
        <f>4.25*H19</f>
        <v>9537</v>
      </c>
      <c r="I147" s="7">
        <f t="shared" ref="I147" si="423">4*I19</f>
        <v>0</v>
      </c>
      <c r="J147" s="7"/>
      <c r="K147" s="7"/>
      <c r="L147" s="15">
        <f t="shared" si="407"/>
        <v>9537</v>
      </c>
      <c r="N147" s="7">
        <f>4.25*N19</f>
        <v>4318</v>
      </c>
      <c r="O147" s="7">
        <f t="shared" ref="O147" si="424">4*O19</f>
        <v>0</v>
      </c>
      <c r="P147" s="7"/>
      <c r="Q147" s="7"/>
      <c r="R147" s="15">
        <f t="shared" si="408"/>
        <v>4318</v>
      </c>
      <c r="T147" s="7">
        <f>4.25*T19</f>
        <v>5095.75</v>
      </c>
      <c r="U147" s="7">
        <f t="shared" ref="U147" si="425">4*U19</f>
        <v>0</v>
      </c>
      <c r="V147" s="7"/>
      <c r="W147" s="7"/>
      <c r="X147" s="15">
        <f t="shared" si="409"/>
        <v>5095.75</v>
      </c>
      <c r="Z147" s="7">
        <f>4.25*Z19</f>
        <v>8882.5</v>
      </c>
      <c r="AA147" s="7">
        <f t="shared" ref="AA147" si="426">4*AA19</f>
        <v>0</v>
      </c>
      <c r="AB147" s="7"/>
      <c r="AC147" s="7"/>
      <c r="AD147" s="15">
        <f t="shared" si="410"/>
        <v>8882.5</v>
      </c>
      <c r="AF147" s="7">
        <f>4*AF19</f>
        <v>0</v>
      </c>
      <c r="AG147" s="7">
        <f>4*AG19</f>
        <v>0</v>
      </c>
      <c r="AH147" s="7"/>
      <c r="AI147" s="7"/>
      <c r="AJ147" s="15">
        <f t="shared" si="411"/>
        <v>0</v>
      </c>
      <c r="AL147" s="7">
        <f>4.25*AL19</f>
        <v>374</v>
      </c>
      <c r="AM147" s="7">
        <f t="shared" ref="AM147" si="427">4*AM19</f>
        <v>0</v>
      </c>
      <c r="AN147" s="7"/>
      <c r="AO147" s="7"/>
      <c r="AP147" s="15">
        <f t="shared" si="412"/>
        <v>374</v>
      </c>
      <c r="AR147" s="15">
        <f t="shared" si="413"/>
        <v>32028</v>
      </c>
      <c r="AS147" s="15">
        <f t="shared" si="414"/>
        <v>0</v>
      </c>
      <c r="AT147" s="15">
        <f t="shared" si="415"/>
        <v>0</v>
      </c>
      <c r="AU147" s="15">
        <f t="shared" si="416"/>
        <v>0</v>
      </c>
      <c r="AV147" s="15">
        <f t="shared" si="417"/>
        <v>32028</v>
      </c>
    </row>
    <row r="148" spans="1:48" x14ac:dyDescent="0.25">
      <c r="A148" s="62" t="s">
        <v>120</v>
      </c>
      <c r="B148" s="7">
        <f>3.25*B19</f>
        <v>2921.75</v>
      </c>
      <c r="C148" s="7">
        <f>3*C19</f>
        <v>0</v>
      </c>
      <c r="D148" s="7"/>
      <c r="E148" s="7"/>
      <c r="F148" s="15">
        <f t="shared" ref="F148:F150" si="428">SUM(B148:E148)</f>
        <v>2921.75</v>
      </c>
      <c r="H148" s="7">
        <f>3.25*H19</f>
        <v>7293</v>
      </c>
      <c r="I148" s="7">
        <f t="shared" ref="I148" si="429">3*I19</f>
        <v>0</v>
      </c>
      <c r="J148" s="7"/>
      <c r="K148" s="7"/>
      <c r="L148" s="15">
        <f t="shared" ref="L148:L150" si="430">SUM(H148:K148)</f>
        <v>7293</v>
      </c>
      <c r="N148" s="7">
        <f>3.25*N19</f>
        <v>3302</v>
      </c>
      <c r="O148" s="7">
        <f t="shared" ref="O148" si="431">3*O19</f>
        <v>0</v>
      </c>
      <c r="P148" s="7"/>
      <c r="Q148" s="7"/>
      <c r="R148" s="15">
        <f t="shared" ref="R148:R150" si="432">SUM(N148:Q148)</f>
        <v>3302</v>
      </c>
      <c r="T148" s="7">
        <f>3.25*T19</f>
        <v>3896.75</v>
      </c>
      <c r="U148" s="7">
        <f t="shared" ref="U148" si="433">3*U19</f>
        <v>0</v>
      </c>
      <c r="V148" s="7"/>
      <c r="W148" s="7"/>
      <c r="X148" s="15">
        <f t="shared" ref="X148:X150" si="434">SUM(T148:W148)</f>
        <v>3896.75</v>
      </c>
      <c r="Z148" s="7">
        <f>3.25*Z19</f>
        <v>6792.5</v>
      </c>
      <c r="AA148" s="7">
        <f t="shared" ref="AA148" si="435">3*AA19</f>
        <v>0</v>
      </c>
      <c r="AB148" s="7"/>
      <c r="AC148" s="7"/>
      <c r="AD148" s="15">
        <f t="shared" ref="AD148:AD150" si="436">SUM(Z148:AC148)</f>
        <v>6792.5</v>
      </c>
      <c r="AF148" s="7">
        <f>3*AF19</f>
        <v>0</v>
      </c>
      <c r="AG148" s="7">
        <f>3*AG19</f>
        <v>0</v>
      </c>
      <c r="AH148" s="7"/>
      <c r="AI148" s="7"/>
      <c r="AJ148" s="15">
        <f t="shared" ref="AJ148:AJ150" si="437">SUM(AF148:AI148)</f>
        <v>0</v>
      </c>
      <c r="AL148" s="7">
        <f>3.25*AL19</f>
        <v>286</v>
      </c>
      <c r="AM148" s="7">
        <f t="shared" ref="AM148" si="438">3*AM19</f>
        <v>0</v>
      </c>
      <c r="AN148" s="7"/>
      <c r="AO148" s="7"/>
      <c r="AP148" s="15">
        <f t="shared" ref="AP148:AP150" si="439">SUM(AL148:AO148)</f>
        <v>286</v>
      </c>
      <c r="AR148" s="15">
        <f t="shared" si="413"/>
        <v>24492</v>
      </c>
      <c r="AS148" s="15">
        <f t="shared" si="414"/>
        <v>0</v>
      </c>
      <c r="AT148" s="15">
        <f t="shared" si="415"/>
        <v>0</v>
      </c>
      <c r="AU148" s="15">
        <f t="shared" si="416"/>
        <v>0</v>
      </c>
      <c r="AV148" s="15">
        <f t="shared" ref="AV148:AV150" si="440">SUM(AR148:AU148)</f>
        <v>24492</v>
      </c>
    </row>
    <row r="149" spans="1:48" x14ac:dyDescent="0.25">
      <c r="A149" s="62" t="s">
        <v>121</v>
      </c>
      <c r="B149" s="7">
        <f>120*B22</f>
        <v>0</v>
      </c>
      <c r="C149" s="7">
        <f>120*C22</f>
        <v>0</v>
      </c>
      <c r="D149" s="7">
        <f>129*D22</f>
        <v>12513</v>
      </c>
      <c r="E149" s="7"/>
      <c r="F149" s="15">
        <f t="shared" si="428"/>
        <v>12513</v>
      </c>
      <c r="H149" s="7">
        <f>120*H22</f>
        <v>0</v>
      </c>
      <c r="I149" s="7">
        <f t="shared" ref="I149" si="441">120*I22</f>
        <v>0</v>
      </c>
      <c r="J149" s="7">
        <f>129*J22</f>
        <v>36765</v>
      </c>
      <c r="K149" s="7"/>
      <c r="L149" s="15">
        <f t="shared" si="430"/>
        <v>36765</v>
      </c>
      <c r="N149" s="7">
        <f>120*N22</f>
        <v>0</v>
      </c>
      <c r="O149" s="7">
        <f t="shared" ref="O149" si="442">120*O22</f>
        <v>0</v>
      </c>
      <c r="P149" s="7">
        <f>129*P22</f>
        <v>9546</v>
      </c>
      <c r="Q149" s="7"/>
      <c r="R149" s="15">
        <f t="shared" si="432"/>
        <v>9546</v>
      </c>
      <c r="T149" s="7">
        <f>120*T22</f>
        <v>0</v>
      </c>
      <c r="U149" s="7">
        <f t="shared" ref="U149" si="443">120*U22</f>
        <v>0</v>
      </c>
      <c r="V149" s="7">
        <f>129*V22</f>
        <v>13932</v>
      </c>
      <c r="W149" s="7"/>
      <c r="X149" s="15">
        <f t="shared" si="434"/>
        <v>13932</v>
      </c>
      <c r="Z149" s="7">
        <f>120*Z22</f>
        <v>0</v>
      </c>
      <c r="AA149" s="7">
        <f t="shared" ref="AA149" si="444">120*AA22</f>
        <v>0</v>
      </c>
      <c r="AB149" s="7">
        <f>129*AB22</f>
        <v>22059</v>
      </c>
      <c r="AC149" s="7"/>
      <c r="AD149" s="15">
        <f t="shared" si="436"/>
        <v>22059</v>
      </c>
      <c r="AF149" s="7">
        <f>120*AF22</f>
        <v>0</v>
      </c>
      <c r="AG149" s="7">
        <f>120*AG22</f>
        <v>0</v>
      </c>
      <c r="AH149" s="7">
        <f>120*AH22</f>
        <v>0</v>
      </c>
      <c r="AI149" s="7"/>
      <c r="AJ149" s="15">
        <f t="shared" si="437"/>
        <v>0</v>
      </c>
      <c r="AL149" s="7">
        <f>120*AL22</f>
        <v>0</v>
      </c>
      <c r="AM149" s="7">
        <f t="shared" ref="AM149" si="445">120*AM22</f>
        <v>0</v>
      </c>
      <c r="AN149" s="7">
        <f>129*AN22</f>
        <v>1290</v>
      </c>
      <c r="AO149" s="7"/>
      <c r="AP149" s="15">
        <f t="shared" si="439"/>
        <v>1290</v>
      </c>
      <c r="AR149" s="15">
        <f t="shared" si="413"/>
        <v>0</v>
      </c>
      <c r="AS149" s="15">
        <f t="shared" si="414"/>
        <v>0</v>
      </c>
      <c r="AT149" s="15">
        <f t="shared" si="415"/>
        <v>96105</v>
      </c>
      <c r="AU149" s="15">
        <f t="shared" si="416"/>
        <v>0</v>
      </c>
      <c r="AV149" s="15">
        <f t="shared" si="440"/>
        <v>96105</v>
      </c>
    </row>
    <row r="150" spans="1:48" ht="15.75" thickBot="1" x14ac:dyDescent="0.3">
      <c r="A150" s="62" t="s">
        <v>122</v>
      </c>
      <c r="B150" s="37">
        <v>0</v>
      </c>
      <c r="C150" s="37">
        <v>0</v>
      </c>
      <c r="D150" s="37"/>
      <c r="E150" s="37"/>
      <c r="F150" s="15">
        <f t="shared" si="428"/>
        <v>0</v>
      </c>
      <c r="H150" s="37">
        <v>50000</v>
      </c>
      <c r="I150" s="37">
        <v>0</v>
      </c>
      <c r="J150" s="37"/>
      <c r="K150" s="37"/>
      <c r="L150" s="15">
        <f t="shared" si="430"/>
        <v>50000</v>
      </c>
      <c r="N150" s="37">
        <v>0</v>
      </c>
      <c r="O150" s="37">
        <v>0</v>
      </c>
      <c r="P150" s="37"/>
      <c r="Q150" s="37"/>
      <c r="R150" s="15">
        <f t="shared" si="432"/>
        <v>0</v>
      </c>
      <c r="T150" s="37">
        <v>0</v>
      </c>
      <c r="U150" s="37">
        <v>0</v>
      </c>
      <c r="V150" s="37"/>
      <c r="W150" s="37"/>
      <c r="X150" s="15">
        <f t="shared" si="434"/>
        <v>0</v>
      </c>
      <c r="Z150" s="37">
        <v>40000</v>
      </c>
      <c r="AA150" s="37">
        <v>0</v>
      </c>
      <c r="AB150" s="37"/>
      <c r="AC150" s="37"/>
      <c r="AD150" s="15">
        <f t="shared" si="436"/>
        <v>40000</v>
      </c>
      <c r="AF150" s="37">
        <v>0</v>
      </c>
      <c r="AG150" s="37">
        <v>0</v>
      </c>
      <c r="AH150" s="37"/>
      <c r="AI150" s="37"/>
      <c r="AJ150" s="15">
        <f t="shared" si="437"/>
        <v>0</v>
      </c>
      <c r="AL150" s="37">
        <v>0</v>
      </c>
      <c r="AM150" s="37">
        <v>0</v>
      </c>
      <c r="AN150" s="37"/>
      <c r="AO150" s="37"/>
      <c r="AP150" s="15">
        <f t="shared" si="439"/>
        <v>0</v>
      </c>
      <c r="AR150" s="15">
        <f t="shared" si="413"/>
        <v>90000</v>
      </c>
      <c r="AS150" s="15">
        <f t="shared" si="414"/>
        <v>0</v>
      </c>
      <c r="AT150" s="15">
        <f t="shared" si="415"/>
        <v>0</v>
      </c>
      <c r="AU150" s="15">
        <f t="shared" si="416"/>
        <v>0</v>
      </c>
      <c r="AV150" s="15">
        <f t="shared" si="440"/>
        <v>90000</v>
      </c>
    </row>
    <row r="151" spans="1:48" ht="15.75" thickBot="1" x14ac:dyDescent="0.3">
      <c r="A151" s="95" t="s">
        <v>123</v>
      </c>
      <c r="B151" s="92">
        <f>SUM(B141:B150)</f>
        <v>172359.5</v>
      </c>
      <c r="C151" s="92">
        <f>SUM(C141:C150)</f>
        <v>0</v>
      </c>
      <c r="D151" s="92">
        <f>SUM(D141:D150)</f>
        <v>12513</v>
      </c>
      <c r="E151" s="92">
        <f>SUM(E141:E150)</f>
        <v>0</v>
      </c>
      <c r="F151" s="92">
        <f>SUM(F141:F150)</f>
        <v>184872.5</v>
      </c>
      <c r="H151" s="92">
        <f>SUM(H141:H150)</f>
        <v>932082</v>
      </c>
      <c r="I151" s="92">
        <f>SUM(I141:I150)</f>
        <v>0</v>
      </c>
      <c r="J151" s="92">
        <f>SUM(J141:J150)</f>
        <v>36765</v>
      </c>
      <c r="K151" s="92">
        <f>SUM(K141:K150)</f>
        <v>0</v>
      </c>
      <c r="L151" s="92">
        <f>SUM(L141:L150)</f>
        <v>968847</v>
      </c>
      <c r="N151" s="92">
        <f>SUM(N141:N150)</f>
        <v>193548</v>
      </c>
      <c r="O151" s="92">
        <f>SUM(O141:O150)</f>
        <v>0</v>
      </c>
      <c r="P151" s="92">
        <f>SUM(P141:P150)</f>
        <v>9546</v>
      </c>
      <c r="Q151" s="92">
        <f>SUM(Q141:Q150)</f>
        <v>0</v>
      </c>
      <c r="R151" s="92">
        <f>SUM(R141:R150)</f>
        <v>203094</v>
      </c>
      <c r="T151" s="92">
        <f>SUM(T141:T150)</f>
        <v>228409.5</v>
      </c>
      <c r="U151" s="92">
        <f>SUM(U141:U150)</f>
        <v>0</v>
      </c>
      <c r="V151" s="92">
        <f>SUM(V141:V150)</f>
        <v>13932</v>
      </c>
      <c r="W151" s="92">
        <f>SUM(W141:W150)</f>
        <v>0</v>
      </c>
      <c r="X151" s="92">
        <f>SUM(X141:X150)</f>
        <v>242341.5</v>
      </c>
      <c r="Z151" s="92">
        <f>SUM(Z141:Z150)</f>
        <v>751845</v>
      </c>
      <c r="AA151" s="92">
        <f>SUM(AA141:AA150)</f>
        <v>0</v>
      </c>
      <c r="AB151" s="92">
        <f>SUM(AB141:AB150)</f>
        <v>22059</v>
      </c>
      <c r="AC151" s="92">
        <f>SUM(AC141:AC150)</f>
        <v>0</v>
      </c>
      <c r="AD151" s="92">
        <f>SUM(AD141:AD150)</f>
        <v>773904</v>
      </c>
      <c r="AF151" s="92">
        <f>SUM(AF141:AF150)</f>
        <v>1100</v>
      </c>
      <c r="AG151" s="92">
        <f>SUM(AG141:AG150)</f>
        <v>0</v>
      </c>
      <c r="AH151" s="92">
        <f>SUM(AH141:AH150)</f>
        <v>0</v>
      </c>
      <c r="AI151" s="92">
        <f>SUM(AI141:AI150)</f>
        <v>0</v>
      </c>
      <c r="AJ151" s="92">
        <f>SUM(AJ141:AJ150)</f>
        <v>1100</v>
      </c>
      <c r="AL151" s="92">
        <f>SUM(AL141:AL150)</f>
        <v>46444</v>
      </c>
      <c r="AM151" s="92">
        <f>SUM(AM141:AM150)</f>
        <v>0</v>
      </c>
      <c r="AN151" s="92">
        <f>SUM(AN141:AN150)</f>
        <v>1290</v>
      </c>
      <c r="AO151" s="92">
        <f>SUM(AO141:AO150)</f>
        <v>0</v>
      </c>
      <c r="AP151" s="92">
        <f>SUM(AP141:AP150)</f>
        <v>47734</v>
      </c>
      <c r="AR151" s="92">
        <f>SUM(AR141:AR150)</f>
        <v>2325788</v>
      </c>
      <c r="AS151" s="92">
        <f>SUM(AS141:AS150)</f>
        <v>0</v>
      </c>
      <c r="AT151" s="92">
        <f>SUM(AT141:AT150)</f>
        <v>96105</v>
      </c>
      <c r="AU151" s="92">
        <f>SUM(AU141:AU150)</f>
        <v>0</v>
      </c>
      <c r="AV151" s="92">
        <f>SUM(AV141:AV150)</f>
        <v>2421893</v>
      </c>
    </row>
    <row r="152" spans="1:48" x14ac:dyDescent="0.25">
      <c r="A152" s="101" t="s">
        <v>124</v>
      </c>
      <c r="B152" s="149" t="str">
        <f>B1</f>
        <v>Operating</v>
      </c>
      <c r="C152" s="149" t="str">
        <f>C1</f>
        <v>Weights</v>
      </c>
      <c r="D152" s="149" t="str">
        <f>D1</f>
        <v>SPED</v>
      </c>
      <c r="E152" s="149" t="str">
        <f>E1</f>
        <v>NSLP</v>
      </c>
      <c r="F152" s="149" t="str">
        <f>F1</f>
        <v>Horizon</v>
      </c>
      <c r="H152" s="149" t="str">
        <f>H1</f>
        <v>Operating</v>
      </c>
      <c r="I152" s="149" t="str">
        <f>I1</f>
        <v>Weights</v>
      </c>
      <c r="J152" s="149" t="str">
        <f>J1</f>
        <v>SPED</v>
      </c>
      <c r="K152" s="149" t="str">
        <f>K1</f>
        <v>NSLP</v>
      </c>
      <c r="L152" s="149" t="str">
        <f>L1</f>
        <v>Cadence</v>
      </c>
      <c r="N152" s="149" t="str">
        <f>N1</f>
        <v>Operating</v>
      </c>
      <c r="O152" s="149" t="str">
        <f>O1</f>
        <v>Weights</v>
      </c>
      <c r="P152" s="149" t="str">
        <f>P1</f>
        <v>SPED</v>
      </c>
      <c r="Q152" s="149" t="str">
        <f>Q1</f>
        <v>NSLP</v>
      </c>
      <c r="R152" s="149" t="str">
        <f>R1</f>
        <v>St. Rose</v>
      </c>
      <c r="T152" s="149" t="str">
        <f>T1</f>
        <v>Operating</v>
      </c>
      <c r="U152" s="149" t="str">
        <f>U1</f>
        <v>Weights</v>
      </c>
      <c r="V152" s="149" t="str">
        <f>V1</f>
        <v>SPED</v>
      </c>
      <c r="W152" s="149" t="str">
        <f>W1</f>
        <v>NSLP</v>
      </c>
      <c r="X152" s="149" t="str">
        <f>X1</f>
        <v>Inspirada</v>
      </c>
      <c r="Z152" s="149" t="str">
        <f>Z1</f>
        <v>Operating</v>
      </c>
      <c r="AA152" s="149" t="str">
        <f>AA1</f>
        <v>Weights</v>
      </c>
      <c r="AB152" s="149" t="str">
        <f>AB1</f>
        <v>SPED</v>
      </c>
      <c r="AC152" s="149" t="str">
        <f>AC1</f>
        <v>NSLP</v>
      </c>
      <c r="AD152" s="149" t="str">
        <f>AD1</f>
        <v>Sloan Canyon</v>
      </c>
      <c r="AF152" s="149" t="str">
        <f>AF1</f>
        <v>Operating</v>
      </c>
      <c r="AG152" s="149" t="str">
        <f>AG1</f>
        <v>Weights</v>
      </c>
      <c r="AH152" s="149" t="str">
        <f>AH1</f>
        <v>SPED</v>
      </c>
      <c r="AI152" s="149" t="str">
        <f>AI1</f>
        <v>NSLP</v>
      </c>
      <c r="AJ152" s="149" t="str">
        <f>AJ1</f>
        <v>System Wide</v>
      </c>
      <c r="AL152" s="149" t="str">
        <f>AL1</f>
        <v>Operating</v>
      </c>
      <c r="AM152" s="149" t="str">
        <f>AM1</f>
        <v>Weights</v>
      </c>
      <c r="AN152" s="149" t="str">
        <f>AN1</f>
        <v>SPED</v>
      </c>
      <c r="AO152" s="149" t="str">
        <f>AO1</f>
        <v>NSLP</v>
      </c>
      <c r="AP152" s="149" t="str">
        <f>AP1</f>
        <v>Virtual</v>
      </c>
      <c r="AR152" s="149" t="str">
        <f>AR1</f>
        <v>Operating</v>
      </c>
      <c r="AS152" s="149" t="str">
        <f>AS1</f>
        <v>Weights</v>
      </c>
      <c r="AT152" s="149" t="str">
        <f>AT1</f>
        <v>SPED</v>
      </c>
      <c r="AU152" s="149" t="str">
        <f>AU1</f>
        <v>NSLP</v>
      </c>
      <c r="AV152" s="149" t="str">
        <f>AV1</f>
        <v>Pinecrest System</v>
      </c>
    </row>
    <row r="153" spans="1:48" x14ac:dyDescent="0.25">
      <c r="A153" s="62" t="s">
        <v>125</v>
      </c>
      <c r="B153" s="80">
        <v>0</v>
      </c>
      <c r="C153" s="80">
        <v>8500</v>
      </c>
      <c r="D153" s="80"/>
      <c r="E153" s="80"/>
      <c r="F153" s="80">
        <f>SUM(B153:E153)</f>
        <v>8500</v>
      </c>
      <c r="H153" s="80">
        <v>0</v>
      </c>
      <c r="I153" s="80">
        <v>18000</v>
      </c>
      <c r="J153" s="80"/>
      <c r="K153" s="80"/>
      <c r="L153" s="80">
        <f>SUM(H153:K153)</f>
        <v>18000</v>
      </c>
      <c r="N153" s="80">
        <v>0</v>
      </c>
      <c r="O153" s="80">
        <v>12000</v>
      </c>
      <c r="P153" s="80"/>
      <c r="Q153" s="80"/>
      <c r="R153" s="80">
        <f>SUM(N153:Q153)</f>
        <v>12000</v>
      </c>
      <c r="T153" s="80">
        <v>0</v>
      </c>
      <c r="U153" s="80">
        <v>12000</v>
      </c>
      <c r="V153" s="80"/>
      <c r="W153" s="80"/>
      <c r="X153" s="80">
        <f>SUM(T153:W153)</f>
        <v>12000</v>
      </c>
      <c r="Z153" s="80">
        <v>0</v>
      </c>
      <c r="AA153" s="80">
        <v>18000</v>
      </c>
      <c r="AB153" s="80"/>
      <c r="AC153" s="80"/>
      <c r="AD153" s="80">
        <f>SUM(Z153:AC153)</f>
        <v>18000</v>
      </c>
      <c r="AF153" s="80">
        <v>0</v>
      </c>
      <c r="AG153" s="80">
        <v>0</v>
      </c>
      <c r="AH153" s="80"/>
      <c r="AI153" s="80"/>
      <c r="AJ153" s="80">
        <f>SUM(AF153:AI153)</f>
        <v>0</v>
      </c>
      <c r="AL153" s="80">
        <v>0</v>
      </c>
      <c r="AM153" s="80">
        <v>6000</v>
      </c>
      <c r="AN153" s="80"/>
      <c r="AO153" s="80"/>
      <c r="AP153" s="80">
        <f>SUM(AL153:AO153)</f>
        <v>6000</v>
      </c>
      <c r="AR153" s="80">
        <f>B153+H153+N153+T153+Z153+AF153+AL153</f>
        <v>0</v>
      </c>
      <c r="AS153" s="80">
        <f t="shared" ref="AS153:AU153" si="446">C153+I153+O153+U153+AA153+AG153+AM153</f>
        <v>74500</v>
      </c>
      <c r="AT153" s="80">
        <f t="shared" si="446"/>
        <v>0</v>
      </c>
      <c r="AU153" s="80">
        <f t="shared" si="446"/>
        <v>0</v>
      </c>
      <c r="AV153" s="80">
        <f>SUM(AR153:AU153)</f>
        <v>74500</v>
      </c>
    </row>
    <row r="154" spans="1:48" x14ac:dyDescent="0.25">
      <c r="A154" s="62" t="s">
        <v>126</v>
      </c>
      <c r="B154" s="14">
        <v>0</v>
      </c>
      <c r="C154" s="142"/>
      <c r="D154" s="11">
        <f>309*$B$19</f>
        <v>277791</v>
      </c>
      <c r="E154" s="142"/>
      <c r="F154" s="80">
        <f t="shared" ref="F154:F165" si="447">SUM(B154:E154)</f>
        <v>277791</v>
      </c>
      <c r="H154" s="14">
        <v>0</v>
      </c>
      <c r="I154" s="142"/>
      <c r="J154" s="11">
        <f>100*H19</f>
        <v>224400</v>
      </c>
      <c r="K154" s="142"/>
      <c r="L154" s="80">
        <f t="shared" ref="L154:L165" si="448">SUM(H154:K154)</f>
        <v>224400</v>
      </c>
      <c r="N154" s="14">
        <v>0</v>
      </c>
      <c r="O154" s="142"/>
      <c r="P154" s="11">
        <f>187*N19</f>
        <v>189992</v>
      </c>
      <c r="Q154" s="142"/>
      <c r="R154" s="80">
        <f t="shared" ref="R154:R165" si="449">SUM(N154:Q154)</f>
        <v>189992</v>
      </c>
      <c r="T154" s="14">
        <v>0</v>
      </c>
      <c r="U154" s="142"/>
      <c r="V154" s="11">
        <f>(80*T19)</f>
        <v>95920</v>
      </c>
      <c r="W154" s="142"/>
      <c r="X154" s="80">
        <f t="shared" ref="X154:X165" si="450">SUM(T154:W154)</f>
        <v>95920</v>
      </c>
      <c r="Z154" s="14">
        <v>0</v>
      </c>
      <c r="AA154" s="142"/>
      <c r="AB154" s="14">
        <f>54*Z19</f>
        <v>112860</v>
      </c>
      <c r="AC154" s="142"/>
      <c r="AD154" s="80">
        <f t="shared" ref="AD154:AD165" si="451">SUM(Z154:AC154)</f>
        <v>112860</v>
      </c>
      <c r="AF154" s="14">
        <v>0</v>
      </c>
      <c r="AG154" s="142"/>
      <c r="AH154" s="14">
        <f>105*AF19</f>
        <v>0</v>
      </c>
      <c r="AI154" s="142"/>
      <c r="AJ154" s="80">
        <f t="shared" ref="AJ154:AJ165" si="452">SUM(AF154:AI154)</f>
        <v>0</v>
      </c>
      <c r="AL154" s="14">
        <v>0</v>
      </c>
      <c r="AM154" s="142"/>
      <c r="AN154" s="14">
        <f>200*$AL$19</f>
        <v>17600</v>
      </c>
      <c r="AO154" s="142"/>
      <c r="AP154" s="80">
        <f t="shared" ref="AP154:AP165" si="453">SUM(AL154:AO154)</f>
        <v>17600</v>
      </c>
      <c r="AR154" s="80">
        <f t="shared" ref="AR154:AR166" si="454">B154+H154+N154+T154+Z154+AF154+AL154</f>
        <v>0</v>
      </c>
      <c r="AS154" s="80">
        <f t="shared" ref="AS154:AS166" si="455">C154+I154+O154+U154+AA154+AG154+AM154</f>
        <v>0</v>
      </c>
      <c r="AT154" s="80">
        <f t="shared" ref="AT154:AT166" si="456">D154+J154+P154+V154+AB154+AH154+AN154</f>
        <v>918563</v>
      </c>
      <c r="AU154" s="80">
        <f t="shared" ref="AU154:AU166" si="457">E154+K154+Q154+W154+AC154+AI154+AO154</f>
        <v>0</v>
      </c>
      <c r="AV154" s="80">
        <f t="shared" ref="AV154:AV165" si="458">SUM(AR154:AU154)</f>
        <v>918563</v>
      </c>
    </row>
    <row r="155" spans="1:48" x14ac:dyDescent="0.25">
      <c r="A155" s="62" t="s">
        <v>253</v>
      </c>
      <c r="B155" s="11">
        <v>0</v>
      </c>
      <c r="C155" s="142"/>
      <c r="D155" s="14"/>
      <c r="E155" s="142"/>
      <c r="F155" s="80">
        <f t="shared" si="447"/>
        <v>0</v>
      </c>
      <c r="H155" s="11">
        <v>0</v>
      </c>
      <c r="I155" s="142"/>
      <c r="J155" s="14"/>
      <c r="K155" s="142"/>
      <c r="L155" s="80">
        <f t="shared" si="448"/>
        <v>0</v>
      </c>
      <c r="N155" s="11">
        <v>0</v>
      </c>
      <c r="O155" s="142"/>
      <c r="P155" s="14"/>
      <c r="Q155" s="142"/>
      <c r="R155" s="80">
        <f t="shared" si="449"/>
        <v>0</v>
      </c>
      <c r="T155" s="11">
        <v>0</v>
      </c>
      <c r="U155" s="142"/>
      <c r="V155" s="14"/>
      <c r="W155" s="142"/>
      <c r="X155" s="80">
        <f t="shared" si="450"/>
        <v>0</v>
      </c>
      <c r="Z155" s="338">
        <v>0</v>
      </c>
      <c r="AA155" s="339"/>
      <c r="AB155" s="81"/>
      <c r="AC155" s="339"/>
      <c r="AD155" s="80">
        <f t="shared" si="451"/>
        <v>0</v>
      </c>
      <c r="AF155" s="11">
        <v>0</v>
      </c>
      <c r="AG155" s="142"/>
      <c r="AH155" s="14"/>
      <c r="AI155" s="142"/>
      <c r="AJ155" s="80">
        <f t="shared" si="452"/>
        <v>0</v>
      </c>
      <c r="AL155" s="11">
        <f>(90*10)*AL19</f>
        <v>79200</v>
      </c>
      <c r="AM155" s="142"/>
      <c r="AN155" s="14"/>
      <c r="AO155" s="142"/>
      <c r="AP155" s="80">
        <f t="shared" si="453"/>
        <v>79200</v>
      </c>
      <c r="AR155" s="80">
        <f t="shared" si="454"/>
        <v>79200</v>
      </c>
      <c r="AS155" s="80">
        <f t="shared" si="455"/>
        <v>0</v>
      </c>
      <c r="AT155" s="80">
        <f t="shared" si="456"/>
        <v>0</v>
      </c>
      <c r="AU155" s="80">
        <f t="shared" si="457"/>
        <v>0</v>
      </c>
      <c r="AV155" s="80">
        <f t="shared" si="458"/>
        <v>79200</v>
      </c>
    </row>
    <row r="156" spans="1:48" x14ac:dyDescent="0.25">
      <c r="A156" s="62" t="s">
        <v>254</v>
      </c>
      <c r="B156" s="11"/>
      <c r="C156" s="142"/>
      <c r="D156" s="14"/>
      <c r="E156" s="142"/>
      <c r="F156" s="80">
        <f t="shared" si="447"/>
        <v>0</v>
      </c>
      <c r="H156" s="11"/>
      <c r="I156" s="142"/>
      <c r="J156" s="14"/>
      <c r="K156" s="142"/>
      <c r="L156" s="80">
        <f t="shared" si="448"/>
        <v>0</v>
      </c>
      <c r="N156" s="11"/>
      <c r="O156" s="142"/>
      <c r="P156" s="14"/>
      <c r="Q156" s="142"/>
      <c r="R156" s="80">
        <f t="shared" si="449"/>
        <v>0</v>
      </c>
      <c r="T156" s="11"/>
      <c r="U156" s="142"/>
      <c r="V156" s="14"/>
      <c r="W156" s="142"/>
      <c r="X156" s="80">
        <f t="shared" si="450"/>
        <v>0</v>
      </c>
      <c r="Z156" s="338">
        <v>0</v>
      </c>
      <c r="AA156" s="146"/>
      <c r="AB156" s="146"/>
      <c r="AC156" s="146"/>
      <c r="AD156" s="80">
        <f t="shared" si="451"/>
        <v>0</v>
      </c>
      <c r="AF156" s="11">
        <v>0</v>
      </c>
      <c r="AG156" s="142"/>
      <c r="AH156" s="14"/>
      <c r="AI156" s="142"/>
      <c r="AJ156" s="80">
        <f t="shared" si="452"/>
        <v>0</v>
      </c>
      <c r="AL156" s="11">
        <f>1000*AL19</f>
        <v>88000</v>
      </c>
      <c r="AM156" s="142"/>
      <c r="AN156" s="14"/>
      <c r="AO156" s="142"/>
      <c r="AP156" s="80">
        <f t="shared" si="453"/>
        <v>88000</v>
      </c>
      <c r="AR156" s="80">
        <f t="shared" si="454"/>
        <v>88000</v>
      </c>
      <c r="AS156" s="80">
        <f t="shared" si="455"/>
        <v>0</v>
      </c>
      <c r="AT156" s="80">
        <f t="shared" si="456"/>
        <v>0</v>
      </c>
      <c r="AU156" s="80">
        <f t="shared" si="457"/>
        <v>0</v>
      </c>
      <c r="AV156" s="80">
        <f t="shared" si="458"/>
        <v>88000</v>
      </c>
    </row>
    <row r="157" spans="1:48" x14ac:dyDescent="0.25">
      <c r="A157" s="62" t="s">
        <v>128</v>
      </c>
      <c r="B157" s="7">
        <f>(450*B19)</f>
        <v>404550</v>
      </c>
      <c r="C157" s="7"/>
      <c r="D157" s="7"/>
      <c r="E157" s="7"/>
      <c r="F157" s="80">
        <f t="shared" si="447"/>
        <v>404550</v>
      </c>
      <c r="H157" s="7">
        <f>(450*H19)</f>
        <v>1009800</v>
      </c>
      <c r="I157" s="7"/>
      <c r="J157" s="7"/>
      <c r="K157" s="7"/>
      <c r="L157" s="80">
        <f t="shared" si="448"/>
        <v>1009800</v>
      </c>
      <c r="N157" s="7">
        <f>(450*N19)</f>
        <v>457200</v>
      </c>
      <c r="O157" s="7"/>
      <c r="P157" s="7"/>
      <c r="Q157" s="7"/>
      <c r="R157" s="80">
        <f t="shared" si="449"/>
        <v>457200</v>
      </c>
      <c r="T157" s="7">
        <f>(450*T19)</f>
        <v>539550</v>
      </c>
      <c r="U157" s="7"/>
      <c r="V157" s="7"/>
      <c r="W157" s="7"/>
      <c r="X157" s="80">
        <f t="shared" si="450"/>
        <v>539550</v>
      </c>
      <c r="Z157" s="7">
        <f>(450*Z19)</f>
        <v>940500</v>
      </c>
      <c r="AA157" s="7"/>
      <c r="AB157" s="7"/>
      <c r="AC157" s="7"/>
      <c r="AD157" s="80">
        <f t="shared" si="451"/>
        <v>940500</v>
      </c>
      <c r="AF157" s="7">
        <f>(450*AF19)</f>
        <v>0</v>
      </c>
      <c r="AG157" s="7"/>
      <c r="AH157" s="7"/>
      <c r="AI157" s="7"/>
      <c r="AJ157" s="80">
        <f t="shared" si="452"/>
        <v>0</v>
      </c>
      <c r="AL157" s="7">
        <f>(450*AL19)</f>
        <v>39600</v>
      </c>
      <c r="AM157" s="7"/>
      <c r="AN157" s="7"/>
      <c r="AO157" s="7"/>
      <c r="AP157" s="80">
        <f t="shared" si="453"/>
        <v>39600</v>
      </c>
      <c r="AR157" s="80">
        <f t="shared" si="454"/>
        <v>3391200</v>
      </c>
      <c r="AS157" s="80">
        <f t="shared" si="455"/>
        <v>0</v>
      </c>
      <c r="AT157" s="80">
        <f t="shared" si="456"/>
        <v>0</v>
      </c>
      <c r="AU157" s="80">
        <f t="shared" si="457"/>
        <v>0</v>
      </c>
      <c r="AV157" s="80">
        <f t="shared" si="458"/>
        <v>3391200</v>
      </c>
    </row>
    <row r="158" spans="1:48" x14ac:dyDescent="0.25">
      <c r="A158" s="62" t="s">
        <v>129</v>
      </c>
      <c r="B158" s="7">
        <f>(240*B66)+2000</f>
        <v>13880</v>
      </c>
      <c r="C158" s="7">
        <f>(240*C66)</f>
        <v>720</v>
      </c>
      <c r="D158" s="7">
        <f>(240*D66)</f>
        <v>2160</v>
      </c>
      <c r="E158" s="7">
        <f>(240*E66)</f>
        <v>240</v>
      </c>
      <c r="F158" s="80">
        <f t="shared" si="447"/>
        <v>17000</v>
      </c>
      <c r="H158" s="7">
        <f>(240*H66)+2000</f>
        <v>29360</v>
      </c>
      <c r="I158" s="7">
        <f>(240*I66)</f>
        <v>1440</v>
      </c>
      <c r="J158" s="7">
        <f>(240*J66)</f>
        <v>6960</v>
      </c>
      <c r="K158" s="7">
        <f>(240*K66)</f>
        <v>720</v>
      </c>
      <c r="L158" s="80">
        <f t="shared" si="448"/>
        <v>38480</v>
      </c>
      <c r="N158" s="7">
        <f>(240*N66)+2000</f>
        <v>14960</v>
      </c>
      <c r="O158" s="7">
        <f>(240*O66)</f>
        <v>1200</v>
      </c>
      <c r="P158" s="7">
        <f>(240*P66)</f>
        <v>1999.2</v>
      </c>
      <c r="Q158" s="7">
        <f>(240*Q66)</f>
        <v>240</v>
      </c>
      <c r="R158" s="80">
        <f t="shared" si="449"/>
        <v>18399.2</v>
      </c>
      <c r="T158" s="7">
        <f>(240*T66)+2000</f>
        <v>17960</v>
      </c>
      <c r="U158" s="7">
        <f>(240*U66)</f>
        <v>840</v>
      </c>
      <c r="V158" s="7">
        <f>(240*V66)</f>
        <v>3201.6</v>
      </c>
      <c r="W158" s="7">
        <f>(240*W66)</f>
        <v>240</v>
      </c>
      <c r="X158" s="80">
        <f t="shared" si="450"/>
        <v>22241.599999999999</v>
      </c>
      <c r="Z158" s="61">
        <f>(240*Z66)+2000</f>
        <v>27080</v>
      </c>
      <c r="AA158" s="61">
        <f>(240*AA66)</f>
        <v>840</v>
      </c>
      <c r="AB158" s="61">
        <f>(240*AB66)</f>
        <v>5479.2</v>
      </c>
      <c r="AC158" s="61">
        <f>(240*AC66)</f>
        <v>480</v>
      </c>
      <c r="AD158" s="80">
        <f t="shared" si="451"/>
        <v>33879.199999999997</v>
      </c>
      <c r="AF158" s="7">
        <f>(240*AF66)+2000</f>
        <v>2720</v>
      </c>
      <c r="AG158" s="7">
        <f>(240*AG66)</f>
        <v>120</v>
      </c>
      <c r="AH158" s="7">
        <f>(240*AH66)</f>
        <v>0</v>
      </c>
      <c r="AI158" s="7">
        <f>(240*AI66)</f>
        <v>0</v>
      </c>
      <c r="AJ158" s="80">
        <f t="shared" si="452"/>
        <v>2840</v>
      </c>
      <c r="AL158" s="7">
        <f>(240*AL66)+2000</f>
        <v>2240</v>
      </c>
      <c r="AM158" s="7">
        <f>(240*AM66)</f>
        <v>0</v>
      </c>
      <c r="AN158" s="7">
        <f>(240*AN66)</f>
        <v>240</v>
      </c>
      <c r="AO158" s="7">
        <f>(240*AO66)</f>
        <v>0</v>
      </c>
      <c r="AP158" s="80">
        <f t="shared" si="453"/>
        <v>2480</v>
      </c>
      <c r="AR158" s="80">
        <f t="shared" si="454"/>
        <v>108200</v>
      </c>
      <c r="AS158" s="80">
        <f t="shared" si="455"/>
        <v>5160</v>
      </c>
      <c r="AT158" s="80">
        <f t="shared" si="456"/>
        <v>20040</v>
      </c>
      <c r="AU158" s="80">
        <f t="shared" si="457"/>
        <v>1920</v>
      </c>
      <c r="AV158" s="80">
        <f t="shared" si="458"/>
        <v>135320</v>
      </c>
    </row>
    <row r="159" spans="1:48" x14ac:dyDescent="0.25">
      <c r="A159" s="62" t="s">
        <v>130</v>
      </c>
      <c r="B159" s="7">
        <v>11500</v>
      </c>
      <c r="C159" s="7"/>
      <c r="D159" s="7"/>
      <c r="E159" s="7"/>
      <c r="F159" s="80">
        <f t="shared" si="447"/>
        <v>11500</v>
      </c>
      <c r="H159" s="7">
        <v>11500</v>
      </c>
      <c r="I159" s="7"/>
      <c r="J159" s="7"/>
      <c r="K159" s="7"/>
      <c r="L159" s="80">
        <f t="shared" si="448"/>
        <v>11500</v>
      </c>
      <c r="N159" s="7">
        <v>11500</v>
      </c>
      <c r="O159" s="7"/>
      <c r="P159" s="7"/>
      <c r="Q159" s="7"/>
      <c r="R159" s="80">
        <f t="shared" si="449"/>
        <v>11500</v>
      </c>
      <c r="T159" s="7">
        <v>11500</v>
      </c>
      <c r="U159" s="7"/>
      <c r="V159" s="7"/>
      <c r="W159" s="7"/>
      <c r="X159" s="80">
        <f t="shared" si="450"/>
        <v>11500</v>
      </c>
      <c r="Z159" s="7">
        <v>11500</v>
      </c>
      <c r="AA159" s="7"/>
      <c r="AB159" s="7"/>
      <c r="AC159" s="7"/>
      <c r="AD159" s="80">
        <f t="shared" si="451"/>
        <v>11500</v>
      </c>
      <c r="AF159" s="7">
        <v>0</v>
      </c>
      <c r="AG159" s="7"/>
      <c r="AH159" s="7"/>
      <c r="AI159" s="7"/>
      <c r="AJ159" s="80">
        <f t="shared" si="452"/>
        <v>0</v>
      </c>
      <c r="AL159" s="7">
        <v>0</v>
      </c>
      <c r="AM159" s="7"/>
      <c r="AN159" s="7"/>
      <c r="AO159" s="7"/>
      <c r="AP159" s="80">
        <f t="shared" si="453"/>
        <v>0</v>
      </c>
      <c r="AR159" s="80">
        <f t="shared" si="454"/>
        <v>57500</v>
      </c>
      <c r="AS159" s="80">
        <f t="shared" si="455"/>
        <v>0</v>
      </c>
      <c r="AT159" s="80">
        <f t="shared" si="456"/>
        <v>0</v>
      </c>
      <c r="AU159" s="80">
        <f t="shared" si="457"/>
        <v>0</v>
      </c>
      <c r="AV159" s="80">
        <f t="shared" si="458"/>
        <v>57500</v>
      </c>
    </row>
    <row r="160" spans="1:48" x14ac:dyDescent="0.25">
      <c r="A160" s="62" t="s">
        <v>131</v>
      </c>
      <c r="B160" s="7">
        <v>5250</v>
      </c>
      <c r="C160" s="7"/>
      <c r="D160" s="7"/>
      <c r="E160" s="7"/>
      <c r="F160" s="80">
        <f t="shared" si="447"/>
        <v>5250</v>
      </c>
      <c r="H160" s="7">
        <v>5500</v>
      </c>
      <c r="I160" s="7"/>
      <c r="J160" s="7"/>
      <c r="K160" s="7"/>
      <c r="L160" s="80">
        <f t="shared" si="448"/>
        <v>5500</v>
      </c>
      <c r="N160" s="7">
        <v>5250</v>
      </c>
      <c r="O160" s="7"/>
      <c r="P160" s="7"/>
      <c r="Q160" s="7"/>
      <c r="R160" s="80">
        <f t="shared" si="449"/>
        <v>5250</v>
      </c>
      <c r="T160" s="7">
        <v>5500</v>
      </c>
      <c r="U160" s="7"/>
      <c r="V160" s="7"/>
      <c r="W160" s="7"/>
      <c r="X160" s="80">
        <f t="shared" si="450"/>
        <v>5500</v>
      </c>
      <c r="Z160" s="7">
        <v>5500</v>
      </c>
      <c r="AA160" s="7"/>
      <c r="AB160" s="7"/>
      <c r="AC160" s="7"/>
      <c r="AD160" s="80">
        <f t="shared" si="451"/>
        <v>5500</v>
      </c>
      <c r="AF160" s="7">
        <v>0</v>
      </c>
      <c r="AG160" s="7"/>
      <c r="AH160" s="7"/>
      <c r="AI160" s="7"/>
      <c r="AJ160" s="80">
        <f t="shared" si="452"/>
        <v>0</v>
      </c>
      <c r="AL160" s="7">
        <v>1500</v>
      </c>
      <c r="AM160" s="7"/>
      <c r="AN160" s="7"/>
      <c r="AO160" s="7"/>
      <c r="AP160" s="80">
        <f t="shared" si="453"/>
        <v>1500</v>
      </c>
      <c r="AR160" s="80">
        <f t="shared" si="454"/>
        <v>28500</v>
      </c>
      <c r="AS160" s="80">
        <f t="shared" si="455"/>
        <v>0</v>
      </c>
      <c r="AT160" s="80">
        <f t="shared" si="456"/>
        <v>0</v>
      </c>
      <c r="AU160" s="80">
        <f t="shared" si="457"/>
        <v>0</v>
      </c>
      <c r="AV160" s="80">
        <f t="shared" si="458"/>
        <v>28500</v>
      </c>
    </row>
    <row r="161" spans="1:48" x14ac:dyDescent="0.25">
      <c r="A161" s="62" t="s">
        <v>132</v>
      </c>
      <c r="B161" s="7">
        <f>45*B19</f>
        <v>40455</v>
      </c>
      <c r="C161" s="7"/>
      <c r="D161" s="7"/>
      <c r="E161" s="7"/>
      <c r="F161" s="80">
        <f t="shared" si="447"/>
        <v>40455</v>
      </c>
      <c r="H161" s="7">
        <f>45*H19</f>
        <v>100980</v>
      </c>
      <c r="I161" s="7"/>
      <c r="J161" s="7"/>
      <c r="K161" s="7"/>
      <c r="L161" s="80">
        <f t="shared" si="448"/>
        <v>100980</v>
      </c>
      <c r="N161" s="7">
        <f>45*N19</f>
        <v>45720</v>
      </c>
      <c r="O161" s="7"/>
      <c r="P161" s="7"/>
      <c r="Q161" s="7"/>
      <c r="R161" s="80">
        <f t="shared" si="449"/>
        <v>45720</v>
      </c>
      <c r="T161" s="7">
        <f>45*T19</f>
        <v>53955</v>
      </c>
      <c r="U161" s="7"/>
      <c r="V161" s="7"/>
      <c r="W161" s="7"/>
      <c r="X161" s="80">
        <f t="shared" si="450"/>
        <v>53955</v>
      </c>
      <c r="Z161" s="7">
        <f>45*Z19</f>
        <v>94050</v>
      </c>
      <c r="AA161" s="7"/>
      <c r="AB161" s="7"/>
      <c r="AC161" s="7"/>
      <c r="AD161" s="80">
        <f t="shared" si="451"/>
        <v>94050</v>
      </c>
      <c r="AF161" s="7">
        <f>42*AF19</f>
        <v>0</v>
      </c>
      <c r="AG161" s="7"/>
      <c r="AH161" s="7"/>
      <c r="AI161" s="7"/>
      <c r="AJ161" s="80">
        <f t="shared" si="452"/>
        <v>0</v>
      </c>
      <c r="AL161" s="7">
        <f>45*AL19</f>
        <v>3960</v>
      </c>
      <c r="AM161" s="7"/>
      <c r="AN161" s="7"/>
      <c r="AO161" s="7"/>
      <c r="AP161" s="80">
        <f t="shared" si="453"/>
        <v>3960</v>
      </c>
      <c r="AR161" s="80">
        <f t="shared" si="454"/>
        <v>339120</v>
      </c>
      <c r="AS161" s="80">
        <f t="shared" si="455"/>
        <v>0</v>
      </c>
      <c r="AT161" s="80">
        <f t="shared" si="456"/>
        <v>0</v>
      </c>
      <c r="AU161" s="80">
        <f t="shared" si="457"/>
        <v>0</v>
      </c>
      <c r="AV161" s="80">
        <f t="shared" si="458"/>
        <v>339120</v>
      </c>
    </row>
    <row r="162" spans="1:48" x14ac:dyDescent="0.25">
      <c r="A162" s="62" t="s">
        <v>133</v>
      </c>
      <c r="B162" s="7">
        <v>5500</v>
      </c>
      <c r="C162" s="7"/>
      <c r="D162" s="7"/>
      <c r="E162" s="7"/>
      <c r="F162" s="80">
        <f t="shared" si="447"/>
        <v>5500</v>
      </c>
      <c r="H162" s="7">
        <v>10000</v>
      </c>
      <c r="I162" s="7"/>
      <c r="J162" s="7"/>
      <c r="K162" s="7"/>
      <c r="L162" s="80">
        <f t="shared" si="448"/>
        <v>10000</v>
      </c>
      <c r="N162" s="7">
        <v>6000</v>
      </c>
      <c r="O162" s="7"/>
      <c r="P162" s="7"/>
      <c r="Q162" s="7"/>
      <c r="R162" s="80">
        <f t="shared" si="449"/>
        <v>6000</v>
      </c>
      <c r="T162" s="7">
        <v>7500</v>
      </c>
      <c r="U162" s="7"/>
      <c r="V162" s="7"/>
      <c r="W162" s="7"/>
      <c r="X162" s="80">
        <f t="shared" si="450"/>
        <v>7500</v>
      </c>
      <c r="Z162" s="7">
        <v>7500</v>
      </c>
      <c r="AA162" s="7"/>
      <c r="AB162" s="7"/>
      <c r="AC162" s="7"/>
      <c r="AD162" s="80">
        <f t="shared" si="451"/>
        <v>7500</v>
      </c>
      <c r="AF162" s="7">
        <v>0</v>
      </c>
      <c r="AG162" s="7"/>
      <c r="AH162" s="7"/>
      <c r="AI162" s="7"/>
      <c r="AJ162" s="80">
        <f t="shared" si="452"/>
        <v>0</v>
      </c>
      <c r="AL162" s="7">
        <v>10000</v>
      </c>
      <c r="AM162" s="7"/>
      <c r="AN162" s="7"/>
      <c r="AO162" s="7"/>
      <c r="AP162" s="80">
        <f t="shared" si="453"/>
        <v>10000</v>
      </c>
      <c r="AR162" s="80">
        <f t="shared" si="454"/>
        <v>46500</v>
      </c>
      <c r="AS162" s="80">
        <f t="shared" si="455"/>
        <v>0</v>
      </c>
      <c r="AT162" s="80">
        <f t="shared" si="456"/>
        <v>0</v>
      </c>
      <c r="AU162" s="80">
        <f t="shared" si="457"/>
        <v>0</v>
      </c>
      <c r="AV162" s="80">
        <f t="shared" si="458"/>
        <v>46500</v>
      </c>
    </row>
    <row r="163" spans="1:48" x14ac:dyDescent="0.25">
      <c r="A163" s="62" t="s">
        <v>134</v>
      </c>
      <c r="B163" s="7">
        <f>(B87+B88)*0.0125</f>
        <v>81955.087500000009</v>
      </c>
      <c r="C163" s="7">
        <f>(C79+C80+C81)*0.0125</f>
        <v>1471.8625000000002</v>
      </c>
      <c r="D163" s="7"/>
      <c r="E163" s="7"/>
      <c r="F163" s="80">
        <f t="shared" si="447"/>
        <v>83426.950000000012</v>
      </c>
      <c r="H163" s="7">
        <f>(H87+H88)*0.0125</f>
        <v>204568.65000000002</v>
      </c>
      <c r="I163" s="7">
        <f>(I79+I80+I81)*0.0125</f>
        <v>2783.1000000000004</v>
      </c>
      <c r="J163" s="7"/>
      <c r="K163" s="7"/>
      <c r="L163" s="80">
        <f t="shared" si="448"/>
        <v>207351.75000000003</v>
      </c>
      <c r="N163" s="7">
        <f>(N87+N88)*0.0125</f>
        <v>92621.1</v>
      </c>
      <c r="O163" s="7">
        <f>(O79+O80+O81)*0.0125</f>
        <v>1581.4875000000002</v>
      </c>
      <c r="P163" s="7"/>
      <c r="Q163" s="7"/>
      <c r="R163" s="80">
        <f t="shared" si="449"/>
        <v>94202.587500000009</v>
      </c>
      <c r="T163" s="7">
        <f>(T87+T88)*0.0125</f>
        <v>109303.83750000001</v>
      </c>
      <c r="U163" s="7">
        <f>(U79+U80+U81)*0.0125</f>
        <v>1374.3375000000001</v>
      </c>
      <c r="V163" s="7"/>
      <c r="W163" s="7"/>
      <c r="X163" s="80">
        <f t="shared" si="450"/>
        <v>110678.175</v>
      </c>
      <c r="Z163" s="7">
        <f>(Z87+Z88)*0.0125</f>
        <v>190529.625</v>
      </c>
      <c r="AA163" s="7">
        <f>(AA79+AA80+AA81)*0.0125</f>
        <v>1886.5250000000001</v>
      </c>
      <c r="AB163" s="7"/>
      <c r="AC163" s="7"/>
      <c r="AD163" s="80">
        <f t="shared" si="451"/>
        <v>192416.15</v>
      </c>
      <c r="AF163" s="7">
        <f>(AF87+AF88)*0.0125</f>
        <v>0</v>
      </c>
      <c r="AG163" s="7"/>
      <c r="AH163" s="7"/>
      <c r="AI163" s="7"/>
      <c r="AJ163" s="80">
        <f t="shared" si="452"/>
        <v>0</v>
      </c>
      <c r="AL163" s="7">
        <f>(AL87+AL88)*0.0125</f>
        <v>7780.3</v>
      </c>
      <c r="AM163" s="7"/>
      <c r="AN163" s="7"/>
      <c r="AO163" s="7"/>
      <c r="AP163" s="80">
        <f t="shared" si="453"/>
        <v>7780.3</v>
      </c>
      <c r="AR163" s="80">
        <f t="shared" si="454"/>
        <v>686758.60000000009</v>
      </c>
      <c r="AS163" s="80">
        <f t="shared" si="455"/>
        <v>9097.3125</v>
      </c>
      <c r="AT163" s="80">
        <f t="shared" si="456"/>
        <v>0</v>
      </c>
      <c r="AU163" s="80">
        <f t="shared" si="457"/>
        <v>0</v>
      </c>
      <c r="AV163" s="80">
        <f t="shared" si="458"/>
        <v>695855.91250000009</v>
      </c>
    </row>
    <row r="164" spans="1:48" x14ac:dyDescent="0.25">
      <c r="A164" s="62" t="s">
        <v>135</v>
      </c>
      <c r="B164" s="7">
        <f>(B87+B88)*0.005</f>
        <v>32782.035000000003</v>
      </c>
      <c r="C164" s="7"/>
      <c r="D164" s="7"/>
      <c r="E164" s="7"/>
      <c r="F164" s="80">
        <f t="shared" si="447"/>
        <v>32782.035000000003</v>
      </c>
      <c r="H164" s="7">
        <f>(H87+H88)*0.005</f>
        <v>81827.460000000006</v>
      </c>
      <c r="I164" s="7"/>
      <c r="J164" s="7"/>
      <c r="K164" s="7"/>
      <c r="L164" s="80">
        <f t="shared" si="448"/>
        <v>81827.460000000006</v>
      </c>
      <c r="N164" s="7">
        <f>(N87+N88)*0.005</f>
        <v>37048.44</v>
      </c>
      <c r="O164" s="7"/>
      <c r="P164" s="7"/>
      <c r="Q164" s="7"/>
      <c r="R164" s="80">
        <f t="shared" si="449"/>
        <v>37048.44</v>
      </c>
      <c r="T164" s="7">
        <f>(T87+T88)*0.005</f>
        <v>43721.535000000003</v>
      </c>
      <c r="U164" s="7"/>
      <c r="V164" s="7"/>
      <c r="W164" s="7"/>
      <c r="X164" s="80">
        <f t="shared" si="450"/>
        <v>43721.535000000003</v>
      </c>
      <c r="Z164" s="7">
        <f>(Z87+Z88)*0.005</f>
        <v>76211.850000000006</v>
      </c>
      <c r="AA164" s="7"/>
      <c r="AB164" s="7"/>
      <c r="AC164" s="7"/>
      <c r="AD164" s="80">
        <f t="shared" si="451"/>
        <v>76211.850000000006</v>
      </c>
      <c r="AF164" s="7">
        <f>(AF87+AF88)*0.005</f>
        <v>0</v>
      </c>
      <c r="AG164" s="7"/>
      <c r="AH164" s="7"/>
      <c r="AI164" s="7"/>
      <c r="AJ164" s="80">
        <f t="shared" si="452"/>
        <v>0</v>
      </c>
      <c r="AL164" s="7">
        <f>(AL87+AL88)*0.005</f>
        <v>3112.12</v>
      </c>
      <c r="AM164" s="7"/>
      <c r="AN164" s="7"/>
      <c r="AO164" s="7"/>
      <c r="AP164" s="80">
        <f t="shared" si="453"/>
        <v>3112.12</v>
      </c>
      <c r="AR164" s="80">
        <f t="shared" si="454"/>
        <v>274703.44</v>
      </c>
      <c r="AS164" s="80">
        <f t="shared" si="455"/>
        <v>0</v>
      </c>
      <c r="AT164" s="80">
        <f t="shared" si="456"/>
        <v>0</v>
      </c>
      <c r="AU164" s="80">
        <f t="shared" si="457"/>
        <v>0</v>
      </c>
      <c r="AV164" s="80">
        <f t="shared" si="458"/>
        <v>274703.44</v>
      </c>
    </row>
    <row r="165" spans="1:48" x14ac:dyDescent="0.25">
      <c r="A165" s="62" t="s">
        <v>136</v>
      </c>
      <c r="B165" s="7">
        <f>(B87+B88)*0.005</f>
        <v>32782.035000000003</v>
      </c>
      <c r="C165" s="7"/>
      <c r="D165" s="7"/>
      <c r="E165" s="7"/>
      <c r="F165" s="80">
        <f t="shared" si="447"/>
        <v>32782.035000000003</v>
      </c>
      <c r="H165" s="7">
        <f>(H87+H88)*0.005</f>
        <v>81827.460000000006</v>
      </c>
      <c r="I165" s="7"/>
      <c r="J165" s="7"/>
      <c r="K165" s="7"/>
      <c r="L165" s="80">
        <f t="shared" si="448"/>
        <v>81827.460000000006</v>
      </c>
      <c r="N165" s="7">
        <f>(N87+N88)*0.005</f>
        <v>37048.44</v>
      </c>
      <c r="O165" s="7"/>
      <c r="P165" s="7"/>
      <c r="Q165" s="7"/>
      <c r="R165" s="80">
        <f t="shared" si="449"/>
        <v>37048.44</v>
      </c>
      <c r="T165" s="7">
        <f>(T87+T88)*0.005</f>
        <v>43721.535000000003</v>
      </c>
      <c r="U165" s="7"/>
      <c r="V165" s="7"/>
      <c r="W165" s="7"/>
      <c r="X165" s="80">
        <f t="shared" si="450"/>
        <v>43721.535000000003</v>
      </c>
      <c r="Z165" s="7">
        <f>(Z87+Z88)*0.005</f>
        <v>76211.850000000006</v>
      </c>
      <c r="AA165" s="7"/>
      <c r="AB165" s="7"/>
      <c r="AC165" s="7"/>
      <c r="AD165" s="80">
        <f t="shared" si="451"/>
        <v>76211.850000000006</v>
      </c>
      <c r="AF165" s="7">
        <f>(AF87+AF88)*0.005</f>
        <v>0</v>
      </c>
      <c r="AG165" s="7"/>
      <c r="AH165" s="7"/>
      <c r="AI165" s="7"/>
      <c r="AJ165" s="80">
        <f t="shared" si="452"/>
        <v>0</v>
      </c>
      <c r="AL165" s="7">
        <f>(AL87+AL88)*0.005</f>
        <v>3112.12</v>
      </c>
      <c r="AM165" s="7"/>
      <c r="AN165" s="7"/>
      <c r="AO165" s="7"/>
      <c r="AP165" s="80">
        <f t="shared" si="453"/>
        <v>3112.12</v>
      </c>
      <c r="AR165" s="80">
        <f t="shared" si="454"/>
        <v>274703.44</v>
      </c>
      <c r="AS165" s="80">
        <f t="shared" si="455"/>
        <v>0</v>
      </c>
      <c r="AT165" s="80">
        <f t="shared" si="456"/>
        <v>0</v>
      </c>
      <c r="AU165" s="80">
        <f t="shared" si="457"/>
        <v>0</v>
      </c>
      <c r="AV165" s="80">
        <f t="shared" si="458"/>
        <v>274703.44</v>
      </c>
    </row>
    <row r="166" spans="1:48" ht="15.75" thickBot="1" x14ac:dyDescent="0.3">
      <c r="A166" s="62" t="s">
        <v>137</v>
      </c>
      <c r="B166" s="81"/>
      <c r="C166" s="81"/>
      <c r="D166" s="81"/>
      <c r="E166" s="81"/>
      <c r="F166" s="81"/>
      <c r="H166" s="81"/>
      <c r="I166" s="81"/>
      <c r="J166" s="81"/>
      <c r="K166" s="81"/>
      <c r="L166" s="81"/>
      <c r="N166" s="81"/>
      <c r="O166" s="81"/>
      <c r="P166" s="81"/>
      <c r="Q166" s="81"/>
      <c r="R166" s="81"/>
      <c r="T166" s="81"/>
      <c r="U166" s="81"/>
      <c r="V166" s="81"/>
      <c r="W166" s="81"/>
      <c r="X166" s="81"/>
      <c r="Z166" s="81"/>
      <c r="AA166" s="81"/>
      <c r="AB166" s="81"/>
      <c r="AC166" s="81"/>
      <c r="AD166" s="81"/>
      <c r="AF166" s="81"/>
      <c r="AG166" s="81"/>
      <c r="AH166" s="81"/>
      <c r="AI166" s="81"/>
      <c r="AJ166" s="81"/>
      <c r="AL166" s="81"/>
      <c r="AM166" s="81"/>
      <c r="AN166" s="81"/>
      <c r="AO166" s="81"/>
      <c r="AP166" s="81"/>
      <c r="AR166" s="80">
        <f t="shared" si="454"/>
        <v>0</v>
      </c>
      <c r="AS166" s="80">
        <f t="shared" si="455"/>
        <v>0</v>
      </c>
      <c r="AT166" s="80">
        <f t="shared" si="456"/>
        <v>0</v>
      </c>
      <c r="AU166" s="80">
        <f t="shared" si="457"/>
        <v>0</v>
      </c>
      <c r="AV166" s="81"/>
    </row>
    <row r="167" spans="1:48" ht="15.75" thickBot="1" x14ac:dyDescent="0.3">
      <c r="A167" s="95" t="s">
        <v>138</v>
      </c>
      <c r="B167" s="92">
        <f>SUM(B153:B166)</f>
        <v>628654.15750000009</v>
      </c>
      <c r="C167" s="92">
        <f>SUM(C153:C166)</f>
        <v>10691.862499999999</v>
      </c>
      <c r="D167" s="92">
        <f>SUM(D153:D166)</f>
        <v>279951</v>
      </c>
      <c r="E167" s="92">
        <f t="shared" ref="E167:F167" si="459">SUM(E153:E166)</f>
        <v>240</v>
      </c>
      <c r="F167" s="92">
        <f t="shared" si="459"/>
        <v>919537.02</v>
      </c>
      <c r="H167" s="92">
        <f>SUM(H153:H166)</f>
        <v>1535363.5699999998</v>
      </c>
      <c r="I167" s="92">
        <f>SUM(I153:I166)</f>
        <v>22223.1</v>
      </c>
      <c r="J167" s="92">
        <f>SUM(J153:J166)</f>
        <v>231360</v>
      </c>
      <c r="K167" s="92">
        <f t="shared" ref="K167:L167" si="460">SUM(K153:K166)</f>
        <v>720</v>
      </c>
      <c r="L167" s="92">
        <f t="shared" si="460"/>
        <v>1789666.67</v>
      </c>
      <c r="N167" s="92">
        <f>SUM(N153:N166)</f>
        <v>707347.98</v>
      </c>
      <c r="O167" s="92">
        <f>SUM(O153:O166)</f>
        <v>14781.487499999999</v>
      </c>
      <c r="P167" s="92">
        <f>SUM(P153:P166)</f>
        <v>191991.2</v>
      </c>
      <c r="Q167" s="92">
        <f t="shared" ref="Q167:R167" si="461">SUM(Q153:Q166)</f>
        <v>240</v>
      </c>
      <c r="R167" s="92">
        <f t="shared" si="461"/>
        <v>914360.66749999998</v>
      </c>
      <c r="T167" s="92">
        <f>SUM(T153:T166)</f>
        <v>832711.90750000009</v>
      </c>
      <c r="U167" s="92">
        <f>SUM(U153:U166)</f>
        <v>14214.3375</v>
      </c>
      <c r="V167" s="92">
        <f>SUM(V153:V166)</f>
        <v>99121.600000000006</v>
      </c>
      <c r="W167" s="92">
        <f t="shared" ref="W167:X167" si="462">SUM(W153:W166)</f>
        <v>240</v>
      </c>
      <c r="X167" s="92">
        <f t="shared" si="462"/>
        <v>946287.84500000009</v>
      </c>
      <c r="Z167" s="92">
        <f>SUM(Z153:Z166)</f>
        <v>1429083.3250000002</v>
      </c>
      <c r="AA167" s="92">
        <f>SUM(AA153:AA166)</f>
        <v>20726.525000000001</v>
      </c>
      <c r="AB167" s="92">
        <f>SUM(AB153:AB166)</f>
        <v>118339.2</v>
      </c>
      <c r="AC167" s="92">
        <f t="shared" ref="AC167:AD167" si="463">SUM(AC153:AC166)</f>
        <v>480</v>
      </c>
      <c r="AD167" s="92">
        <f t="shared" si="463"/>
        <v>1568629.05</v>
      </c>
      <c r="AF167" s="92">
        <f>SUM(AF153:AF166)</f>
        <v>2720</v>
      </c>
      <c r="AG167" s="92">
        <f>SUM(AG153:AG166)</f>
        <v>120</v>
      </c>
      <c r="AH167" s="92">
        <f>SUM(AH153:AH166)</f>
        <v>0</v>
      </c>
      <c r="AI167" s="92">
        <f t="shared" ref="AI167:AJ167" si="464">SUM(AI153:AI166)</f>
        <v>0</v>
      </c>
      <c r="AJ167" s="92">
        <f t="shared" si="464"/>
        <v>2840</v>
      </c>
      <c r="AL167" s="92">
        <f>SUM(AL153:AL166)</f>
        <v>238504.53999999998</v>
      </c>
      <c r="AM167" s="92">
        <f>SUM(AM153:AM166)</f>
        <v>6000</v>
      </c>
      <c r="AN167" s="92">
        <f>SUM(AN153:AN166)</f>
        <v>17840</v>
      </c>
      <c r="AO167" s="92">
        <f t="shared" ref="AO167:AP167" si="465">SUM(AO153:AO166)</f>
        <v>0</v>
      </c>
      <c r="AP167" s="92">
        <f t="shared" si="465"/>
        <v>262344.53999999998</v>
      </c>
      <c r="AR167" s="92">
        <f>SUM(AR153:AR166)</f>
        <v>5374385.4800000004</v>
      </c>
      <c r="AS167" s="92">
        <f>SUM(AS153:AS166)</f>
        <v>88757.3125</v>
      </c>
      <c r="AT167" s="92">
        <f>SUM(AT153:AT166)</f>
        <v>938603</v>
      </c>
      <c r="AU167" s="92">
        <f t="shared" ref="AU167:AV167" si="466">SUM(AU153:AU166)</f>
        <v>1920</v>
      </c>
      <c r="AV167" s="92">
        <f t="shared" si="466"/>
        <v>6403665.7925000004</v>
      </c>
    </row>
    <row r="168" spans="1:48" x14ac:dyDescent="0.25">
      <c r="A168" s="101" t="s">
        <v>139</v>
      </c>
      <c r="B168" s="149" t="str">
        <f>B152</f>
        <v>Operating</v>
      </c>
      <c r="C168" s="149" t="str">
        <f>C152</f>
        <v>Weights</v>
      </c>
      <c r="D168" s="149" t="str">
        <f>D152</f>
        <v>SPED</v>
      </c>
      <c r="E168" s="149" t="str">
        <f t="shared" ref="E168:F168" si="467">E152</f>
        <v>NSLP</v>
      </c>
      <c r="F168" s="149" t="str">
        <f t="shared" si="467"/>
        <v>Horizon</v>
      </c>
      <c r="H168" s="149" t="str">
        <f>H152</f>
        <v>Operating</v>
      </c>
      <c r="I168" s="149" t="str">
        <f>I152</f>
        <v>Weights</v>
      </c>
      <c r="J168" s="149" t="str">
        <f>J152</f>
        <v>SPED</v>
      </c>
      <c r="K168" s="149" t="str">
        <f t="shared" ref="K168:L168" si="468">K152</f>
        <v>NSLP</v>
      </c>
      <c r="L168" s="149" t="str">
        <f t="shared" si="468"/>
        <v>Cadence</v>
      </c>
      <c r="N168" s="149" t="str">
        <f>N152</f>
        <v>Operating</v>
      </c>
      <c r="O168" s="149" t="str">
        <f>O152</f>
        <v>Weights</v>
      </c>
      <c r="P168" s="149" t="str">
        <f>P152</f>
        <v>SPED</v>
      </c>
      <c r="Q168" s="149" t="str">
        <f t="shared" ref="Q168:R168" si="469">Q152</f>
        <v>NSLP</v>
      </c>
      <c r="R168" s="149" t="str">
        <f t="shared" si="469"/>
        <v>St. Rose</v>
      </c>
      <c r="T168" s="149" t="str">
        <f>T152</f>
        <v>Operating</v>
      </c>
      <c r="U168" s="149" t="str">
        <f>U152</f>
        <v>Weights</v>
      </c>
      <c r="V168" s="149" t="str">
        <f>V152</f>
        <v>SPED</v>
      </c>
      <c r="W168" s="149" t="str">
        <f t="shared" ref="W168:X168" si="470">W152</f>
        <v>NSLP</v>
      </c>
      <c r="X168" s="149" t="str">
        <f t="shared" si="470"/>
        <v>Inspirada</v>
      </c>
      <c r="Z168" s="149" t="str">
        <f>Z152</f>
        <v>Operating</v>
      </c>
      <c r="AA168" s="149" t="str">
        <f>AA152</f>
        <v>Weights</v>
      </c>
      <c r="AB168" s="149" t="str">
        <f>AB152</f>
        <v>SPED</v>
      </c>
      <c r="AC168" s="149" t="str">
        <f t="shared" ref="AC168:AD168" si="471">AC152</f>
        <v>NSLP</v>
      </c>
      <c r="AD168" s="149" t="str">
        <f t="shared" si="471"/>
        <v>Sloan Canyon</v>
      </c>
      <c r="AF168" s="149" t="str">
        <f>AF152</f>
        <v>Operating</v>
      </c>
      <c r="AG168" s="149" t="str">
        <f>AG152</f>
        <v>Weights</v>
      </c>
      <c r="AH168" s="149" t="str">
        <f>AH152</f>
        <v>SPED</v>
      </c>
      <c r="AI168" s="149" t="str">
        <f t="shared" ref="AI168:AJ168" si="472">AI152</f>
        <v>NSLP</v>
      </c>
      <c r="AJ168" s="149" t="str">
        <f t="shared" si="472"/>
        <v>System Wide</v>
      </c>
      <c r="AL168" s="149" t="str">
        <f>AL152</f>
        <v>Operating</v>
      </c>
      <c r="AM168" s="149" t="str">
        <f>AM152</f>
        <v>Weights</v>
      </c>
      <c r="AN168" s="149" t="str">
        <f>AN152</f>
        <v>SPED</v>
      </c>
      <c r="AO168" s="149" t="str">
        <f t="shared" ref="AO168:AP168" si="473">AO152</f>
        <v>NSLP</v>
      </c>
      <c r="AP168" s="149" t="str">
        <f t="shared" si="473"/>
        <v>Virtual</v>
      </c>
      <c r="AR168" s="149" t="str">
        <f>AR152</f>
        <v>Operating</v>
      </c>
      <c r="AS168" s="149" t="str">
        <f>AS152</f>
        <v>Weights</v>
      </c>
      <c r="AT168" s="149" t="str">
        <f>AT152</f>
        <v>SPED</v>
      </c>
      <c r="AU168" s="149" t="str">
        <f t="shared" ref="AU168:AV168" si="474">AU152</f>
        <v>NSLP</v>
      </c>
      <c r="AV168" s="149" t="str">
        <f t="shared" si="474"/>
        <v>Pinecrest System</v>
      </c>
    </row>
    <row r="169" spans="1:48" x14ac:dyDescent="0.25">
      <c r="A169" s="62" t="s">
        <v>140</v>
      </c>
      <c r="B169" s="7">
        <f>(311+120)*12.5</f>
        <v>5387.5</v>
      </c>
      <c r="C169" s="7"/>
      <c r="D169" s="7"/>
      <c r="E169" s="7"/>
      <c r="F169" s="7">
        <f t="shared" ref="F169:F175" si="475">SUM(B169:E169)</f>
        <v>5387.5</v>
      </c>
      <c r="H169" s="7">
        <v>8250</v>
      </c>
      <c r="I169" s="7"/>
      <c r="J169" s="7"/>
      <c r="K169" s="7"/>
      <c r="L169" s="7">
        <f t="shared" ref="L169:L175" si="476">SUM(H169:K169)</f>
        <v>8250</v>
      </c>
      <c r="N169" s="7">
        <v>3750</v>
      </c>
      <c r="O169" s="7"/>
      <c r="P169" s="7"/>
      <c r="Q169" s="7"/>
      <c r="R169" s="7">
        <f t="shared" ref="R169:R175" si="477">SUM(N169:Q169)</f>
        <v>3750</v>
      </c>
      <c r="T169" s="15">
        <v>5340</v>
      </c>
      <c r="U169" s="7"/>
      <c r="V169" s="7"/>
      <c r="W169" s="7"/>
      <c r="X169" s="7">
        <f t="shared" ref="X169:X175" si="478">SUM(T169:W169)</f>
        <v>5340</v>
      </c>
      <c r="Z169" s="7">
        <v>4500</v>
      </c>
      <c r="AA169" s="7"/>
      <c r="AB169" s="7"/>
      <c r="AC169" s="7"/>
      <c r="AD169" s="7">
        <f t="shared" ref="AD169:AD175" si="479">SUM(Z169:AC169)</f>
        <v>4500</v>
      </c>
      <c r="AF169" s="7">
        <v>0</v>
      </c>
      <c r="AG169" s="7"/>
      <c r="AH169" s="7"/>
      <c r="AI169" s="7"/>
      <c r="AJ169" s="7">
        <f t="shared" ref="AJ169:AJ175" si="480">SUM(AF169:AI169)</f>
        <v>0</v>
      </c>
      <c r="AL169" s="7">
        <v>0</v>
      </c>
      <c r="AM169" s="7"/>
      <c r="AN169" s="7"/>
      <c r="AO169" s="7"/>
      <c r="AP169" s="7">
        <f t="shared" ref="AP169:AP175" si="481">SUM(AL169:AO169)</f>
        <v>0</v>
      </c>
      <c r="AR169" s="7">
        <f>B169+H169+N169+T169+Z169+AF169+AL169</f>
        <v>27227.5</v>
      </c>
      <c r="AS169" s="7">
        <f t="shared" ref="AS169:AU169" si="482">C169+I169+O169+U169+AA169+AG169+AM169</f>
        <v>0</v>
      </c>
      <c r="AT169" s="7">
        <f t="shared" si="482"/>
        <v>0</v>
      </c>
      <c r="AU169" s="7">
        <f t="shared" si="482"/>
        <v>0</v>
      </c>
      <c r="AV169" s="7">
        <f t="shared" ref="AV169:AV175" si="483">SUM(AR169:AU169)</f>
        <v>27227.5</v>
      </c>
    </row>
    <row r="170" spans="1:48" x14ac:dyDescent="0.25">
      <c r="A170" s="62" t="s">
        <v>141</v>
      </c>
      <c r="B170" s="15">
        <f>((408+100)+500)*12.5</f>
        <v>12600</v>
      </c>
      <c r="C170" s="7"/>
      <c r="D170" s="7"/>
      <c r="E170" s="7"/>
      <c r="F170" s="7">
        <f t="shared" si="475"/>
        <v>12600</v>
      </c>
      <c r="H170" s="15">
        <f>10500+((100+408)*12)</f>
        <v>16596</v>
      </c>
      <c r="I170" s="7"/>
      <c r="J170" s="7"/>
      <c r="K170" s="7"/>
      <c r="L170" s="7">
        <f t="shared" si="476"/>
        <v>16596</v>
      </c>
      <c r="N170" s="7">
        <f>8500+((408+100)*12)</f>
        <v>14596</v>
      </c>
      <c r="O170" s="7"/>
      <c r="P170" s="7"/>
      <c r="Q170" s="7"/>
      <c r="R170" s="7">
        <f t="shared" si="477"/>
        <v>14596</v>
      </c>
      <c r="T170" s="15">
        <f>8500+((100+408)*12)</f>
        <v>14596</v>
      </c>
      <c r="U170" s="7"/>
      <c r="V170" s="7"/>
      <c r="W170" s="7"/>
      <c r="X170" s="7">
        <f t="shared" si="478"/>
        <v>14596</v>
      </c>
      <c r="Z170" s="7">
        <f>10000+((408+100)*12)</f>
        <v>16096</v>
      </c>
      <c r="AA170" s="7"/>
      <c r="AB170" s="7"/>
      <c r="AC170" s="7"/>
      <c r="AD170" s="7">
        <f t="shared" si="479"/>
        <v>16096</v>
      </c>
      <c r="AF170" s="7">
        <v>0</v>
      </c>
      <c r="AG170" s="7"/>
      <c r="AH170" s="7"/>
      <c r="AI170" s="7"/>
      <c r="AJ170" s="7">
        <f t="shared" si="480"/>
        <v>0</v>
      </c>
      <c r="AL170" s="7">
        <v>0</v>
      </c>
      <c r="AM170" s="7"/>
      <c r="AN170" s="7"/>
      <c r="AO170" s="7"/>
      <c r="AP170" s="7">
        <f t="shared" si="481"/>
        <v>0</v>
      </c>
      <c r="AR170" s="7">
        <f t="shared" ref="AR170:AR175" si="484">B170+H170+N170+T170+Z170+AF170+AL170</f>
        <v>74484</v>
      </c>
      <c r="AS170" s="7">
        <f t="shared" ref="AS170:AS175" si="485">C170+I170+O170+U170+AA170+AG170+AM170</f>
        <v>0</v>
      </c>
      <c r="AT170" s="7">
        <f t="shared" ref="AT170:AT175" si="486">D170+J170+P170+V170+AB170+AH170+AN170</f>
        <v>0</v>
      </c>
      <c r="AU170" s="7">
        <f t="shared" ref="AU170:AU175" si="487">E170+K170+Q170+W170+AC170+AI170+AO170</f>
        <v>0</v>
      </c>
      <c r="AV170" s="7">
        <f t="shared" si="483"/>
        <v>74484</v>
      </c>
    </row>
    <row r="171" spans="1:48" x14ac:dyDescent="0.25">
      <c r="A171" s="62" t="s">
        <v>142</v>
      </c>
      <c r="B171" s="7">
        <v>0</v>
      </c>
      <c r="C171" s="7"/>
      <c r="D171" s="7"/>
      <c r="E171" s="7"/>
      <c r="F171" s="7">
        <f t="shared" si="475"/>
        <v>0</v>
      </c>
      <c r="H171" s="7">
        <v>0</v>
      </c>
      <c r="I171" s="7"/>
      <c r="J171" s="7"/>
      <c r="K171" s="7"/>
      <c r="L171" s="7">
        <f t="shared" si="476"/>
        <v>0</v>
      </c>
      <c r="N171" s="7">
        <v>0</v>
      </c>
      <c r="O171" s="7"/>
      <c r="P171" s="7"/>
      <c r="Q171" s="7"/>
      <c r="R171" s="7">
        <f t="shared" si="477"/>
        <v>0</v>
      </c>
      <c r="T171" s="15">
        <v>0</v>
      </c>
      <c r="U171" s="7"/>
      <c r="V171" s="7"/>
      <c r="W171" s="7"/>
      <c r="X171" s="7">
        <f t="shared" si="478"/>
        <v>0</v>
      </c>
      <c r="Z171" s="7">
        <v>0</v>
      </c>
      <c r="AA171" s="7"/>
      <c r="AB171" s="7"/>
      <c r="AC171" s="7"/>
      <c r="AD171" s="7">
        <f t="shared" si="479"/>
        <v>0</v>
      </c>
      <c r="AF171" s="7">
        <v>0</v>
      </c>
      <c r="AG171" s="7"/>
      <c r="AH171" s="7"/>
      <c r="AI171" s="7"/>
      <c r="AJ171" s="7">
        <f t="shared" si="480"/>
        <v>0</v>
      </c>
      <c r="AL171" s="7">
        <v>0</v>
      </c>
      <c r="AM171" s="7"/>
      <c r="AN171" s="7"/>
      <c r="AO171" s="7"/>
      <c r="AP171" s="7">
        <f t="shared" si="481"/>
        <v>0</v>
      </c>
      <c r="AR171" s="7">
        <f t="shared" si="484"/>
        <v>0</v>
      </c>
      <c r="AS171" s="7">
        <f t="shared" si="485"/>
        <v>0</v>
      </c>
      <c r="AT171" s="7">
        <f t="shared" si="486"/>
        <v>0</v>
      </c>
      <c r="AU171" s="7">
        <f t="shared" si="487"/>
        <v>0</v>
      </c>
      <c r="AV171" s="7">
        <f t="shared" si="483"/>
        <v>0</v>
      </c>
    </row>
    <row r="172" spans="1:48" x14ac:dyDescent="0.25">
      <c r="A172" s="62" t="s">
        <v>143</v>
      </c>
      <c r="B172" s="7">
        <v>900</v>
      </c>
      <c r="C172" s="7"/>
      <c r="D172" s="7"/>
      <c r="E172" s="7"/>
      <c r="F172" s="7">
        <f t="shared" si="475"/>
        <v>900</v>
      </c>
      <c r="H172" s="7">
        <v>1700</v>
      </c>
      <c r="I172" s="7"/>
      <c r="J172" s="7"/>
      <c r="K172" s="7"/>
      <c r="L172" s="7">
        <f t="shared" si="476"/>
        <v>1700</v>
      </c>
      <c r="N172" s="7">
        <v>1000</v>
      </c>
      <c r="O172" s="7"/>
      <c r="P172" s="7"/>
      <c r="Q172" s="7"/>
      <c r="R172" s="7">
        <f t="shared" si="477"/>
        <v>1000</v>
      </c>
      <c r="T172" s="15">
        <v>1100</v>
      </c>
      <c r="U172" s="7"/>
      <c r="V172" s="7"/>
      <c r="W172" s="7"/>
      <c r="X172" s="7">
        <f t="shared" si="478"/>
        <v>1100</v>
      </c>
      <c r="Z172" s="7">
        <v>1250</v>
      </c>
      <c r="AA172" s="7"/>
      <c r="AB172" s="7"/>
      <c r="AC172" s="7"/>
      <c r="AD172" s="7">
        <f t="shared" si="479"/>
        <v>1250</v>
      </c>
      <c r="AF172" s="7">
        <v>0</v>
      </c>
      <c r="AG172" s="7"/>
      <c r="AH172" s="7"/>
      <c r="AI172" s="7"/>
      <c r="AJ172" s="7">
        <f t="shared" si="480"/>
        <v>0</v>
      </c>
      <c r="AL172" s="7">
        <v>0</v>
      </c>
      <c r="AM172" s="7"/>
      <c r="AN172" s="7"/>
      <c r="AO172" s="7"/>
      <c r="AP172" s="7">
        <f t="shared" si="481"/>
        <v>0</v>
      </c>
      <c r="AR172" s="7">
        <f t="shared" si="484"/>
        <v>5950</v>
      </c>
      <c r="AS172" s="7">
        <f t="shared" si="485"/>
        <v>0</v>
      </c>
      <c r="AT172" s="7">
        <f t="shared" si="486"/>
        <v>0</v>
      </c>
      <c r="AU172" s="7">
        <f t="shared" si="487"/>
        <v>0</v>
      </c>
      <c r="AV172" s="7">
        <f t="shared" si="483"/>
        <v>5950</v>
      </c>
    </row>
    <row r="173" spans="1:48" x14ac:dyDescent="0.25">
      <c r="A173" s="62" t="s">
        <v>144</v>
      </c>
      <c r="B173" s="7">
        <v>5000</v>
      </c>
      <c r="C173" s="7"/>
      <c r="D173" s="7"/>
      <c r="E173" s="7"/>
      <c r="F173" s="7">
        <f t="shared" si="475"/>
        <v>5000</v>
      </c>
      <c r="H173" s="7">
        <v>5000</v>
      </c>
      <c r="I173" s="7"/>
      <c r="J173" s="7"/>
      <c r="K173" s="7"/>
      <c r="L173" s="7">
        <f t="shared" si="476"/>
        <v>5000</v>
      </c>
      <c r="N173" s="7">
        <v>5000</v>
      </c>
      <c r="O173" s="7"/>
      <c r="P173" s="7"/>
      <c r="Q173" s="7"/>
      <c r="R173" s="7">
        <f t="shared" si="477"/>
        <v>5000</v>
      </c>
      <c r="T173" s="15">
        <v>5000</v>
      </c>
      <c r="U173" s="7"/>
      <c r="V173" s="7"/>
      <c r="W173" s="7"/>
      <c r="X173" s="7">
        <f t="shared" si="478"/>
        <v>5000</v>
      </c>
      <c r="Z173" s="7">
        <v>5000</v>
      </c>
      <c r="AA173" s="7"/>
      <c r="AB173" s="7"/>
      <c r="AC173" s="7"/>
      <c r="AD173" s="7">
        <f t="shared" si="479"/>
        <v>5000</v>
      </c>
      <c r="AF173" s="7">
        <v>0</v>
      </c>
      <c r="AG173" s="7"/>
      <c r="AH173" s="7"/>
      <c r="AI173" s="7"/>
      <c r="AJ173" s="7">
        <f t="shared" si="480"/>
        <v>0</v>
      </c>
      <c r="AL173" s="7">
        <v>5000</v>
      </c>
      <c r="AM173" s="7"/>
      <c r="AN173" s="7"/>
      <c r="AO173" s="7"/>
      <c r="AP173" s="7">
        <f t="shared" si="481"/>
        <v>5000</v>
      </c>
      <c r="AR173" s="7">
        <f t="shared" si="484"/>
        <v>30000</v>
      </c>
      <c r="AS173" s="7">
        <f t="shared" si="485"/>
        <v>0</v>
      </c>
      <c r="AT173" s="7">
        <f t="shared" si="486"/>
        <v>0</v>
      </c>
      <c r="AU173" s="7">
        <f t="shared" si="487"/>
        <v>0</v>
      </c>
      <c r="AV173" s="7">
        <f t="shared" si="483"/>
        <v>30000</v>
      </c>
    </row>
    <row r="174" spans="1:48" x14ac:dyDescent="0.25">
      <c r="A174" s="62" t="s">
        <v>145</v>
      </c>
      <c r="B174" s="7">
        <f>(1500*12)+10000</f>
        <v>28000</v>
      </c>
      <c r="C174" s="7"/>
      <c r="D174" s="7"/>
      <c r="E174" s="7"/>
      <c r="F174" s="7">
        <f t="shared" si="475"/>
        <v>28000</v>
      </c>
      <c r="H174" s="15">
        <f>5100*12</f>
        <v>61200</v>
      </c>
      <c r="I174" s="7"/>
      <c r="J174" s="7"/>
      <c r="K174" s="7"/>
      <c r="L174" s="7">
        <f t="shared" si="476"/>
        <v>61200</v>
      </c>
      <c r="N174" s="7">
        <v>32000</v>
      </c>
      <c r="O174" s="7"/>
      <c r="P174" s="7"/>
      <c r="Q174" s="7"/>
      <c r="R174" s="7">
        <f t="shared" si="477"/>
        <v>32000</v>
      </c>
      <c r="T174" s="15">
        <v>32000</v>
      </c>
      <c r="U174" s="7"/>
      <c r="V174" s="7"/>
      <c r="W174" s="7"/>
      <c r="X174" s="7">
        <f t="shared" si="478"/>
        <v>32000</v>
      </c>
      <c r="Z174" s="15">
        <v>57500</v>
      </c>
      <c r="AA174" s="7"/>
      <c r="AB174" s="7"/>
      <c r="AC174" s="7"/>
      <c r="AD174" s="7">
        <f t="shared" si="479"/>
        <v>57500</v>
      </c>
      <c r="AF174" s="7">
        <v>0</v>
      </c>
      <c r="AG174" s="7"/>
      <c r="AH174" s="7"/>
      <c r="AI174" s="7"/>
      <c r="AJ174" s="7">
        <f t="shared" si="480"/>
        <v>0</v>
      </c>
      <c r="AL174" s="7"/>
      <c r="AM174" s="7"/>
      <c r="AN174" s="7"/>
      <c r="AO174" s="7"/>
      <c r="AP174" s="7">
        <f t="shared" si="481"/>
        <v>0</v>
      </c>
      <c r="AR174" s="7">
        <f t="shared" si="484"/>
        <v>210700</v>
      </c>
      <c r="AS174" s="7">
        <f t="shared" si="485"/>
        <v>0</v>
      </c>
      <c r="AT174" s="7">
        <f t="shared" si="486"/>
        <v>0</v>
      </c>
      <c r="AU174" s="7">
        <f t="shared" si="487"/>
        <v>0</v>
      </c>
      <c r="AV174" s="7">
        <f t="shared" si="483"/>
        <v>210700</v>
      </c>
    </row>
    <row r="175" spans="1:48" ht="15.75" thickBot="1" x14ac:dyDescent="0.3">
      <c r="A175" s="62" t="s">
        <v>146</v>
      </c>
      <c r="B175" s="7">
        <f>2500+(2*B20)</f>
        <v>2500</v>
      </c>
      <c r="C175" s="7"/>
      <c r="D175" s="7"/>
      <c r="E175" s="7"/>
      <c r="F175" s="7">
        <f t="shared" si="475"/>
        <v>2500</v>
      </c>
      <c r="H175" s="7">
        <f>2500+(2*H20)</f>
        <v>2500</v>
      </c>
      <c r="I175" s="7"/>
      <c r="J175" s="7"/>
      <c r="K175" s="7"/>
      <c r="L175" s="7">
        <f t="shared" si="476"/>
        <v>2500</v>
      </c>
      <c r="N175" s="7">
        <f>2500+(2*N20)</f>
        <v>2500</v>
      </c>
      <c r="O175" s="7"/>
      <c r="P175" s="7"/>
      <c r="Q175" s="7"/>
      <c r="R175" s="7">
        <f t="shared" si="477"/>
        <v>2500</v>
      </c>
      <c r="T175" s="15">
        <f>2500+(2*T20)</f>
        <v>2500</v>
      </c>
      <c r="U175" s="7"/>
      <c r="V175" s="7"/>
      <c r="W175" s="7"/>
      <c r="X175" s="7">
        <f t="shared" si="478"/>
        <v>2500</v>
      </c>
      <c r="Z175" s="7">
        <f>2500+(2*Z20)</f>
        <v>2500</v>
      </c>
      <c r="AA175" s="7"/>
      <c r="AB175" s="7"/>
      <c r="AC175" s="7"/>
      <c r="AD175" s="7">
        <f t="shared" si="479"/>
        <v>2500</v>
      </c>
      <c r="AF175" s="7">
        <v>0</v>
      </c>
      <c r="AG175" s="7"/>
      <c r="AH175" s="7"/>
      <c r="AI175" s="7"/>
      <c r="AJ175" s="7">
        <f t="shared" si="480"/>
        <v>0</v>
      </c>
      <c r="AL175" s="7">
        <v>2500</v>
      </c>
      <c r="AM175" s="7"/>
      <c r="AN175" s="7"/>
      <c r="AO175" s="7"/>
      <c r="AP175" s="7">
        <f t="shared" si="481"/>
        <v>2500</v>
      </c>
      <c r="AR175" s="7">
        <f t="shared" si="484"/>
        <v>15000</v>
      </c>
      <c r="AS175" s="7">
        <f t="shared" si="485"/>
        <v>0</v>
      </c>
      <c r="AT175" s="7">
        <f t="shared" si="486"/>
        <v>0</v>
      </c>
      <c r="AU175" s="7">
        <f t="shared" si="487"/>
        <v>0</v>
      </c>
      <c r="AV175" s="7">
        <f t="shared" si="483"/>
        <v>15000</v>
      </c>
    </row>
    <row r="176" spans="1:48" ht="15.75" thickBot="1" x14ac:dyDescent="0.3">
      <c r="A176" s="95" t="s">
        <v>147</v>
      </c>
      <c r="B176" s="92">
        <f>SUM(B169:B175)</f>
        <v>54387.5</v>
      </c>
      <c r="C176" s="92">
        <f>SUM(C169:C175)</f>
        <v>0</v>
      </c>
      <c r="D176" s="92">
        <f t="shared" ref="D176:F176" si="488">SUM(D169:D175)</f>
        <v>0</v>
      </c>
      <c r="E176" s="92">
        <f t="shared" si="488"/>
        <v>0</v>
      </c>
      <c r="F176" s="92">
        <f t="shared" si="488"/>
        <v>54387.5</v>
      </c>
      <c r="H176" s="92">
        <f>SUM(H169:H175)</f>
        <v>95246</v>
      </c>
      <c r="I176" s="92">
        <f>SUM(I169:I175)</f>
        <v>0</v>
      </c>
      <c r="J176" s="92">
        <f t="shared" ref="J176:L176" si="489">SUM(J169:J175)</f>
        <v>0</v>
      </c>
      <c r="K176" s="92">
        <f t="shared" si="489"/>
        <v>0</v>
      </c>
      <c r="L176" s="92">
        <f t="shared" si="489"/>
        <v>95246</v>
      </c>
      <c r="N176" s="92">
        <f>SUM(N169:N175)</f>
        <v>58846</v>
      </c>
      <c r="O176" s="92">
        <f>SUM(O169:O175)</f>
        <v>0</v>
      </c>
      <c r="P176" s="92">
        <f t="shared" ref="P176:R176" si="490">SUM(P169:P175)</f>
        <v>0</v>
      </c>
      <c r="Q176" s="92">
        <f t="shared" si="490"/>
        <v>0</v>
      </c>
      <c r="R176" s="92">
        <f t="shared" si="490"/>
        <v>58846</v>
      </c>
      <c r="T176" s="92">
        <f>SUM(T169:T175)</f>
        <v>60536</v>
      </c>
      <c r="U176" s="92">
        <f>SUM(U169:U175)</f>
        <v>0</v>
      </c>
      <c r="V176" s="92">
        <f t="shared" ref="V176:X176" si="491">SUM(V169:V175)</f>
        <v>0</v>
      </c>
      <c r="W176" s="92">
        <f t="shared" si="491"/>
        <v>0</v>
      </c>
      <c r="X176" s="92">
        <f t="shared" si="491"/>
        <v>60536</v>
      </c>
      <c r="Z176" s="92">
        <f>SUM(Z169:Z175)</f>
        <v>86846</v>
      </c>
      <c r="AA176" s="92">
        <f>SUM(AA169:AA175)</f>
        <v>0</v>
      </c>
      <c r="AB176" s="92">
        <f t="shared" ref="AB176:AD176" si="492">SUM(AB169:AB175)</f>
        <v>0</v>
      </c>
      <c r="AC176" s="92">
        <f t="shared" si="492"/>
        <v>0</v>
      </c>
      <c r="AD176" s="92">
        <f t="shared" si="492"/>
        <v>86846</v>
      </c>
      <c r="AF176" s="92">
        <f>SUM(AF169:AF175)</f>
        <v>0</v>
      </c>
      <c r="AG176" s="92">
        <f>SUM(AG169:AG175)</f>
        <v>0</v>
      </c>
      <c r="AH176" s="92">
        <f t="shared" ref="AH176:AJ176" si="493">SUM(AH169:AH175)</f>
        <v>0</v>
      </c>
      <c r="AI176" s="92">
        <f t="shared" si="493"/>
        <v>0</v>
      </c>
      <c r="AJ176" s="92">
        <f t="shared" si="493"/>
        <v>0</v>
      </c>
      <c r="AL176" s="92">
        <f>SUM(AL169:AL175)</f>
        <v>7500</v>
      </c>
      <c r="AM176" s="92">
        <f>SUM(AM169:AM175)</f>
        <v>0</v>
      </c>
      <c r="AN176" s="92">
        <f t="shared" ref="AN176:AP176" si="494">SUM(AN169:AN175)</f>
        <v>0</v>
      </c>
      <c r="AO176" s="92">
        <f t="shared" si="494"/>
        <v>0</v>
      </c>
      <c r="AP176" s="92">
        <f t="shared" si="494"/>
        <v>7500</v>
      </c>
      <c r="AR176" s="92">
        <f>SUM(AR169:AR175)</f>
        <v>363361.5</v>
      </c>
      <c r="AS176" s="92">
        <f>SUM(AS169:AS175)</f>
        <v>0</v>
      </c>
      <c r="AT176" s="92">
        <f t="shared" ref="AT176:AV176" si="495">SUM(AT169:AT175)</f>
        <v>0</v>
      </c>
      <c r="AU176" s="92">
        <f t="shared" si="495"/>
        <v>0</v>
      </c>
      <c r="AV176" s="92">
        <f t="shared" si="495"/>
        <v>363361.5</v>
      </c>
    </row>
    <row r="177" spans="1:48" x14ac:dyDescent="0.25">
      <c r="A177" s="101" t="s">
        <v>148</v>
      </c>
      <c r="B177" s="96"/>
      <c r="C177" s="96"/>
      <c r="D177" s="96"/>
      <c r="E177" s="96"/>
      <c r="F177" s="96"/>
      <c r="H177" s="96"/>
      <c r="I177" s="96"/>
      <c r="J177" s="96"/>
      <c r="K177" s="96"/>
      <c r="L177" s="96"/>
      <c r="N177" s="96"/>
      <c r="O177" s="96"/>
      <c r="P177" s="96"/>
      <c r="Q177" s="96"/>
      <c r="R177" s="96"/>
      <c r="T177" s="96"/>
      <c r="U177" s="96"/>
      <c r="V177" s="96"/>
      <c r="W177" s="96"/>
      <c r="X177" s="96"/>
      <c r="Z177" s="96"/>
      <c r="AA177" s="96"/>
      <c r="AB177" s="96"/>
      <c r="AC177" s="96"/>
      <c r="AD177" s="96"/>
      <c r="AF177" s="96"/>
      <c r="AG177" s="96"/>
      <c r="AH177" s="96"/>
      <c r="AI177" s="96"/>
      <c r="AJ177" s="96"/>
      <c r="AL177" s="96"/>
      <c r="AM177" s="96"/>
      <c r="AN177" s="96"/>
      <c r="AO177" s="96"/>
      <c r="AP177" s="96"/>
      <c r="AR177" s="96"/>
      <c r="AS177" s="96"/>
      <c r="AT177" s="96"/>
      <c r="AU177" s="96"/>
      <c r="AV177" s="96"/>
    </row>
    <row r="178" spans="1:48" x14ac:dyDescent="0.25">
      <c r="A178" s="62" t="s">
        <v>149</v>
      </c>
      <c r="B178" s="15">
        <f>10500*1.1</f>
        <v>11550.000000000002</v>
      </c>
      <c r="C178" s="15"/>
      <c r="D178" s="15"/>
      <c r="E178" s="15"/>
      <c r="F178" s="15">
        <f>SUM(B178:E178)</f>
        <v>11550.000000000002</v>
      </c>
      <c r="H178" s="15">
        <f>25500*1.1</f>
        <v>28050.000000000004</v>
      </c>
      <c r="I178" s="15"/>
      <c r="J178" s="15"/>
      <c r="K178" s="15"/>
      <c r="L178" s="15">
        <f>SUM(H178:K178)</f>
        <v>28050.000000000004</v>
      </c>
      <c r="N178" s="15">
        <f>10500*1.1</f>
        <v>11550.000000000002</v>
      </c>
      <c r="O178" s="15"/>
      <c r="P178" s="15"/>
      <c r="Q178" s="15"/>
      <c r="R178" s="15">
        <f>SUM(N178:Q178)</f>
        <v>11550.000000000002</v>
      </c>
      <c r="T178" s="15">
        <f>11500*1.1</f>
        <v>12650.000000000002</v>
      </c>
      <c r="U178" s="15"/>
      <c r="V178" s="15"/>
      <c r="W178" s="15"/>
      <c r="X178" s="15">
        <f>SUM(T178:W178)</f>
        <v>12650.000000000002</v>
      </c>
      <c r="Z178" s="15">
        <f>16500*1.1</f>
        <v>18150</v>
      </c>
      <c r="AA178" s="15"/>
      <c r="AB178" s="15"/>
      <c r="AC178" s="15"/>
      <c r="AD178" s="15">
        <f>SUM(Z178:AC178)</f>
        <v>18150</v>
      </c>
      <c r="AF178" s="15">
        <v>0</v>
      </c>
      <c r="AG178" s="15"/>
      <c r="AH178" s="15"/>
      <c r="AI178" s="15"/>
      <c r="AJ178" s="15">
        <f>SUM(AF178:AI178)</f>
        <v>0</v>
      </c>
      <c r="AL178" s="15"/>
      <c r="AM178" s="15"/>
      <c r="AN178" s="15"/>
      <c r="AO178" s="15"/>
      <c r="AP178" s="15">
        <f>SUM(AL178:AO178)</f>
        <v>0</v>
      </c>
      <c r="AR178" s="15">
        <f>B178+H178+N178+T178+Z178+AF178+AL178</f>
        <v>81950</v>
      </c>
      <c r="AS178" s="15">
        <f t="shared" ref="AS178:AU178" si="496">C178+I178+O178+U178+AA178+AG178+AM178</f>
        <v>0</v>
      </c>
      <c r="AT178" s="15">
        <f t="shared" si="496"/>
        <v>0</v>
      </c>
      <c r="AU178" s="15">
        <f t="shared" si="496"/>
        <v>0</v>
      </c>
      <c r="AV178" s="15">
        <f>SUM(AR178:AU178)</f>
        <v>81950</v>
      </c>
    </row>
    <row r="179" spans="1:48" x14ac:dyDescent="0.25">
      <c r="A179" s="62" t="s">
        <v>150</v>
      </c>
      <c r="B179" s="7">
        <f>6000*1.1</f>
        <v>6600.0000000000009</v>
      </c>
      <c r="C179" s="7"/>
      <c r="D179" s="7"/>
      <c r="E179" s="7"/>
      <c r="F179" s="15">
        <f>SUM(B179:E179)</f>
        <v>6600.0000000000009</v>
      </c>
      <c r="H179" s="7">
        <f>11000*1.1</f>
        <v>12100.000000000002</v>
      </c>
      <c r="I179" s="7"/>
      <c r="J179" s="7"/>
      <c r="K179" s="7"/>
      <c r="L179" s="15">
        <f>SUM(H179:K179)</f>
        <v>12100.000000000002</v>
      </c>
      <c r="N179" s="7">
        <f>7000*1.1</f>
        <v>7700.0000000000009</v>
      </c>
      <c r="O179" s="7"/>
      <c r="P179" s="7"/>
      <c r="Q179" s="7"/>
      <c r="R179" s="15">
        <f>SUM(N179:Q179)</f>
        <v>7700.0000000000009</v>
      </c>
      <c r="T179" s="7">
        <f>7000*1.1</f>
        <v>7700.0000000000009</v>
      </c>
      <c r="U179" s="7"/>
      <c r="V179" s="7"/>
      <c r="W179" s="7"/>
      <c r="X179" s="15">
        <f>SUM(T179:W179)</f>
        <v>7700.0000000000009</v>
      </c>
      <c r="Z179" s="7">
        <f>12000*1.1</f>
        <v>13200.000000000002</v>
      </c>
      <c r="AA179" s="7"/>
      <c r="AB179" s="7"/>
      <c r="AC179" s="7"/>
      <c r="AD179" s="15">
        <f>SUM(Z179:AC179)</f>
        <v>13200.000000000002</v>
      </c>
      <c r="AF179" s="15">
        <v>0</v>
      </c>
      <c r="AG179" s="7"/>
      <c r="AH179" s="7"/>
      <c r="AI179" s="7"/>
      <c r="AJ179" s="15">
        <f>SUM(AF179:AI179)</f>
        <v>0</v>
      </c>
      <c r="AL179" s="7">
        <v>7500</v>
      </c>
      <c r="AM179" s="7"/>
      <c r="AN179" s="7"/>
      <c r="AO179" s="7"/>
      <c r="AP179" s="15">
        <f>SUM(AL179:AO179)</f>
        <v>7500</v>
      </c>
      <c r="AR179" s="15">
        <f t="shared" ref="AR179:AR180" si="497">B179+H179+N179+T179+Z179+AF179+AL179</f>
        <v>54800.000000000007</v>
      </c>
      <c r="AS179" s="15">
        <f t="shared" ref="AS179:AS180" si="498">C179+I179+O179+U179+AA179+AG179+AM179</f>
        <v>0</v>
      </c>
      <c r="AT179" s="15">
        <f t="shared" ref="AT179:AT180" si="499">D179+J179+P179+V179+AB179+AH179+AN179</f>
        <v>0</v>
      </c>
      <c r="AU179" s="15">
        <f t="shared" ref="AU179:AU180" si="500">E179+K179+Q179+W179+AC179+AI179+AO179</f>
        <v>0</v>
      </c>
      <c r="AV179" s="15">
        <f>SUM(AR179:AU179)</f>
        <v>54800.000000000007</v>
      </c>
    </row>
    <row r="180" spans="1:48" ht="15.75" thickBot="1" x14ac:dyDescent="0.3">
      <c r="A180" s="62" t="s">
        <v>151</v>
      </c>
      <c r="B180" s="7">
        <f>12500*1.1</f>
        <v>13750.000000000002</v>
      </c>
      <c r="C180" s="7"/>
      <c r="D180" s="7"/>
      <c r="E180" s="7"/>
      <c r="F180" s="15">
        <f>SUM(B180:E180)</f>
        <v>13750.000000000002</v>
      </c>
      <c r="H180" s="7">
        <f>32500*1.1</f>
        <v>35750</v>
      </c>
      <c r="I180" s="7"/>
      <c r="J180" s="7"/>
      <c r="K180" s="7"/>
      <c r="L180" s="15">
        <f>SUM(H180:K180)</f>
        <v>35750</v>
      </c>
      <c r="N180" s="7">
        <f>16000*1.1</f>
        <v>17600</v>
      </c>
      <c r="O180" s="7"/>
      <c r="P180" s="7"/>
      <c r="Q180" s="7"/>
      <c r="R180" s="15">
        <f>SUM(N180:Q180)</f>
        <v>17600</v>
      </c>
      <c r="T180" s="7">
        <f>21000*1.1</f>
        <v>23100.000000000004</v>
      </c>
      <c r="U180" s="7"/>
      <c r="V180" s="7"/>
      <c r="W180" s="7"/>
      <c r="X180" s="15">
        <f>SUM(T180:W180)</f>
        <v>23100.000000000004</v>
      </c>
      <c r="Z180" s="7">
        <f>28500*1.1</f>
        <v>31350.000000000004</v>
      </c>
      <c r="AA180" s="7"/>
      <c r="AB180" s="7"/>
      <c r="AC180" s="7"/>
      <c r="AD180" s="15">
        <f>SUM(Z180:AC180)</f>
        <v>31350.000000000004</v>
      </c>
      <c r="AF180" s="15">
        <v>0</v>
      </c>
      <c r="AG180" s="7"/>
      <c r="AH180" s="7"/>
      <c r="AI180" s="7"/>
      <c r="AJ180" s="15">
        <f>SUM(AF180:AI180)</f>
        <v>0</v>
      </c>
      <c r="AL180" s="7">
        <v>5500</v>
      </c>
      <c r="AM180" s="7"/>
      <c r="AN180" s="7"/>
      <c r="AO180" s="7"/>
      <c r="AP180" s="15">
        <f>SUM(AL180:AO180)</f>
        <v>5500</v>
      </c>
      <c r="AR180" s="15">
        <f t="shared" si="497"/>
        <v>127050</v>
      </c>
      <c r="AS180" s="15">
        <f t="shared" si="498"/>
        <v>0</v>
      </c>
      <c r="AT180" s="15">
        <f t="shared" si="499"/>
        <v>0</v>
      </c>
      <c r="AU180" s="15">
        <f t="shared" si="500"/>
        <v>0</v>
      </c>
      <c r="AV180" s="15">
        <f>SUM(AR180:AU180)</f>
        <v>127050</v>
      </c>
    </row>
    <row r="181" spans="1:48" ht="15.75" thickBot="1" x14ac:dyDescent="0.3">
      <c r="A181" s="95" t="s">
        <v>152</v>
      </c>
      <c r="B181" s="92">
        <f>SUM(B178:B180)</f>
        <v>31900.000000000007</v>
      </c>
      <c r="C181" s="92">
        <f>SUM(C178:C180)</f>
        <v>0</v>
      </c>
      <c r="D181" s="92">
        <f t="shared" ref="D181:F181" si="501">SUM(D178:D180)</f>
        <v>0</v>
      </c>
      <c r="E181" s="92">
        <f t="shared" si="501"/>
        <v>0</v>
      </c>
      <c r="F181" s="92">
        <f t="shared" si="501"/>
        <v>31900.000000000007</v>
      </c>
      <c r="H181" s="92">
        <f>SUM(H178:H180)</f>
        <v>75900</v>
      </c>
      <c r="I181" s="92">
        <f>SUM(I178:I180)</f>
        <v>0</v>
      </c>
      <c r="J181" s="92">
        <f t="shared" ref="J181:L181" si="502">SUM(J178:J180)</f>
        <v>0</v>
      </c>
      <c r="K181" s="92">
        <f t="shared" si="502"/>
        <v>0</v>
      </c>
      <c r="L181" s="92">
        <f t="shared" si="502"/>
        <v>75900</v>
      </c>
      <c r="N181" s="92">
        <f>SUM(N178:N180)</f>
        <v>36850</v>
      </c>
      <c r="O181" s="92">
        <f>SUM(O178:O180)</f>
        <v>0</v>
      </c>
      <c r="P181" s="92">
        <f t="shared" ref="P181:R181" si="503">SUM(P178:P180)</f>
        <v>0</v>
      </c>
      <c r="Q181" s="92">
        <f t="shared" si="503"/>
        <v>0</v>
      </c>
      <c r="R181" s="92">
        <f t="shared" si="503"/>
        <v>36850</v>
      </c>
      <c r="T181" s="92">
        <f>SUM(T178:T180)</f>
        <v>43450.000000000007</v>
      </c>
      <c r="U181" s="92">
        <f>SUM(U178:U180)</f>
        <v>0</v>
      </c>
      <c r="V181" s="92">
        <f t="shared" ref="V181:X181" si="504">SUM(V178:V180)</f>
        <v>0</v>
      </c>
      <c r="W181" s="92">
        <f t="shared" si="504"/>
        <v>0</v>
      </c>
      <c r="X181" s="92">
        <f t="shared" si="504"/>
        <v>43450.000000000007</v>
      </c>
      <c r="Z181" s="92">
        <f>SUM(Z178:Z180)</f>
        <v>62700</v>
      </c>
      <c r="AA181" s="92">
        <f>SUM(AA178:AA180)</f>
        <v>0</v>
      </c>
      <c r="AB181" s="92">
        <f t="shared" ref="AB181:AD181" si="505">SUM(AB178:AB180)</f>
        <v>0</v>
      </c>
      <c r="AC181" s="92">
        <f t="shared" si="505"/>
        <v>0</v>
      </c>
      <c r="AD181" s="92">
        <f t="shared" si="505"/>
        <v>62700</v>
      </c>
      <c r="AF181" s="92">
        <f>SUM(AF178:AF180)</f>
        <v>0</v>
      </c>
      <c r="AG181" s="92">
        <f>SUM(AG178:AG180)</f>
        <v>0</v>
      </c>
      <c r="AH181" s="92">
        <f t="shared" ref="AH181:AJ181" si="506">SUM(AH178:AH180)</f>
        <v>0</v>
      </c>
      <c r="AI181" s="92">
        <f t="shared" si="506"/>
        <v>0</v>
      </c>
      <c r="AJ181" s="92">
        <f t="shared" si="506"/>
        <v>0</v>
      </c>
      <c r="AL181" s="92">
        <f>SUM(AL178:AL180)</f>
        <v>13000</v>
      </c>
      <c r="AM181" s="92">
        <f>SUM(AM178:AM180)</f>
        <v>0</v>
      </c>
      <c r="AN181" s="92">
        <f t="shared" ref="AN181:AP181" si="507">SUM(AN178:AN180)</f>
        <v>0</v>
      </c>
      <c r="AO181" s="92">
        <f t="shared" si="507"/>
        <v>0</v>
      </c>
      <c r="AP181" s="92">
        <f t="shared" si="507"/>
        <v>13000</v>
      </c>
      <c r="AR181" s="92">
        <f>SUM(AR178:AR180)</f>
        <v>263800</v>
      </c>
      <c r="AS181" s="92">
        <f>SUM(AS178:AS180)</f>
        <v>0</v>
      </c>
      <c r="AT181" s="92">
        <f t="shared" ref="AT181:AV181" si="508">SUM(AT178:AT180)</f>
        <v>0</v>
      </c>
      <c r="AU181" s="92">
        <f t="shared" si="508"/>
        <v>0</v>
      </c>
      <c r="AV181" s="92">
        <f t="shared" si="508"/>
        <v>263800</v>
      </c>
    </row>
    <row r="182" spans="1:48" x14ac:dyDescent="0.25">
      <c r="A182" s="101" t="s">
        <v>153</v>
      </c>
      <c r="B182" s="96" t="str">
        <f>B1</f>
        <v>Operating</v>
      </c>
      <c r="C182" s="96" t="str">
        <f>C1</f>
        <v>Weights</v>
      </c>
      <c r="D182" s="96" t="str">
        <f>D1</f>
        <v>SPED</v>
      </c>
      <c r="E182" s="96" t="str">
        <f>E1</f>
        <v>NSLP</v>
      </c>
      <c r="F182" s="96" t="str">
        <f>F1</f>
        <v>Horizon</v>
      </c>
      <c r="H182" s="96" t="str">
        <f>H1</f>
        <v>Operating</v>
      </c>
      <c r="I182" s="96" t="str">
        <f>I1</f>
        <v>Weights</v>
      </c>
      <c r="J182" s="96" t="str">
        <f>J1</f>
        <v>SPED</v>
      </c>
      <c r="K182" s="96" t="str">
        <f>K1</f>
        <v>NSLP</v>
      </c>
      <c r="L182" s="96" t="str">
        <f>L1</f>
        <v>Cadence</v>
      </c>
      <c r="N182" s="96" t="str">
        <f>N1</f>
        <v>Operating</v>
      </c>
      <c r="O182" s="96" t="str">
        <f>O1</f>
        <v>Weights</v>
      </c>
      <c r="P182" s="96" t="str">
        <f>P1</f>
        <v>SPED</v>
      </c>
      <c r="Q182" s="96" t="str">
        <f>Q1</f>
        <v>NSLP</v>
      </c>
      <c r="R182" s="96" t="str">
        <f>R1</f>
        <v>St. Rose</v>
      </c>
      <c r="T182" s="96" t="str">
        <f>T1</f>
        <v>Operating</v>
      </c>
      <c r="U182" s="96" t="str">
        <f>U1</f>
        <v>Weights</v>
      </c>
      <c r="V182" s="96" t="str">
        <f>V1</f>
        <v>SPED</v>
      </c>
      <c r="W182" s="96" t="str">
        <f>W1</f>
        <v>NSLP</v>
      </c>
      <c r="X182" s="96" t="str">
        <f>X1</f>
        <v>Inspirada</v>
      </c>
      <c r="Z182" s="96" t="str">
        <f>Z1</f>
        <v>Operating</v>
      </c>
      <c r="AA182" s="96" t="str">
        <f>AA1</f>
        <v>Weights</v>
      </c>
      <c r="AB182" s="96" t="str">
        <f>AB1</f>
        <v>SPED</v>
      </c>
      <c r="AC182" s="96" t="str">
        <f>AC1</f>
        <v>NSLP</v>
      </c>
      <c r="AD182" s="96" t="str">
        <f>AD1</f>
        <v>Sloan Canyon</v>
      </c>
      <c r="AF182" s="96" t="str">
        <f>AF1</f>
        <v>Operating</v>
      </c>
      <c r="AG182" s="96" t="str">
        <f>AG1</f>
        <v>Weights</v>
      </c>
      <c r="AH182" s="96" t="str">
        <f>AH1</f>
        <v>SPED</v>
      </c>
      <c r="AI182" s="96" t="str">
        <f>AI1</f>
        <v>NSLP</v>
      </c>
      <c r="AJ182" s="96" t="str">
        <f>AJ1</f>
        <v>System Wide</v>
      </c>
      <c r="AL182" s="96" t="str">
        <f>AL1</f>
        <v>Operating</v>
      </c>
      <c r="AM182" s="96" t="str">
        <f>AM1</f>
        <v>Weights</v>
      </c>
      <c r="AN182" s="96" t="str">
        <f>AN1</f>
        <v>SPED</v>
      </c>
      <c r="AO182" s="96" t="str">
        <f>AO1</f>
        <v>NSLP</v>
      </c>
      <c r="AP182" s="96" t="str">
        <f>AP1</f>
        <v>Virtual</v>
      </c>
      <c r="AR182" s="96" t="str">
        <f>AR1</f>
        <v>Operating</v>
      </c>
      <c r="AS182" s="96" t="str">
        <f>AS1</f>
        <v>Weights</v>
      </c>
      <c r="AT182" s="96" t="str">
        <f>AT1</f>
        <v>SPED</v>
      </c>
      <c r="AU182" s="96" t="str">
        <f>AU1</f>
        <v>NSLP</v>
      </c>
      <c r="AV182" s="96" t="str">
        <f>AV1</f>
        <v>Pinecrest System</v>
      </c>
    </row>
    <row r="183" spans="1:48" x14ac:dyDescent="0.25">
      <c r="A183" s="62" t="s">
        <v>154</v>
      </c>
      <c r="B183" s="14">
        <f>(($C$19*B25)*3.56*180)</f>
        <v>0</v>
      </c>
      <c r="C183" s="142"/>
      <c r="D183" s="142"/>
      <c r="E183" s="14">
        <f>(($B$19*E25)*3.25*180)+1000</f>
        <v>171291.27699999997</v>
      </c>
      <c r="F183" s="14">
        <f t="shared" ref="F183:F191" si="509">SUM(B183:E183)</f>
        <v>171291.27699999997</v>
      </c>
      <c r="H183" s="14">
        <f>(($C$19*H25)*3.56*180)</f>
        <v>0</v>
      </c>
      <c r="I183" s="142"/>
      <c r="J183" s="142"/>
      <c r="K183" s="14">
        <f>((H19*K25)*3.25*180)+1000</f>
        <v>426196.48600000003</v>
      </c>
      <c r="L183" s="14">
        <f t="shared" ref="L183:L191" si="510">SUM(H183:K183)</f>
        <v>426196.48600000003</v>
      </c>
      <c r="N183" s="14">
        <f>(($C$19*N25)*3.56*180)</f>
        <v>0</v>
      </c>
      <c r="O183" s="142"/>
      <c r="P183" s="142"/>
      <c r="Q183" s="14">
        <f>((N19*Q25)*3.25*180)+1000</f>
        <v>167896.288</v>
      </c>
      <c r="R183" s="14">
        <f t="shared" ref="R183:R191" si="511">SUM(N183:Q183)</f>
        <v>167896.288</v>
      </c>
      <c r="T183" s="14">
        <f>(($C$19*T25)*3.56*180)</f>
        <v>0</v>
      </c>
      <c r="U183" s="142"/>
      <c r="V183" s="142"/>
      <c r="W183" s="14">
        <f>((T19*W25)*3.25*180)+1000</f>
        <v>94428.478000000003</v>
      </c>
      <c r="X183" s="14">
        <f t="shared" ref="X183:X191" si="512">SUM(T183:W183)</f>
        <v>94428.478000000003</v>
      </c>
      <c r="Z183" s="14">
        <f>(($C$19*Z25)*3.56*180)</f>
        <v>0</v>
      </c>
      <c r="AA183" s="142"/>
      <c r="AB183" s="142"/>
      <c r="AC183" s="14">
        <f>((Z19*AC25)*3.25*180)+1000</f>
        <v>213129.77499999997</v>
      </c>
      <c r="AD183" s="14">
        <f t="shared" ref="AD183:AD191" si="513">SUM(Z183:AC183)</f>
        <v>213129.77499999997</v>
      </c>
      <c r="AF183" s="14">
        <v>0</v>
      </c>
      <c r="AG183" s="142"/>
      <c r="AH183" s="142"/>
      <c r="AI183" s="14">
        <v>0</v>
      </c>
      <c r="AJ183" s="14">
        <f t="shared" ref="AJ183:AJ191" si="514">SUM(AF183:AI183)</f>
        <v>0</v>
      </c>
      <c r="AL183" s="14">
        <f>(($C$19*AL25)*3.56*180)</f>
        <v>0</v>
      </c>
      <c r="AM183" s="142"/>
      <c r="AN183" s="142"/>
      <c r="AO183" s="14">
        <f>((AL19*AO25)*3.1*180)</f>
        <v>0</v>
      </c>
      <c r="AP183" s="14">
        <f t="shared" ref="AP183:AP191" si="515">SUM(AL183:AO183)</f>
        <v>0</v>
      </c>
      <c r="AR183" s="14">
        <f>B183+H183+N183+T183+Z183+AF183+AL183</f>
        <v>0</v>
      </c>
      <c r="AS183" s="14">
        <f t="shared" ref="AS183:AU183" si="516">C183+I183+O183+U183+AA183+AG183+AM183</f>
        <v>0</v>
      </c>
      <c r="AT183" s="14">
        <f t="shared" si="516"/>
        <v>0</v>
      </c>
      <c r="AU183" s="14">
        <f t="shared" si="516"/>
        <v>1072942.304</v>
      </c>
      <c r="AV183" s="14">
        <f t="shared" ref="AV183:AV191" si="517">SUM(AR183:AU183)</f>
        <v>1072942.304</v>
      </c>
    </row>
    <row r="184" spans="1:48" x14ac:dyDescent="0.25">
      <c r="A184" s="62" t="s">
        <v>155</v>
      </c>
      <c r="B184" s="7">
        <v>5000</v>
      </c>
      <c r="C184" s="7"/>
      <c r="D184" s="7"/>
      <c r="E184" s="7"/>
      <c r="F184" s="14">
        <f t="shared" si="509"/>
        <v>5000</v>
      </c>
      <c r="H184" s="7">
        <v>7500</v>
      </c>
      <c r="I184" s="7"/>
      <c r="J184" s="7"/>
      <c r="K184" s="7"/>
      <c r="L184" s="14">
        <f t="shared" si="510"/>
        <v>7500</v>
      </c>
      <c r="N184" s="7">
        <v>5000</v>
      </c>
      <c r="O184" s="7"/>
      <c r="P184" s="7"/>
      <c r="Q184" s="7"/>
      <c r="R184" s="14">
        <f t="shared" si="511"/>
        <v>5000</v>
      </c>
      <c r="T184" s="7">
        <v>5000</v>
      </c>
      <c r="U184" s="7"/>
      <c r="V184" s="7"/>
      <c r="W184" s="7"/>
      <c r="X184" s="14">
        <f t="shared" si="512"/>
        <v>5000</v>
      </c>
      <c r="Z184" s="7">
        <v>7500</v>
      </c>
      <c r="AA184" s="7"/>
      <c r="AB184" s="7"/>
      <c r="AC184" s="7"/>
      <c r="AD184" s="14">
        <f t="shared" si="513"/>
        <v>7500</v>
      </c>
      <c r="AF184" s="14">
        <v>0</v>
      </c>
      <c r="AG184" s="7"/>
      <c r="AH184" s="7"/>
      <c r="AI184" s="7"/>
      <c r="AJ184" s="14">
        <f t="shared" si="514"/>
        <v>0</v>
      </c>
      <c r="AL184" s="7">
        <v>13000</v>
      </c>
      <c r="AM184" s="7"/>
      <c r="AN184" s="7"/>
      <c r="AO184" s="7"/>
      <c r="AP184" s="14">
        <f t="shared" si="515"/>
        <v>13000</v>
      </c>
      <c r="AR184" s="14">
        <f t="shared" ref="AR184:AR191" si="518">B184+H184+N184+T184+Z184+AF184+AL184</f>
        <v>43000</v>
      </c>
      <c r="AS184" s="14">
        <f t="shared" ref="AS184:AS191" si="519">C184+I184+O184+U184+AA184+AG184+AM184</f>
        <v>0</v>
      </c>
      <c r="AT184" s="14">
        <f t="shared" ref="AT184:AT191" si="520">D184+J184+P184+V184+AB184+AH184+AN184</f>
        <v>0</v>
      </c>
      <c r="AU184" s="14">
        <f t="shared" ref="AU184:AU191" si="521">E184+K184+Q184+W184+AC184+AI184+AO184</f>
        <v>0</v>
      </c>
      <c r="AV184" s="14">
        <f t="shared" si="517"/>
        <v>43000</v>
      </c>
    </row>
    <row r="185" spans="1:48" x14ac:dyDescent="0.25">
      <c r="A185" s="62" t="s">
        <v>156</v>
      </c>
      <c r="B185" s="7">
        <v>2000</v>
      </c>
      <c r="C185" s="7"/>
      <c r="D185" s="7"/>
      <c r="E185" s="7"/>
      <c r="F185" s="14">
        <f t="shared" si="509"/>
        <v>2000</v>
      </c>
      <c r="H185" s="7">
        <v>3000</v>
      </c>
      <c r="I185" s="7"/>
      <c r="J185" s="7"/>
      <c r="K185" s="7"/>
      <c r="L185" s="14">
        <f t="shared" si="510"/>
        <v>3000</v>
      </c>
      <c r="N185" s="7">
        <v>2200</v>
      </c>
      <c r="O185" s="7"/>
      <c r="P185" s="7"/>
      <c r="Q185" s="7"/>
      <c r="R185" s="14">
        <f t="shared" si="511"/>
        <v>2200</v>
      </c>
      <c r="T185" s="7">
        <v>2600</v>
      </c>
      <c r="U185" s="7"/>
      <c r="V185" s="7"/>
      <c r="W185" s="7"/>
      <c r="X185" s="14">
        <f t="shared" si="512"/>
        <v>2600</v>
      </c>
      <c r="Z185" s="7">
        <v>3000</v>
      </c>
      <c r="AA185" s="7"/>
      <c r="AB185" s="7"/>
      <c r="AC185" s="7"/>
      <c r="AD185" s="14">
        <f t="shared" si="513"/>
        <v>3000</v>
      </c>
      <c r="AF185" s="14">
        <v>0</v>
      </c>
      <c r="AG185" s="7"/>
      <c r="AH185" s="7"/>
      <c r="AI185" s="7"/>
      <c r="AJ185" s="14">
        <f t="shared" si="514"/>
        <v>0</v>
      </c>
      <c r="AL185" s="7"/>
      <c r="AM185" s="7"/>
      <c r="AN185" s="7"/>
      <c r="AO185" s="7"/>
      <c r="AP185" s="14">
        <f t="shared" si="515"/>
        <v>0</v>
      </c>
      <c r="AR185" s="14">
        <f t="shared" si="518"/>
        <v>12800</v>
      </c>
      <c r="AS185" s="14">
        <f t="shared" si="519"/>
        <v>0</v>
      </c>
      <c r="AT185" s="14">
        <f t="shared" si="520"/>
        <v>0</v>
      </c>
      <c r="AU185" s="14">
        <f t="shared" si="521"/>
        <v>0</v>
      </c>
      <c r="AV185" s="14">
        <f t="shared" si="517"/>
        <v>12800</v>
      </c>
    </row>
    <row r="186" spans="1:48" x14ac:dyDescent="0.25">
      <c r="A186" s="62" t="s">
        <v>157</v>
      </c>
      <c r="B186" s="7">
        <f>60*20</f>
        <v>1200</v>
      </c>
      <c r="C186" s="7"/>
      <c r="D186" s="7"/>
      <c r="E186" s="7"/>
      <c r="F186" s="14">
        <f t="shared" si="509"/>
        <v>1200</v>
      </c>
      <c r="H186" s="7">
        <f>60*42</f>
        <v>2520</v>
      </c>
      <c r="I186" s="7"/>
      <c r="J186" s="7"/>
      <c r="K186" s="7"/>
      <c r="L186" s="14">
        <f t="shared" si="510"/>
        <v>2520</v>
      </c>
      <c r="N186" s="7">
        <f>60*20</f>
        <v>1200</v>
      </c>
      <c r="O186" s="7"/>
      <c r="P186" s="7"/>
      <c r="Q186" s="7"/>
      <c r="R186" s="14">
        <f t="shared" si="511"/>
        <v>1200</v>
      </c>
      <c r="T186" s="7">
        <f>60*20</f>
        <v>1200</v>
      </c>
      <c r="U186" s="7"/>
      <c r="V186" s="7"/>
      <c r="W186" s="7"/>
      <c r="X186" s="14">
        <f t="shared" si="512"/>
        <v>1200</v>
      </c>
      <c r="Z186" s="7">
        <f>60*45</f>
        <v>2700</v>
      </c>
      <c r="AA186" s="7"/>
      <c r="AB186" s="7"/>
      <c r="AC186" s="7"/>
      <c r="AD186" s="14">
        <f t="shared" si="513"/>
        <v>2700</v>
      </c>
      <c r="AF186" s="14">
        <v>0</v>
      </c>
      <c r="AG186" s="7"/>
      <c r="AH186" s="7"/>
      <c r="AI186" s="7"/>
      <c r="AJ186" s="14">
        <f t="shared" si="514"/>
        <v>0</v>
      </c>
      <c r="AL186" s="7">
        <v>300</v>
      </c>
      <c r="AM186" s="7"/>
      <c r="AN186" s="7"/>
      <c r="AO186" s="7"/>
      <c r="AP186" s="14">
        <f t="shared" si="515"/>
        <v>300</v>
      </c>
      <c r="AR186" s="14">
        <f t="shared" si="518"/>
        <v>9120</v>
      </c>
      <c r="AS186" s="14">
        <f t="shared" si="519"/>
        <v>0</v>
      </c>
      <c r="AT186" s="14">
        <f t="shared" si="520"/>
        <v>0</v>
      </c>
      <c r="AU186" s="14">
        <f t="shared" si="521"/>
        <v>0</v>
      </c>
      <c r="AV186" s="14">
        <f t="shared" si="517"/>
        <v>9120</v>
      </c>
    </row>
    <row r="187" spans="1:48" x14ac:dyDescent="0.25">
      <c r="A187" s="62" t="s">
        <v>158</v>
      </c>
      <c r="B187" s="15">
        <f>11500+1200</f>
        <v>12700</v>
      </c>
      <c r="C187" s="15"/>
      <c r="D187" s="15"/>
      <c r="E187" s="15"/>
      <c r="F187" s="14">
        <f t="shared" si="509"/>
        <v>12700</v>
      </c>
      <c r="H187" s="15">
        <f>11000+1200</f>
        <v>12200</v>
      </c>
      <c r="I187" s="15"/>
      <c r="J187" s="15"/>
      <c r="K187" s="15"/>
      <c r="L187" s="14">
        <f t="shared" si="510"/>
        <v>12200</v>
      </c>
      <c r="N187" s="15">
        <f>11000+1200</f>
        <v>12200</v>
      </c>
      <c r="O187" s="15"/>
      <c r="P187" s="15"/>
      <c r="Q187" s="15"/>
      <c r="R187" s="14">
        <f t="shared" si="511"/>
        <v>12200</v>
      </c>
      <c r="T187" s="15">
        <f>11000+1200</f>
        <v>12200</v>
      </c>
      <c r="U187" s="15"/>
      <c r="V187" s="15"/>
      <c r="W187" s="15"/>
      <c r="X187" s="14">
        <f t="shared" si="512"/>
        <v>12200</v>
      </c>
      <c r="Z187" s="15">
        <f>11000+1200</f>
        <v>12200</v>
      </c>
      <c r="AA187" s="15"/>
      <c r="AB187" s="15"/>
      <c r="AC187" s="15"/>
      <c r="AD187" s="14">
        <f t="shared" si="513"/>
        <v>12200</v>
      </c>
      <c r="AF187" s="14">
        <v>0</v>
      </c>
      <c r="AG187" s="15"/>
      <c r="AH187" s="15"/>
      <c r="AI187" s="15"/>
      <c r="AJ187" s="14">
        <f t="shared" si="514"/>
        <v>0</v>
      </c>
      <c r="AL187" s="15">
        <v>7500</v>
      </c>
      <c r="AM187" s="15"/>
      <c r="AN187" s="15"/>
      <c r="AO187" s="15"/>
      <c r="AP187" s="14">
        <f t="shared" si="515"/>
        <v>7500</v>
      </c>
      <c r="AR187" s="14">
        <f t="shared" si="518"/>
        <v>69000</v>
      </c>
      <c r="AS187" s="14">
        <f t="shared" si="519"/>
        <v>0</v>
      </c>
      <c r="AT187" s="14">
        <f t="shared" si="520"/>
        <v>0</v>
      </c>
      <c r="AU187" s="14">
        <f t="shared" si="521"/>
        <v>0</v>
      </c>
      <c r="AV187" s="14">
        <f t="shared" si="517"/>
        <v>69000</v>
      </c>
    </row>
    <row r="188" spans="1:48" x14ac:dyDescent="0.25">
      <c r="A188" s="62" t="s">
        <v>159</v>
      </c>
      <c r="B188" s="15">
        <v>0</v>
      </c>
      <c r="C188" s="148"/>
      <c r="D188" s="148"/>
      <c r="E188" s="148"/>
      <c r="F188" s="14">
        <f t="shared" si="509"/>
        <v>0</v>
      </c>
      <c r="H188" s="15">
        <v>0</v>
      </c>
      <c r="I188" s="148"/>
      <c r="J188" s="148"/>
      <c r="K188" s="148"/>
      <c r="L188" s="14">
        <f t="shared" si="510"/>
        <v>0</v>
      </c>
      <c r="N188" s="15">
        <v>0</v>
      </c>
      <c r="O188" s="148"/>
      <c r="P188" s="148"/>
      <c r="Q188" s="148"/>
      <c r="R188" s="14">
        <f t="shared" si="511"/>
        <v>0</v>
      </c>
      <c r="T188" s="15">
        <v>0</v>
      </c>
      <c r="U188" s="148"/>
      <c r="V188" s="148"/>
      <c r="W188" s="148"/>
      <c r="X188" s="14">
        <f t="shared" si="512"/>
        <v>0</v>
      </c>
      <c r="Z188" s="15">
        <v>0</v>
      </c>
      <c r="AA188" s="148"/>
      <c r="AB188" s="148"/>
      <c r="AC188" s="148"/>
      <c r="AD188" s="14">
        <f t="shared" si="513"/>
        <v>0</v>
      </c>
      <c r="AF188" s="14">
        <v>0</v>
      </c>
      <c r="AG188" s="148"/>
      <c r="AH188" s="148"/>
      <c r="AI188" s="148"/>
      <c r="AJ188" s="14">
        <f t="shared" si="514"/>
        <v>0</v>
      </c>
      <c r="AL188" s="15"/>
      <c r="AM188" s="148"/>
      <c r="AN188" s="148"/>
      <c r="AO188" s="148"/>
      <c r="AP188" s="14">
        <f t="shared" si="515"/>
        <v>0</v>
      </c>
      <c r="AR188" s="14">
        <f t="shared" si="518"/>
        <v>0</v>
      </c>
      <c r="AS188" s="14">
        <f t="shared" si="519"/>
        <v>0</v>
      </c>
      <c r="AT188" s="14">
        <f t="shared" si="520"/>
        <v>0</v>
      </c>
      <c r="AU188" s="14">
        <f t="shared" si="521"/>
        <v>0</v>
      </c>
      <c r="AV188" s="14">
        <f t="shared" si="517"/>
        <v>0</v>
      </c>
    </row>
    <row r="189" spans="1:48" x14ac:dyDescent="0.25">
      <c r="A189" s="62" t="s">
        <v>160</v>
      </c>
      <c r="B189" s="15">
        <v>0</v>
      </c>
      <c r="C189" s="15"/>
      <c r="D189" s="15"/>
      <c r="E189" s="15"/>
      <c r="F189" s="14">
        <f t="shared" si="509"/>
        <v>0</v>
      </c>
      <c r="H189" s="15">
        <v>0</v>
      </c>
      <c r="I189" s="15"/>
      <c r="J189" s="15"/>
      <c r="K189" s="15"/>
      <c r="L189" s="14">
        <f t="shared" si="510"/>
        <v>0</v>
      </c>
      <c r="N189" s="15">
        <v>0</v>
      </c>
      <c r="O189" s="15"/>
      <c r="P189" s="15"/>
      <c r="Q189" s="15"/>
      <c r="R189" s="14">
        <f t="shared" si="511"/>
        <v>0</v>
      </c>
      <c r="T189" s="15">
        <v>0</v>
      </c>
      <c r="U189" s="15"/>
      <c r="V189" s="15"/>
      <c r="W189" s="15"/>
      <c r="X189" s="14">
        <f t="shared" si="512"/>
        <v>0</v>
      </c>
      <c r="Z189" s="15">
        <v>0</v>
      </c>
      <c r="AA189" s="15"/>
      <c r="AB189" s="15"/>
      <c r="AC189" s="15"/>
      <c r="AD189" s="14">
        <f t="shared" si="513"/>
        <v>0</v>
      </c>
      <c r="AF189" s="14">
        <v>0</v>
      </c>
      <c r="AG189" s="15"/>
      <c r="AH189" s="15"/>
      <c r="AI189" s="15"/>
      <c r="AJ189" s="14">
        <f t="shared" si="514"/>
        <v>0</v>
      </c>
      <c r="AL189" s="15"/>
      <c r="AM189" s="15"/>
      <c r="AN189" s="15"/>
      <c r="AO189" s="15"/>
      <c r="AP189" s="14">
        <f t="shared" si="515"/>
        <v>0</v>
      </c>
      <c r="AR189" s="14">
        <f t="shared" si="518"/>
        <v>0</v>
      </c>
      <c r="AS189" s="14">
        <f t="shared" si="519"/>
        <v>0</v>
      </c>
      <c r="AT189" s="14">
        <f t="shared" si="520"/>
        <v>0</v>
      </c>
      <c r="AU189" s="14">
        <f t="shared" si="521"/>
        <v>0</v>
      </c>
      <c r="AV189" s="14">
        <f t="shared" si="517"/>
        <v>0</v>
      </c>
    </row>
    <row r="190" spans="1:48" x14ac:dyDescent="0.25">
      <c r="A190" s="62" t="s">
        <v>161</v>
      </c>
      <c r="B190" s="15">
        <v>0</v>
      </c>
      <c r="C190" s="15"/>
      <c r="D190" s="15"/>
      <c r="E190" s="15"/>
      <c r="F190" s="14">
        <f t="shared" si="509"/>
        <v>0</v>
      </c>
      <c r="H190" s="15">
        <v>15000</v>
      </c>
      <c r="I190" s="15"/>
      <c r="J190" s="15"/>
      <c r="K190" s="15"/>
      <c r="L190" s="14">
        <f t="shared" si="510"/>
        <v>15000</v>
      </c>
      <c r="N190" s="15">
        <v>0</v>
      </c>
      <c r="O190" s="15"/>
      <c r="P190" s="15"/>
      <c r="Q190" s="15"/>
      <c r="R190" s="14">
        <f t="shared" si="511"/>
        <v>0</v>
      </c>
      <c r="T190" s="15">
        <v>0</v>
      </c>
      <c r="U190" s="15"/>
      <c r="V190" s="15"/>
      <c r="W190" s="15"/>
      <c r="X190" s="14">
        <f t="shared" si="512"/>
        <v>0</v>
      </c>
      <c r="Z190" s="15">
        <v>15000</v>
      </c>
      <c r="AA190" s="15"/>
      <c r="AB190" s="15"/>
      <c r="AC190" s="15"/>
      <c r="AD190" s="14">
        <f t="shared" si="513"/>
        <v>15000</v>
      </c>
      <c r="AF190" s="14">
        <v>0</v>
      </c>
      <c r="AG190" s="15"/>
      <c r="AH190" s="15"/>
      <c r="AI190" s="15"/>
      <c r="AJ190" s="14">
        <f t="shared" si="514"/>
        <v>0</v>
      </c>
      <c r="AL190" s="15"/>
      <c r="AM190" s="15"/>
      <c r="AN190" s="15"/>
      <c r="AO190" s="15"/>
      <c r="AP190" s="14">
        <f t="shared" si="515"/>
        <v>0</v>
      </c>
      <c r="AR190" s="14">
        <f t="shared" si="518"/>
        <v>30000</v>
      </c>
      <c r="AS190" s="14">
        <f t="shared" si="519"/>
        <v>0</v>
      </c>
      <c r="AT190" s="14">
        <f t="shared" si="520"/>
        <v>0</v>
      </c>
      <c r="AU190" s="14">
        <f t="shared" si="521"/>
        <v>0</v>
      </c>
      <c r="AV190" s="14">
        <f t="shared" si="517"/>
        <v>30000</v>
      </c>
    </row>
    <row r="191" spans="1:48" ht="15.75" thickBot="1" x14ac:dyDescent="0.3">
      <c r="A191" s="62" t="s">
        <v>162</v>
      </c>
      <c r="B191" s="7">
        <v>1500</v>
      </c>
      <c r="C191" s="7"/>
      <c r="D191" s="7"/>
      <c r="E191" s="7"/>
      <c r="F191" s="14">
        <f t="shared" si="509"/>
        <v>1500</v>
      </c>
      <c r="H191" s="7">
        <v>3000</v>
      </c>
      <c r="I191" s="7"/>
      <c r="J191" s="7"/>
      <c r="K191" s="7"/>
      <c r="L191" s="14">
        <f t="shared" si="510"/>
        <v>3000</v>
      </c>
      <c r="N191" s="7">
        <v>1500</v>
      </c>
      <c r="O191" s="7"/>
      <c r="P191" s="7"/>
      <c r="Q191" s="7"/>
      <c r="R191" s="14">
        <f t="shared" si="511"/>
        <v>1500</v>
      </c>
      <c r="T191" s="7">
        <v>1750</v>
      </c>
      <c r="U191" s="7"/>
      <c r="V191" s="7"/>
      <c r="W191" s="7"/>
      <c r="X191" s="14">
        <f t="shared" si="512"/>
        <v>1750</v>
      </c>
      <c r="Z191" s="7">
        <v>2250</v>
      </c>
      <c r="AA191" s="7"/>
      <c r="AB191" s="7"/>
      <c r="AC191" s="7"/>
      <c r="AD191" s="14">
        <f t="shared" si="513"/>
        <v>2250</v>
      </c>
      <c r="AF191" s="14">
        <v>0</v>
      </c>
      <c r="AG191" s="7"/>
      <c r="AH191" s="7"/>
      <c r="AI191" s="7"/>
      <c r="AJ191" s="14">
        <f t="shared" si="514"/>
        <v>0</v>
      </c>
      <c r="AL191" s="7"/>
      <c r="AM191" s="7"/>
      <c r="AN191" s="7"/>
      <c r="AO191" s="7"/>
      <c r="AP191" s="14">
        <f t="shared" si="515"/>
        <v>0</v>
      </c>
      <c r="AR191" s="14">
        <f t="shared" si="518"/>
        <v>10000</v>
      </c>
      <c r="AS191" s="14">
        <f t="shared" si="519"/>
        <v>0</v>
      </c>
      <c r="AT191" s="14">
        <f t="shared" si="520"/>
        <v>0</v>
      </c>
      <c r="AU191" s="14">
        <f t="shared" si="521"/>
        <v>0</v>
      </c>
      <c r="AV191" s="14">
        <f t="shared" si="517"/>
        <v>10000</v>
      </c>
    </row>
    <row r="192" spans="1:48" ht="15.75" thickBot="1" x14ac:dyDescent="0.3">
      <c r="A192" s="95" t="s">
        <v>163</v>
      </c>
      <c r="B192" s="92">
        <f>SUM(B183:B191)</f>
        <v>22400</v>
      </c>
      <c r="C192" s="92">
        <f>SUM(C183:C191)</f>
        <v>0</v>
      </c>
      <c r="D192" s="92">
        <f t="shared" ref="D192:F192" si="522">SUM(D183:D191)</f>
        <v>0</v>
      </c>
      <c r="E192" s="92">
        <f t="shared" si="522"/>
        <v>171291.27699999997</v>
      </c>
      <c r="F192" s="92">
        <f t="shared" si="522"/>
        <v>193691.27699999997</v>
      </c>
      <c r="H192" s="92">
        <f>SUM(H183:H191)</f>
        <v>43220</v>
      </c>
      <c r="I192" s="92">
        <f>SUM(I183:I191)</f>
        <v>0</v>
      </c>
      <c r="J192" s="92">
        <f t="shared" ref="J192:L192" si="523">SUM(J183:J191)</f>
        <v>0</v>
      </c>
      <c r="K192" s="92">
        <f t="shared" si="523"/>
        <v>426196.48600000003</v>
      </c>
      <c r="L192" s="92">
        <f t="shared" si="523"/>
        <v>469416.48600000003</v>
      </c>
      <c r="N192" s="92">
        <f>SUM(N183:N191)</f>
        <v>22100</v>
      </c>
      <c r="O192" s="92">
        <f>SUM(O183:O191)</f>
        <v>0</v>
      </c>
      <c r="P192" s="92">
        <f t="shared" ref="P192:R192" si="524">SUM(P183:P191)</f>
        <v>0</v>
      </c>
      <c r="Q192" s="92">
        <f t="shared" si="524"/>
        <v>167896.288</v>
      </c>
      <c r="R192" s="92">
        <f t="shared" si="524"/>
        <v>189996.288</v>
      </c>
      <c r="T192" s="92">
        <f>SUM(T183:T191)</f>
        <v>22750</v>
      </c>
      <c r="U192" s="92">
        <f>SUM(U183:U191)</f>
        <v>0</v>
      </c>
      <c r="V192" s="92">
        <f t="shared" ref="V192:X192" si="525">SUM(V183:V191)</f>
        <v>0</v>
      </c>
      <c r="W192" s="92">
        <f t="shared" si="525"/>
        <v>94428.478000000003</v>
      </c>
      <c r="X192" s="92">
        <f t="shared" si="525"/>
        <v>117178.478</v>
      </c>
      <c r="Z192" s="92">
        <f>SUM(Z183:Z191)</f>
        <v>42650</v>
      </c>
      <c r="AA192" s="92">
        <f>SUM(AA183:AA191)</f>
        <v>0</v>
      </c>
      <c r="AB192" s="92">
        <f t="shared" ref="AB192:AD192" si="526">SUM(AB183:AB191)</f>
        <v>0</v>
      </c>
      <c r="AC192" s="92">
        <f t="shared" si="526"/>
        <v>213129.77499999997</v>
      </c>
      <c r="AD192" s="92">
        <f t="shared" si="526"/>
        <v>255779.77499999997</v>
      </c>
      <c r="AF192" s="92">
        <f>SUM(AF183:AF191)</f>
        <v>0</v>
      </c>
      <c r="AG192" s="92">
        <f>SUM(AG183:AG191)</f>
        <v>0</v>
      </c>
      <c r="AH192" s="92">
        <f t="shared" ref="AH192:AJ192" si="527">SUM(AH183:AH191)</f>
        <v>0</v>
      </c>
      <c r="AI192" s="92">
        <f t="shared" si="527"/>
        <v>0</v>
      </c>
      <c r="AJ192" s="92">
        <f t="shared" si="527"/>
        <v>0</v>
      </c>
      <c r="AL192" s="92">
        <f>SUM(AL183:AL191)</f>
        <v>20800</v>
      </c>
      <c r="AM192" s="92">
        <f>SUM(AM183:AM191)</f>
        <v>0</v>
      </c>
      <c r="AN192" s="92">
        <f t="shared" ref="AN192:AP192" si="528">SUM(AN183:AN191)</f>
        <v>0</v>
      </c>
      <c r="AO192" s="92">
        <f t="shared" si="528"/>
        <v>0</v>
      </c>
      <c r="AP192" s="92">
        <f t="shared" si="528"/>
        <v>20800</v>
      </c>
      <c r="AR192" s="92">
        <f>SUM(AR183:AR191)</f>
        <v>173920</v>
      </c>
      <c r="AS192" s="92">
        <f>SUM(AS183:AS191)</f>
        <v>0</v>
      </c>
      <c r="AT192" s="92">
        <f t="shared" ref="AT192:AV192" si="529">SUM(AT183:AT191)</f>
        <v>0</v>
      </c>
      <c r="AU192" s="92">
        <f t="shared" si="529"/>
        <v>1072942.304</v>
      </c>
      <c r="AV192" s="92">
        <f t="shared" si="529"/>
        <v>1246862.304</v>
      </c>
    </row>
    <row r="193" spans="1:48" x14ac:dyDescent="0.25">
      <c r="A193" s="101" t="s">
        <v>164</v>
      </c>
      <c r="B193" s="77" t="str">
        <f>B182</f>
        <v>Operating</v>
      </c>
      <c r="C193" s="77" t="str">
        <f>C182</f>
        <v>Weights</v>
      </c>
      <c r="D193" s="77" t="str">
        <f>D182</f>
        <v>SPED</v>
      </c>
      <c r="E193" s="77" t="str">
        <f t="shared" ref="E193:F193" si="530">E182</f>
        <v>NSLP</v>
      </c>
      <c r="F193" s="77" t="str">
        <f t="shared" si="530"/>
        <v>Horizon</v>
      </c>
      <c r="H193" s="77" t="str">
        <f>H182</f>
        <v>Operating</v>
      </c>
      <c r="I193" s="77" t="str">
        <f>I182</f>
        <v>Weights</v>
      </c>
      <c r="J193" s="77" t="str">
        <f>J182</f>
        <v>SPED</v>
      </c>
      <c r="K193" s="77" t="str">
        <f t="shared" ref="K193:L193" si="531">K182</f>
        <v>NSLP</v>
      </c>
      <c r="L193" s="77" t="str">
        <f t="shared" si="531"/>
        <v>Cadence</v>
      </c>
      <c r="N193" s="77" t="str">
        <f>N182</f>
        <v>Operating</v>
      </c>
      <c r="O193" s="77" t="str">
        <f>O182</f>
        <v>Weights</v>
      </c>
      <c r="P193" s="77" t="str">
        <f>P182</f>
        <v>SPED</v>
      </c>
      <c r="Q193" s="77" t="str">
        <f t="shared" ref="Q193:R193" si="532">Q182</f>
        <v>NSLP</v>
      </c>
      <c r="R193" s="77" t="str">
        <f t="shared" si="532"/>
        <v>St. Rose</v>
      </c>
      <c r="T193" s="77" t="str">
        <f>T182</f>
        <v>Operating</v>
      </c>
      <c r="U193" s="77" t="str">
        <f>U182</f>
        <v>Weights</v>
      </c>
      <c r="V193" s="77" t="str">
        <f>V182</f>
        <v>SPED</v>
      </c>
      <c r="W193" s="77" t="str">
        <f t="shared" ref="W193:X193" si="533">W182</f>
        <v>NSLP</v>
      </c>
      <c r="X193" s="77" t="str">
        <f t="shared" si="533"/>
        <v>Inspirada</v>
      </c>
      <c r="Z193" s="77" t="str">
        <f>Z182</f>
        <v>Operating</v>
      </c>
      <c r="AA193" s="77" t="str">
        <f>AA182</f>
        <v>Weights</v>
      </c>
      <c r="AB193" s="77" t="str">
        <f>AB182</f>
        <v>SPED</v>
      </c>
      <c r="AC193" s="77" t="str">
        <f t="shared" ref="AC193:AD193" si="534">AC182</f>
        <v>NSLP</v>
      </c>
      <c r="AD193" s="77" t="str">
        <f t="shared" si="534"/>
        <v>Sloan Canyon</v>
      </c>
      <c r="AF193" s="77" t="str">
        <f>AF182</f>
        <v>Operating</v>
      </c>
      <c r="AG193" s="77" t="str">
        <f>AG182</f>
        <v>Weights</v>
      </c>
      <c r="AH193" s="77" t="str">
        <f>AH182</f>
        <v>SPED</v>
      </c>
      <c r="AI193" s="77" t="str">
        <f t="shared" ref="AI193:AJ193" si="535">AI182</f>
        <v>NSLP</v>
      </c>
      <c r="AJ193" s="77" t="str">
        <f t="shared" si="535"/>
        <v>System Wide</v>
      </c>
      <c r="AL193" s="77" t="str">
        <f>AL182</f>
        <v>Operating</v>
      </c>
      <c r="AM193" s="77" t="str">
        <f>AM182</f>
        <v>Weights</v>
      </c>
      <c r="AN193" s="77" t="str">
        <f>AN182</f>
        <v>SPED</v>
      </c>
      <c r="AO193" s="77" t="str">
        <f t="shared" ref="AO193:AP193" si="536">AO182</f>
        <v>NSLP</v>
      </c>
      <c r="AP193" s="77" t="str">
        <f t="shared" si="536"/>
        <v>Virtual</v>
      </c>
      <c r="AR193" s="77" t="str">
        <f>AR182</f>
        <v>Operating</v>
      </c>
      <c r="AS193" s="77" t="str">
        <f>AS182</f>
        <v>Weights</v>
      </c>
      <c r="AT193" s="77" t="str">
        <f>AT182</f>
        <v>SPED</v>
      </c>
      <c r="AU193" s="77" t="str">
        <f t="shared" ref="AU193:AV193" si="537">AU182</f>
        <v>NSLP</v>
      </c>
      <c r="AV193" s="77" t="str">
        <f t="shared" si="537"/>
        <v>Pinecrest System</v>
      </c>
    </row>
    <row r="194" spans="1:48" x14ac:dyDescent="0.25">
      <c r="A194" s="62" t="s">
        <v>165</v>
      </c>
      <c r="B194" s="61">
        <f>6850*12</f>
        <v>82200</v>
      </c>
      <c r="C194" s="61"/>
      <c r="D194" s="61"/>
      <c r="E194" s="61"/>
      <c r="F194" s="61">
        <f t="shared" ref="F194:F204" si="538">SUM(B194:E194)</f>
        <v>82200</v>
      </c>
      <c r="H194" s="61">
        <f>17000*12+10000</f>
        <v>214000</v>
      </c>
      <c r="I194" s="61"/>
      <c r="J194" s="61"/>
      <c r="K194" s="61"/>
      <c r="L194" s="61">
        <f t="shared" ref="L194:L204" si="539">SUM(H194:K194)</f>
        <v>214000</v>
      </c>
      <c r="N194" s="61">
        <f>5100*12</f>
        <v>61200</v>
      </c>
      <c r="O194" s="61"/>
      <c r="P194" s="61"/>
      <c r="Q194" s="61"/>
      <c r="R194" s="61">
        <f t="shared" ref="R194:R204" si="540">SUM(N194:Q194)</f>
        <v>61200</v>
      </c>
      <c r="T194" s="61">
        <f>6125*12</f>
        <v>73500</v>
      </c>
      <c r="U194" s="61"/>
      <c r="V194" s="61"/>
      <c r="W194" s="61"/>
      <c r="X194" s="61">
        <f t="shared" ref="X194:X204" si="541">SUM(T194:W194)</f>
        <v>73500</v>
      </c>
      <c r="Z194" s="169">
        <v>215000</v>
      </c>
      <c r="AA194" s="61"/>
      <c r="AB194" s="61"/>
      <c r="AC194" s="61"/>
      <c r="AD194" s="61">
        <f t="shared" ref="AD194:AD204" si="542">SUM(Z194:AC194)</f>
        <v>215000</v>
      </c>
      <c r="AF194" s="61">
        <v>0</v>
      </c>
      <c r="AG194" s="61"/>
      <c r="AH194" s="61"/>
      <c r="AI194" s="61"/>
      <c r="AJ194" s="61">
        <f t="shared" ref="AJ194:AJ204" si="543">SUM(AF194:AI194)</f>
        <v>0</v>
      </c>
      <c r="AL194" s="61">
        <v>0</v>
      </c>
      <c r="AM194" s="61"/>
      <c r="AN194" s="61"/>
      <c r="AO194" s="61"/>
      <c r="AP194" s="61">
        <f t="shared" ref="AP194:AP204" si="544">SUM(AL194:AO194)</f>
        <v>0</v>
      </c>
      <c r="AR194" s="61">
        <f>B194+H194+N194+T194+Z194+AF194+AL194</f>
        <v>645900</v>
      </c>
      <c r="AS194" s="61">
        <f t="shared" ref="AS194:AU194" si="545">C194+I194+O194+U194+AA194+AG194+AM194</f>
        <v>0</v>
      </c>
      <c r="AT194" s="61">
        <f t="shared" si="545"/>
        <v>0</v>
      </c>
      <c r="AU194" s="61">
        <f t="shared" si="545"/>
        <v>0</v>
      </c>
      <c r="AV194" s="61">
        <f t="shared" ref="AV194:AV204" si="546">SUM(AR194:AU194)</f>
        <v>645900</v>
      </c>
    </row>
    <row r="195" spans="1:48" x14ac:dyDescent="0.25">
      <c r="A195" s="62" t="s">
        <v>166</v>
      </c>
      <c r="B195" s="7">
        <f>445*12</f>
        <v>5340</v>
      </c>
      <c r="C195" s="15"/>
      <c r="D195" s="15"/>
      <c r="E195" s="15"/>
      <c r="F195" s="61">
        <f t="shared" si="538"/>
        <v>5340</v>
      </c>
      <c r="H195" s="7">
        <v>0</v>
      </c>
      <c r="I195" s="15"/>
      <c r="J195" s="15"/>
      <c r="K195" s="15"/>
      <c r="L195" s="61">
        <f t="shared" si="539"/>
        <v>0</v>
      </c>
      <c r="N195" s="7">
        <v>0</v>
      </c>
      <c r="O195" s="15"/>
      <c r="P195" s="15"/>
      <c r="Q195" s="15"/>
      <c r="R195" s="61">
        <f t="shared" si="540"/>
        <v>0</v>
      </c>
      <c r="T195" s="7">
        <v>0</v>
      </c>
      <c r="U195" s="15"/>
      <c r="V195" s="15"/>
      <c r="W195" s="15"/>
      <c r="X195" s="61">
        <f t="shared" si="541"/>
        <v>0</v>
      </c>
      <c r="Z195" s="142"/>
      <c r="AA195" s="15"/>
      <c r="AB195" s="15"/>
      <c r="AC195" s="15"/>
      <c r="AD195" s="61">
        <f t="shared" si="542"/>
        <v>0</v>
      </c>
      <c r="AF195" s="61">
        <v>0</v>
      </c>
      <c r="AG195" s="15"/>
      <c r="AH195" s="15"/>
      <c r="AI195" s="15"/>
      <c r="AJ195" s="61">
        <f t="shared" si="543"/>
        <v>0</v>
      </c>
      <c r="AL195" s="61">
        <v>0</v>
      </c>
      <c r="AM195" s="15"/>
      <c r="AN195" s="15"/>
      <c r="AO195" s="15"/>
      <c r="AP195" s="61">
        <f t="shared" si="544"/>
        <v>0</v>
      </c>
      <c r="AR195" s="61">
        <f t="shared" ref="AR195:AR204" si="547">B195+H195+N195+T195+Z195+AF195+AL195</f>
        <v>5340</v>
      </c>
      <c r="AS195" s="61">
        <f t="shared" ref="AS195:AS204" si="548">C195+I195+O195+U195+AA195+AG195+AM195</f>
        <v>0</v>
      </c>
      <c r="AT195" s="61">
        <f t="shared" ref="AT195:AT204" si="549">D195+J195+P195+V195+AB195+AH195+AN195</f>
        <v>0</v>
      </c>
      <c r="AU195" s="61">
        <f t="shared" ref="AU195:AU204" si="550">E195+K195+Q195+W195+AC195+AI195+AO195</f>
        <v>0</v>
      </c>
      <c r="AV195" s="61">
        <f t="shared" si="546"/>
        <v>5340</v>
      </c>
    </row>
    <row r="196" spans="1:48" x14ac:dyDescent="0.25">
      <c r="A196" s="62" t="s">
        <v>167</v>
      </c>
      <c r="B196" s="7">
        <f>1875*12</f>
        <v>22500</v>
      </c>
      <c r="C196" s="7"/>
      <c r="D196" s="7"/>
      <c r="E196" s="7"/>
      <c r="F196" s="61">
        <f t="shared" si="538"/>
        <v>22500</v>
      </c>
      <c r="H196" s="7">
        <f>2830*12+3600</f>
        <v>37560</v>
      </c>
      <c r="I196" s="7"/>
      <c r="J196" s="7"/>
      <c r="K196" s="7"/>
      <c r="L196" s="61">
        <f t="shared" si="539"/>
        <v>37560</v>
      </c>
      <c r="N196" s="7">
        <f>1500*12</f>
        <v>18000</v>
      </c>
      <c r="O196" s="7"/>
      <c r="P196" s="7"/>
      <c r="Q196" s="7"/>
      <c r="R196" s="61">
        <f t="shared" si="540"/>
        <v>18000</v>
      </c>
      <c r="T196" s="7">
        <f>1350*12</f>
        <v>16200</v>
      </c>
      <c r="U196" s="7"/>
      <c r="V196" s="7"/>
      <c r="W196" s="7"/>
      <c r="X196" s="61">
        <f t="shared" si="541"/>
        <v>16200</v>
      </c>
      <c r="Z196" s="7">
        <f>2830*12+3600</f>
        <v>37560</v>
      </c>
      <c r="AA196" s="7"/>
      <c r="AB196" s="7"/>
      <c r="AC196" s="7"/>
      <c r="AD196" s="61">
        <f t="shared" si="542"/>
        <v>37560</v>
      </c>
      <c r="AF196" s="61">
        <v>0</v>
      </c>
      <c r="AG196" s="7"/>
      <c r="AH196" s="7"/>
      <c r="AI196" s="7"/>
      <c r="AJ196" s="61">
        <f t="shared" si="543"/>
        <v>0</v>
      </c>
      <c r="AL196" s="61">
        <v>0</v>
      </c>
      <c r="AM196" s="7"/>
      <c r="AN196" s="7"/>
      <c r="AO196" s="7"/>
      <c r="AP196" s="61">
        <f t="shared" si="544"/>
        <v>0</v>
      </c>
      <c r="AR196" s="61">
        <f t="shared" si="547"/>
        <v>131820</v>
      </c>
      <c r="AS196" s="61">
        <f t="shared" si="548"/>
        <v>0</v>
      </c>
      <c r="AT196" s="61">
        <f t="shared" si="549"/>
        <v>0</v>
      </c>
      <c r="AU196" s="61">
        <f t="shared" si="550"/>
        <v>0</v>
      </c>
      <c r="AV196" s="61">
        <f t="shared" si="546"/>
        <v>131820</v>
      </c>
    </row>
    <row r="197" spans="1:48" x14ac:dyDescent="0.25">
      <c r="A197" s="62" t="s">
        <v>168</v>
      </c>
      <c r="B197" s="7">
        <f>1285*12</f>
        <v>15420</v>
      </c>
      <c r="C197" s="7"/>
      <c r="D197" s="7"/>
      <c r="E197" s="7"/>
      <c r="F197" s="61">
        <f t="shared" si="538"/>
        <v>15420</v>
      </c>
      <c r="H197" s="7">
        <f>4000*12</f>
        <v>48000</v>
      </c>
      <c r="I197" s="7"/>
      <c r="J197" s="7"/>
      <c r="K197" s="7"/>
      <c r="L197" s="61">
        <f t="shared" si="539"/>
        <v>48000</v>
      </c>
      <c r="N197" s="7">
        <f>1200*12</f>
        <v>14400</v>
      </c>
      <c r="O197" s="7"/>
      <c r="P197" s="7"/>
      <c r="Q197" s="7"/>
      <c r="R197" s="61">
        <f t="shared" si="540"/>
        <v>14400</v>
      </c>
      <c r="T197" s="7">
        <f>2450*12</f>
        <v>29400</v>
      </c>
      <c r="U197" s="7"/>
      <c r="V197" s="7"/>
      <c r="W197" s="7"/>
      <c r="X197" s="61">
        <f t="shared" si="541"/>
        <v>29400</v>
      </c>
      <c r="Z197" s="7">
        <f>4000*12</f>
        <v>48000</v>
      </c>
      <c r="AA197" s="7"/>
      <c r="AB197" s="7"/>
      <c r="AC197" s="7"/>
      <c r="AD197" s="61">
        <f t="shared" si="542"/>
        <v>48000</v>
      </c>
      <c r="AF197" s="61">
        <v>0</v>
      </c>
      <c r="AG197" s="7"/>
      <c r="AH197" s="7"/>
      <c r="AI197" s="7"/>
      <c r="AJ197" s="61">
        <f t="shared" si="543"/>
        <v>0</v>
      </c>
      <c r="AL197" s="61">
        <v>0</v>
      </c>
      <c r="AM197" s="7"/>
      <c r="AN197" s="7"/>
      <c r="AO197" s="7"/>
      <c r="AP197" s="61">
        <f t="shared" si="544"/>
        <v>0</v>
      </c>
      <c r="AR197" s="61">
        <f t="shared" si="547"/>
        <v>155220</v>
      </c>
      <c r="AS197" s="61">
        <f t="shared" si="548"/>
        <v>0</v>
      </c>
      <c r="AT197" s="61">
        <f t="shared" si="549"/>
        <v>0</v>
      </c>
      <c r="AU197" s="61">
        <f t="shared" si="550"/>
        <v>0</v>
      </c>
      <c r="AV197" s="61">
        <f t="shared" si="546"/>
        <v>155220</v>
      </c>
    </row>
    <row r="198" spans="1:48" x14ac:dyDescent="0.25">
      <c r="A198" s="62" t="s">
        <v>169</v>
      </c>
      <c r="B198" s="7">
        <v>6500</v>
      </c>
      <c r="C198" s="7"/>
      <c r="D198" s="7"/>
      <c r="E198" s="7"/>
      <c r="F198" s="61">
        <f t="shared" si="538"/>
        <v>6500</v>
      </c>
      <c r="H198" s="7">
        <v>20500</v>
      </c>
      <c r="I198" s="7"/>
      <c r="J198" s="7"/>
      <c r="K198" s="7"/>
      <c r="L198" s="61">
        <f t="shared" si="539"/>
        <v>20500</v>
      </c>
      <c r="N198" s="7">
        <v>7000</v>
      </c>
      <c r="O198" s="7"/>
      <c r="P198" s="7"/>
      <c r="Q198" s="7"/>
      <c r="R198" s="61">
        <f t="shared" si="540"/>
        <v>7000</v>
      </c>
      <c r="T198" s="7">
        <v>8500</v>
      </c>
      <c r="U198" s="7"/>
      <c r="V198" s="7"/>
      <c r="W198" s="7"/>
      <c r="X198" s="61">
        <f t="shared" si="541"/>
        <v>8500</v>
      </c>
      <c r="Z198" s="7">
        <v>20000</v>
      </c>
      <c r="AA198" s="7"/>
      <c r="AB198" s="7"/>
      <c r="AC198" s="7"/>
      <c r="AD198" s="61">
        <f t="shared" si="542"/>
        <v>20000</v>
      </c>
      <c r="AF198" s="61">
        <v>0</v>
      </c>
      <c r="AG198" s="7"/>
      <c r="AH198" s="7"/>
      <c r="AI198" s="7"/>
      <c r="AJ198" s="61">
        <f t="shared" si="543"/>
        <v>0</v>
      </c>
      <c r="AL198" s="61">
        <v>0</v>
      </c>
      <c r="AM198" s="7"/>
      <c r="AN198" s="7"/>
      <c r="AO198" s="7"/>
      <c r="AP198" s="61">
        <f t="shared" si="544"/>
        <v>0</v>
      </c>
      <c r="AR198" s="61">
        <f t="shared" si="547"/>
        <v>62500</v>
      </c>
      <c r="AS198" s="61">
        <f t="shared" si="548"/>
        <v>0</v>
      </c>
      <c r="AT198" s="61">
        <f t="shared" si="549"/>
        <v>0</v>
      </c>
      <c r="AU198" s="61">
        <f t="shared" si="550"/>
        <v>0</v>
      </c>
      <c r="AV198" s="61">
        <f t="shared" si="546"/>
        <v>62500</v>
      </c>
    </row>
    <row r="199" spans="1:48" x14ac:dyDescent="0.25">
      <c r="A199" s="62" t="s">
        <v>170</v>
      </c>
      <c r="B199" s="11">
        <f>6510*12.5*1.03</f>
        <v>83816.25</v>
      </c>
      <c r="C199" s="11"/>
      <c r="D199" s="11"/>
      <c r="E199" s="11"/>
      <c r="F199" s="61">
        <f t="shared" si="538"/>
        <v>83816.25</v>
      </c>
      <c r="H199" s="11">
        <f>((19150+3295)*13*1.03)+6100</f>
        <v>306638.55</v>
      </c>
      <c r="I199" s="11"/>
      <c r="J199" s="11"/>
      <c r="K199" s="11"/>
      <c r="L199" s="61">
        <f t="shared" si="539"/>
        <v>306638.55</v>
      </c>
      <c r="N199" s="11">
        <f>7289*13*1.03</f>
        <v>97599.71</v>
      </c>
      <c r="O199" s="11"/>
      <c r="P199" s="11"/>
      <c r="Q199" s="11"/>
      <c r="R199" s="61">
        <f t="shared" si="540"/>
        <v>97599.71</v>
      </c>
      <c r="T199" s="11">
        <f>8385*13*1.03</f>
        <v>112275.15000000001</v>
      </c>
      <c r="U199" s="11"/>
      <c r="V199" s="11"/>
      <c r="W199" s="11"/>
      <c r="X199" s="61">
        <f t="shared" si="541"/>
        <v>112275.15000000001</v>
      </c>
      <c r="Z199" s="11">
        <f>((19146*13)+6100)*1.03</f>
        <v>262647.94</v>
      </c>
      <c r="AA199" s="11"/>
      <c r="AB199" s="11"/>
      <c r="AC199" s="11"/>
      <c r="AD199" s="61">
        <f t="shared" si="542"/>
        <v>262647.94</v>
      </c>
      <c r="AF199" s="61">
        <v>0</v>
      </c>
      <c r="AG199" s="11"/>
      <c r="AH199" s="11"/>
      <c r="AI199" s="11"/>
      <c r="AJ199" s="61">
        <f t="shared" si="543"/>
        <v>0</v>
      </c>
      <c r="AL199" s="61">
        <v>0</v>
      </c>
      <c r="AM199" s="11"/>
      <c r="AN199" s="11"/>
      <c r="AO199" s="11"/>
      <c r="AP199" s="61">
        <f t="shared" si="544"/>
        <v>0</v>
      </c>
      <c r="AR199" s="61">
        <f t="shared" si="547"/>
        <v>862977.60000000009</v>
      </c>
      <c r="AS199" s="61">
        <f t="shared" si="548"/>
        <v>0</v>
      </c>
      <c r="AT199" s="61">
        <f t="shared" si="549"/>
        <v>0</v>
      </c>
      <c r="AU199" s="61">
        <f t="shared" si="550"/>
        <v>0</v>
      </c>
      <c r="AV199" s="61">
        <f t="shared" si="546"/>
        <v>862977.60000000009</v>
      </c>
    </row>
    <row r="200" spans="1:48" x14ac:dyDescent="0.25">
      <c r="A200" s="62" t="s">
        <v>171</v>
      </c>
      <c r="B200" s="15">
        <f>32*B19</f>
        <v>28768</v>
      </c>
      <c r="C200" s="7"/>
      <c r="D200" s="7"/>
      <c r="E200" s="7"/>
      <c r="F200" s="61">
        <f t="shared" si="538"/>
        <v>28768</v>
      </c>
      <c r="H200" s="15">
        <f>32*H19</f>
        <v>71808</v>
      </c>
      <c r="I200" s="7"/>
      <c r="J200" s="7"/>
      <c r="K200" s="7"/>
      <c r="L200" s="61">
        <f t="shared" si="539"/>
        <v>71808</v>
      </c>
      <c r="N200" s="15">
        <f>32*N19</f>
        <v>32512</v>
      </c>
      <c r="O200" s="7"/>
      <c r="P200" s="7"/>
      <c r="Q200" s="7"/>
      <c r="R200" s="61">
        <f t="shared" si="540"/>
        <v>32512</v>
      </c>
      <c r="T200" s="15">
        <f>32*T19</f>
        <v>38368</v>
      </c>
      <c r="U200" s="7"/>
      <c r="V200" s="7"/>
      <c r="W200" s="7"/>
      <c r="X200" s="61">
        <f t="shared" si="541"/>
        <v>38368</v>
      </c>
      <c r="Z200" s="15">
        <f>32*Z19</f>
        <v>66880</v>
      </c>
      <c r="AA200" s="7"/>
      <c r="AB200" s="7"/>
      <c r="AC200" s="7"/>
      <c r="AD200" s="61">
        <f t="shared" si="542"/>
        <v>66880</v>
      </c>
      <c r="AF200" s="61">
        <v>0</v>
      </c>
      <c r="AG200" s="7"/>
      <c r="AH200" s="7"/>
      <c r="AI200" s="7"/>
      <c r="AJ200" s="61">
        <f t="shared" si="543"/>
        <v>0</v>
      </c>
      <c r="AL200" s="61">
        <v>0</v>
      </c>
      <c r="AM200" s="7"/>
      <c r="AN200" s="7"/>
      <c r="AO200" s="7"/>
      <c r="AP200" s="61">
        <f t="shared" si="544"/>
        <v>0</v>
      </c>
      <c r="AR200" s="61">
        <f t="shared" si="547"/>
        <v>238336</v>
      </c>
      <c r="AS200" s="61">
        <f t="shared" si="548"/>
        <v>0</v>
      </c>
      <c r="AT200" s="61">
        <f t="shared" si="549"/>
        <v>0</v>
      </c>
      <c r="AU200" s="61">
        <f t="shared" si="550"/>
        <v>0</v>
      </c>
      <c r="AV200" s="61">
        <f t="shared" si="546"/>
        <v>238336</v>
      </c>
    </row>
    <row r="201" spans="1:48" x14ac:dyDescent="0.25">
      <c r="A201" s="62" t="s">
        <v>173</v>
      </c>
      <c r="B201" s="7">
        <f>34000+11000+5000+5000</f>
        <v>55000</v>
      </c>
      <c r="C201" s="7"/>
      <c r="D201" s="7"/>
      <c r="E201" s="7">
        <v>0</v>
      </c>
      <c r="F201" s="61">
        <f t="shared" si="538"/>
        <v>55000</v>
      </c>
      <c r="H201" s="7">
        <f>100000+5000</f>
        <v>105000</v>
      </c>
      <c r="I201" s="7"/>
      <c r="J201" s="7"/>
      <c r="K201" s="7">
        <v>0</v>
      </c>
      <c r="L201" s="61">
        <f t="shared" si="539"/>
        <v>105000</v>
      </c>
      <c r="N201" s="7">
        <f>52500+5000</f>
        <v>57500</v>
      </c>
      <c r="O201" s="7"/>
      <c r="P201" s="7"/>
      <c r="Q201" s="7">
        <v>0</v>
      </c>
      <c r="R201" s="61">
        <f t="shared" si="540"/>
        <v>57500</v>
      </c>
      <c r="T201" s="7">
        <f>55000+5000</f>
        <v>60000</v>
      </c>
      <c r="U201" s="7"/>
      <c r="V201" s="7"/>
      <c r="W201" s="7">
        <v>0</v>
      </c>
      <c r="X201" s="61">
        <f t="shared" si="541"/>
        <v>60000</v>
      </c>
      <c r="Z201" s="7">
        <f>50000+15000</f>
        <v>65000</v>
      </c>
      <c r="AA201" s="7"/>
      <c r="AB201" s="7"/>
      <c r="AC201" s="7">
        <v>0</v>
      </c>
      <c r="AD201" s="61">
        <f t="shared" si="542"/>
        <v>65000</v>
      </c>
      <c r="AF201" s="61">
        <v>0</v>
      </c>
      <c r="AG201" s="7"/>
      <c r="AH201" s="7"/>
      <c r="AI201" s="7">
        <v>0</v>
      </c>
      <c r="AJ201" s="61">
        <f t="shared" si="543"/>
        <v>0</v>
      </c>
      <c r="AL201" s="61">
        <v>0</v>
      </c>
      <c r="AM201" s="7"/>
      <c r="AN201" s="7"/>
      <c r="AO201" s="7">
        <v>0</v>
      </c>
      <c r="AP201" s="61">
        <f t="shared" si="544"/>
        <v>0</v>
      </c>
      <c r="AR201" s="61">
        <f t="shared" si="547"/>
        <v>342500</v>
      </c>
      <c r="AS201" s="61">
        <f t="shared" si="548"/>
        <v>0</v>
      </c>
      <c r="AT201" s="61">
        <f t="shared" si="549"/>
        <v>0</v>
      </c>
      <c r="AU201" s="61">
        <f t="shared" si="550"/>
        <v>0</v>
      </c>
      <c r="AV201" s="61">
        <f t="shared" si="546"/>
        <v>342500</v>
      </c>
    </row>
    <row r="202" spans="1:48" x14ac:dyDescent="0.25">
      <c r="A202" s="62" t="s">
        <v>174</v>
      </c>
      <c r="B202" s="11">
        <f>((600*12)+4000)*1.05</f>
        <v>11760</v>
      </c>
      <c r="C202" s="11"/>
      <c r="D202" s="11"/>
      <c r="E202" s="11"/>
      <c r="F202" s="61">
        <f t="shared" si="538"/>
        <v>11760</v>
      </c>
      <c r="H202" s="7">
        <f>((1200*12)+16000)*1.05</f>
        <v>31920</v>
      </c>
      <c r="I202" s="11"/>
      <c r="J202" s="11"/>
      <c r="K202" s="11"/>
      <c r="L202" s="61">
        <f t="shared" si="539"/>
        <v>31920</v>
      </c>
      <c r="N202" s="7">
        <f>((650*12)+8000)*1.05</f>
        <v>16590</v>
      </c>
      <c r="O202" s="11"/>
      <c r="P202" s="11"/>
      <c r="Q202" s="11"/>
      <c r="R202" s="61">
        <f t="shared" si="540"/>
        <v>16590</v>
      </c>
      <c r="T202" s="7">
        <f>((625*12)+5200)*1.05</f>
        <v>13335</v>
      </c>
      <c r="U202" s="11"/>
      <c r="V202" s="11"/>
      <c r="W202" s="11"/>
      <c r="X202" s="61">
        <f t="shared" si="541"/>
        <v>13335</v>
      </c>
      <c r="Z202" s="7">
        <f>((1120*12)+12500)*1.05</f>
        <v>27237</v>
      </c>
      <c r="AA202" s="11"/>
      <c r="AB202" s="11"/>
      <c r="AC202" s="11"/>
      <c r="AD202" s="61">
        <f t="shared" si="542"/>
        <v>27237</v>
      </c>
      <c r="AF202" s="61">
        <v>0</v>
      </c>
      <c r="AG202" s="11"/>
      <c r="AH202" s="11"/>
      <c r="AI202" s="11"/>
      <c r="AJ202" s="61">
        <f t="shared" si="543"/>
        <v>0</v>
      </c>
      <c r="AL202" s="61">
        <v>0</v>
      </c>
      <c r="AM202" s="11"/>
      <c r="AN202" s="11"/>
      <c r="AO202" s="11"/>
      <c r="AP202" s="61">
        <f t="shared" si="544"/>
        <v>0</v>
      </c>
      <c r="AR202" s="61">
        <f t="shared" si="547"/>
        <v>100842</v>
      </c>
      <c r="AS202" s="61">
        <f t="shared" si="548"/>
        <v>0</v>
      </c>
      <c r="AT202" s="61">
        <f t="shared" si="549"/>
        <v>0</v>
      </c>
      <c r="AU202" s="61">
        <f t="shared" si="550"/>
        <v>0</v>
      </c>
      <c r="AV202" s="61">
        <f t="shared" si="546"/>
        <v>100842</v>
      </c>
    </row>
    <row r="203" spans="1:48" x14ac:dyDescent="0.25">
      <c r="A203" s="62" t="s">
        <v>175</v>
      </c>
      <c r="B203" s="11"/>
      <c r="C203" s="7"/>
      <c r="D203" s="7"/>
      <c r="E203" s="7"/>
      <c r="F203" s="61">
        <f t="shared" si="538"/>
        <v>0</v>
      </c>
      <c r="H203" s="7"/>
      <c r="I203" s="7"/>
      <c r="J203" s="7"/>
      <c r="K203" s="7"/>
      <c r="L203" s="61">
        <f t="shared" si="539"/>
        <v>0</v>
      </c>
      <c r="N203" s="7"/>
      <c r="O203" s="7"/>
      <c r="P203" s="7"/>
      <c r="Q203" s="7"/>
      <c r="R203" s="61">
        <f t="shared" si="540"/>
        <v>0</v>
      </c>
      <c r="T203" s="7"/>
      <c r="U203" s="7"/>
      <c r="V203" s="7"/>
      <c r="W203" s="7"/>
      <c r="X203" s="61">
        <f t="shared" si="541"/>
        <v>0</v>
      </c>
      <c r="Z203" s="7"/>
      <c r="AA203" s="7"/>
      <c r="AB203" s="7"/>
      <c r="AC203" s="7"/>
      <c r="AD203" s="61">
        <f t="shared" si="542"/>
        <v>0</v>
      </c>
      <c r="AF203" s="61">
        <v>0</v>
      </c>
      <c r="AG203" s="7"/>
      <c r="AH203" s="7"/>
      <c r="AI203" s="7"/>
      <c r="AJ203" s="61">
        <f t="shared" si="543"/>
        <v>0</v>
      </c>
      <c r="AL203" s="61">
        <v>0</v>
      </c>
      <c r="AM203" s="7"/>
      <c r="AN203" s="7"/>
      <c r="AO203" s="7"/>
      <c r="AP203" s="61">
        <f t="shared" si="544"/>
        <v>0</v>
      </c>
      <c r="AR203" s="61">
        <f t="shared" si="547"/>
        <v>0</v>
      </c>
      <c r="AS203" s="61">
        <f t="shared" si="548"/>
        <v>0</v>
      </c>
      <c r="AT203" s="61">
        <f t="shared" si="549"/>
        <v>0</v>
      </c>
      <c r="AU203" s="61">
        <f t="shared" si="550"/>
        <v>0</v>
      </c>
      <c r="AV203" s="61">
        <f t="shared" si="546"/>
        <v>0</v>
      </c>
    </row>
    <row r="204" spans="1:48" ht="15.75" thickBot="1" x14ac:dyDescent="0.3">
      <c r="A204" s="62" t="s">
        <v>176</v>
      </c>
      <c r="B204" s="86">
        <f>((537*12)+6000)*1.05</f>
        <v>13066.2</v>
      </c>
      <c r="C204" s="86"/>
      <c r="D204" s="86"/>
      <c r="E204" s="86"/>
      <c r="F204" s="61">
        <f t="shared" si="538"/>
        <v>13066.2</v>
      </c>
      <c r="H204" s="37">
        <f>((2750*12)+13500)*1.05</f>
        <v>48825</v>
      </c>
      <c r="I204" s="86"/>
      <c r="J204" s="86"/>
      <c r="K204" s="86"/>
      <c r="L204" s="61">
        <f t="shared" si="539"/>
        <v>48825</v>
      </c>
      <c r="N204" s="37">
        <f>(1200*12)*1.05</f>
        <v>15120</v>
      </c>
      <c r="O204" s="86"/>
      <c r="P204" s="86"/>
      <c r="Q204" s="86"/>
      <c r="R204" s="61">
        <f t="shared" si="540"/>
        <v>15120</v>
      </c>
      <c r="T204" s="37">
        <f>((1100*12)+4000)*1.05</f>
        <v>18060</v>
      </c>
      <c r="U204" s="86"/>
      <c r="V204" s="86"/>
      <c r="W204" s="86"/>
      <c r="X204" s="61">
        <f t="shared" si="541"/>
        <v>18060</v>
      </c>
      <c r="Z204" s="37">
        <f>((3350*12)+5500)*1.05</f>
        <v>47985</v>
      </c>
      <c r="AA204" s="86"/>
      <c r="AB204" s="86"/>
      <c r="AC204" s="86"/>
      <c r="AD204" s="61">
        <f t="shared" si="542"/>
        <v>47985</v>
      </c>
      <c r="AF204" s="61">
        <v>0</v>
      </c>
      <c r="AG204" s="86"/>
      <c r="AH204" s="86"/>
      <c r="AI204" s="86"/>
      <c r="AJ204" s="61">
        <f t="shared" si="543"/>
        <v>0</v>
      </c>
      <c r="AL204" s="61">
        <v>0</v>
      </c>
      <c r="AM204" s="86"/>
      <c r="AN204" s="86"/>
      <c r="AO204" s="86"/>
      <c r="AP204" s="61">
        <f t="shared" si="544"/>
        <v>0</v>
      </c>
      <c r="AR204" s="61">
        <f t="shared" si="547"/>
        <v>143056.20000000001</v>
      </c>
      <c r="AS204" s="61">
        <f t="shared" si="548"/>
        <v>0</v>
      </c>
      <c r="AT204" s="61">
        <f t="shared" si="549"/>
        <v>0</v>
      </c>
      <c r="AU204" s="61">
        <f t="shared" si="550"/>
        <v>0</v>
      </c>
      <c r="AV204" s="61">
        <f t="shared" si="546"/>
        <v>143056.20000000001</v>
      </c>
    </row>
    <row r="205" spans="1:48" ht="15.75" thickBot="1" x14ac:dyDescent="0.3">
      <c r="A205" s="95" t="s">
        <v>177</v>
      </c>
      <c r="B205" s="90">
        <f>SUM(B194:B204)</f>
        <v>324370.45</v>
      </c>
      <c r="C205" s="90">
        <f>SUM(C194:C204)</f>
        <v>0</v>
      </c>
      <c r="D205" s="90">
        <f>SUM(D194:D204)</f>
        <v>0</v>
      </c>
      <c r="E205" s="90">
        <f t="shared" ref="E205:F205" si="551">SUM(E194:E204)</f>
        <v>0</v>
      </c>
      <c r="F205" s="90">
        <f t="shared" si="551"/>
        <v>324370.45</v>
      </c>
      <c r="H205" s="90">
        <f>SUM(H194:H204)</f>
        <v>884251.55</v>
      </c>
      <c r="I205" s="90">
        <f>SUM(I194:I204)</f>
        <v>0</v>
      </c>
      <c r="J205" s="90">
        <f>SUM(J194:J204)</f>
        <v>0</v>
      </c>
      <c r="K205" s="90">
        <f t="shared" ref="K205:L205" si="552">SUM(K194:K204)</f>
        <v>0</v>
      </c>
      <c r="L205" s="90">
        <f t="shared" si="552"/>
        <v>884251.55</v>
      </c>
      <c r="N205" s="90">
        <f>SUM(N194:N204)</f>
        <v>319921.71000000002</v>
      </c>
      <c r="O205" s="90">
        <f>SUM(O194:O204)</f>
        <v>0</v>
      </c>
      <c r="P205" s="90">
        <f>SUM(P194:P204)</f>
        <v>0</v>
      </c>
      <c r="Q205" s="90">
        <f t="shared" ref="Q205:R205" si="553">SUM(Q194:Q204)</f>
        <v>0</v>
      </c>
      <c r="R205" s="90">
        <f t="shared" si="553"/>
        <v>319921.71000000002</v>
      </c>
      <c r="T205" s="90">
        <f>SUM(T194:T204)</f>
        <v>369638.15</v>
      </c>
      <c r="U205" s="90">
        <f>SUM(U194:U204)</f>
        <v>0</v>
      </c>
      <c r="V205" s="90">
        <f>SUM(V194:V204)</f>
        <v>0</v>
      </c>
      <c r="W205" s="90">
        <f t="shared" ref="W205:X205" si="554">SUM(W194:W204)</f>
        <v>0</v>
      </c>
      <c r="X205" s="90">
        <f t="shared" si="554"/>
        <v>369638.15</v>
      </c>
      <c r="Z205" s="90">
        <f>SUM(Z194:Z204)</f>
        <v>790309.94</v>
      </c>
      <c r="AA205" s="90">
        <f>SUM(AA194:AA204)</f>
        <v>0</v>
      </c>
      <c r="AB205" s="90">
        <f>SUM(AB194:AB204)</f>
        <v>0</v>
      </c>
      <c r="AC205" s="90">
        <f t="shared" ref="AC205:AD205" si="555">SUM(AC194:AC204)</f>
        <v>0</v>
      </c>
      <c r="AD205" s="90">
        <f t="shared" si="555"/>
        <v>790309.94</v>
      </c>
      <c r="AF205" s="90">
        <f>SUM(AF194:AF204)</f>
        <v>0</v>
      </c>
      <c r="AG205" s="90">
        <f>SUM(AG194:AG204)</f>
        <v>0</v>
      </c>
      <c r="AH205" s="90">
        <f>SUM(AH194:AH204)</f>
        <v>0</v>
      </c>
      <c r="AI205" s="90">
        <f t="shared" ref="AI205:AJ205" si="556">SUM(AI194:AI204)</f>
        <v>0</v>
      </c>
      <c r="AJ205" s="90">
        <f t="shared" si="556"/>
        <v>0</v>
      </c>
      <c r="AL205" s="90">
        <f>SUM(AL194:AL204)</f>
        <v>0</v>
      </c>
      <c r="AM205" s="90">
        <f>SUM(AM194:AM204)</f>
        <v>0</v>
      </c>
      <c r="AN205" s="90">
        <f>SUM(AN194:AN204)</f>
        <v>0</v>
      </c>
      <c r="AO205" s="90">
        <f t="shared" ref="AO205:AP205" si="557">SUM(AO194:AO204)</f>
        <v>0</v>
      </c>
      <c r="AP205" s="90">
        <f t="shared" si="557"/>
        <v>0</v>
      </c>
      <c r="AR205" s="90">
        <f>SUM(AR194:AR204)</f>
        <v>2688491.8000000003</v>
      </c>
      <c r="AS205" s="90">
        <f>SUM(AS194:AS204)</f>
        <v>0</v>
      </c>
      <c r="AT205" s="90">
        <f>SUM(AT194:AT204)</f>
        <v>0</v>
      </c>
      <c r="AU205" s="90">
        <f t="shared" ref="AU205:AV205" si="558">SUM(AU194:AU204)</f>
        <v>0</v>
      </c>
      <c r="AV205" s="90">
        <f t="shared" si="558"/>
        <v>2688491.8000000003</v>
      </c>
    </row>
    <row r="206" spans="1:48" ht="15.75" thickBot="1" x14ac:dyDescent="0.3">
      <c r="A206" s="102"/>
      <c r="B206" s="103"/>
      <c r="C206" s="103"/>
      <c r="D206" s="103"/>
      <c r="E206" s="103"/>
      <c r="F206" s="103"/>
      <c r="H206" s="103"/>
      <c r="I206" s="103"/>
      <c r="J206" s="103"/>
      <c r="K206" s="103"/>
      <c r="L206" s="103"/>
      <c r="N206" s="103"/>
      <c r="O206" s="103"/>
      <c r="P206" s="103"/>
      <c r="Q206" s="103"/>
      <c r="R206" s="103"/>
      <c r="T206" s="103"/>
      <c r="U206" s="103"/>
      <c r="V206" s="103"/>
      <c r="W206" s="103"/>
      <c r="X206" s="103"/>
      <c r="Z206" s="103"/>
      <c r="AA206" s="103"/>
      <c r="AB206" s="103"/>
      <c r="AC206" s="103"/>
      <c r="AD206" s="103"/>
      <c r="AF206" s="103"/>
      <c r="AG206" s="103"/>
      <c r="AH206" s="103"/>
      <c r="AI206" s="103"/>
      <c r="AJ206" s="103"/>
      <c r="AL206" s="103"/>
      <c r="AM206" s="103"/>
      <c r="AN206" s="103"/>
      <c r="AO206" s="103"/>
      <c r="AP206" s="103"/>
      <c r="AR206" s="103"/>
      <c r="AS206" s="103"/>
      <c r="AT206" s="103"/>
      <c r="AU206" s="103"/>
      <c r="AV206" s="103"/>
    </row>
    <row r="207" spans="1:48" ht="15.75" thickBot="1" x14ac:dyDescent="0.3">
      <c r="A207" s="95" t="s">
        <v>178</v>
      </c>
      <c r="B207" s="104">
        <f>B139+B151+B167+B176+B181+B192+B205</f>
        <v>5024074.4880214082</v>
      </c>
      <c r="C207" s="104">
        <f>C139+C151+C167+C176+C181+C192+C205</f>
        <v>196587.06438599998</v>
      </c>
      <c r="D207" s="104">
        <f>D139+D151+D167+D176+D181+D192+D205</f>
        <v>815335.90286000003</v>
      </c>
      <c r="E207" s="104">
        <f>E139+E151+E167+E176+E181+E192+E205</f>
        <v>200845.19699999999</v>
      </c>
      <c r="F207" s="104">
        <f>F139+F151+F167+F176+F181+F192+F205</f>
        <v>6236842.6522674076</v>
      </c>
      <c r="H207" s="104">
        <f>H139+H151+H167+H176+H181+H192+H205</f>
        <v>12269557.95740425</v>
      </c>
      <c r="I207" s="104">
        <f>I139+I151+I167+I176+I181+I192+I205</f>
        <v>229570.99148500004</v>
      </c>
      <c r="J207" s="104">
        <f>J139+J151+J167+J176+J181+J192+J205</f>
        <v>2038717.615</v>
      </c>
      <c r="K207" s="104">
        <f>K139+K151+K167+K176+K181+K192+K205</f>
        <v>515656.48600000003</v>
      </c>
      <c r="L207" s="104">
        <f>L139+L151+L167+L176+L181+L192+L205</f>
        <v>15053503.04988925</v>
      </c>
      <c r="N207" s="104">
        <f>N139+N151+N167+N176+N181+N192+N205</f>
        <v>5333712.2991494993</v>
      </c>
      <c r="O207" s="104">
        <f>O139+O151+O167+O176+O181+O192+O205</f>
        <v>278528.59845500003</v>
      </c>
      <c r="P207" s="104">
        <f>P139+P151+P167+P176+P181+P192+P205</f>
        <v>762172.24879999994</v>
      </c>
      <c r="Q207" s="104">
        <f>Q139+Q151+Q167+Q176+Q181+Q192+Q205</f>
        <v>195204.88800000001</v>
      </c>
      <c r="R207" s="104">
        <f>R139+R151+R167+R176+R181+R192+R205</f>
        <v>6569618.0344044995</v>
      </c>
      <c r="T207" s="104">
        <f>T139+T151+T167+T176+T181+T192+T205</f>
        <v>6495213.5395495007</v>
      </c>
      <c r="U207" s="104">
        <f>U139+U151+U167+U176+U181+U192+U205</f>
        <v>182836.67749999999</v>
      </c>
      <c r="V207" s="104">
        <f>V139+V151+V167+V176+V181+V192+V205</f>
        <v>839456.62239999999</v>
      </c>
      <c r="W207" s="104">
        <f>W139+W151+W167+W176+W181+W192+W205</f>
        <v>121358.978</v>
      </c>
      <c r="X207" s="104">
        <f>X139+X151+X167+X176+X181+X192+X205</f>
        <v>7638865.8174494999</v>
      </c>
      <c r="Z207" s="104">
        <f>Z139+Z151+Z167+Z176+Z181+Z192+Z205</f>
        <v>10828002.244929997</v>
      </c>
      <c r="AA207" s="104">
        <f>AA139+AA151+AA167+AA176+AA181+AA192+AA205</f>
        <v>189825.82499999998</v>
      </c>
      <c r="AB207" s="104">
        <f>AB139+AB151+AB167+AB176+AB181+AB192+AB205</f>
        <v>1626073.2602000001</v>
      </c>
      <c r="AC207" s="104">
        <f>AC139+AC151+AC167+AC176+AC181+AC192+AC205</f>
        <v>272257.77499999997</v>
      </c>
      <c r="AD207" s="104">
        <f>AD139+AD151+AD167+AD176+AD181+AD192+AD205</f>
        <v>12916159.10513</v>
      </c>
      <c r="AF207" s="104">
        <f>AF139+AF151+AF167+AF176+AF181+AF192+AF205</f>
        <v>245893.47999999998</v>
      </c>
      <c r="AG207" s="104">
        <f>AG139+AG151+AG167+AG176+AG181+AG192+AG205</f>
        <v>38979.774999999994</v>
      </c>
      <c r="AH207" s="104">
        <f>AH139+AH151+AH167+AH176+AH181+AH192+AH205</f>
        <v>0</v>
      </c>
      <c r="AI207" s="104">
        <f>AI139+AI151+AI167+AI176+AI181+AI192+AI205</f>
        <v>0</v>
      </c>
      <c r="AJ207" s="104">
        <f>AJ139+AJ151+AJ167+AJ176+AJ181+AJ192+AJ205</f>
        <v>284873.255</v>
      </c>
      <c r="AL207" s="104">
        <f>AL139+AL151+AL167+AL176+AL181+AL192+AL205</f>
        <v>489972.54</v>
      </c>
      <c r="AM207" s="104">
        <f>AM139+AM151+AM167+AM176+AM181+AM192+AM205</f>
        <v>6000</v>
      </c>
      <c r="AN207" s="104">
        <f>AN139+AN151+AN167+AN176+AN181+AN192+AN205</f>
        <v>64419.6</v>
      </c>
      <c r="AO207" s="104">
        <f>AO139+AO151+AO167+AO176+AO181+AO192+AO205</f>
        <v>0</v>
      </c>
      <c r="AP207" s="104">
        <f>AP139+AP151+AP167+AP176+AP181+AP192+AP205</f>
        <v>560392.14</v>
      </c>
      <c r="AR207" s="104">
        <f>AR139+AR151+AR167+AR176+AR181+AR192+AR205</f>
        <v>40686426.549054652</v>
      </c>
      <c r="AS207" s="104">
        <f>AS139+AS151+AS167+AS176+AS181+AS192+AS205</f>
        <v>1122328.9318260001</v>
      </c>
      <c r="AT207" s="104">
        <f>AT139+AT151+AT167+AT176+AT181+AT192+AT205</f>
        <v>6146175.24926</v>
      </c>
      <c r="AU207" s="104">
        <f>AU139+AU151+AU167+AU176+AU181+AU192+AU205</f>
        <v>1305323.324</v>
      </c>
      <c r="AV207" s="104">
        <f>AV139+AV151+AV167+AV176+AV181+AV192+AV205</f>
        <v>49260254.05414065</v>
      </c>
    </row>
    <row r="208" spans="1:48" x14ac:dyDescent="0.25">
      <c r="A208" s="105"/>
      <c r="B208" s="61"/>
      <c r="C208" s="61"/>
      <c r="D208" s="61"/>
      <c r="E208" s="61"/>
      <c r="F208" s="61"/>
      <c r="H208" s="61"/>
      <c r="I208" s="61"/>
      <c r="J208" s="61"/>
      <c r="K208" s="61"/>
      <c r="L208" s="61"/>
      <c r="N208" s="61"/>
      <c r="O208" s="61"/>
      <c r="P208" s="61"/>
      <c r="Q208" s="61"/>
      <c r="R208" s="61"/>
      <c r="T208" s="61"/>
      <c r="U208" s="61"/>
      <c r="V208" s="61"/>
      <c r="W208" s="61"/>
      <c r="X208" s="61"/>
      <c r="Z208" s="61"/>
      <c r="AA208" s="61"/>
      <c r="AB208" s="61"/>
      <c r="AC208" s="61"/>
      <c r="AD208" s="61"/>
      <c r="AF208" s="61"/>
      <c r="AG208" s="61"/>
      <c r="AH208" s="61"/>
      <c r="AI208" s="61"/>
      <c r="AJ208" s="61"/>
      <c r="AL208" s="61"/>
      <c r="AM208" s="61"/>
      <c r="AN208" s="61"/>
      <c r="AO208" s="61"/>
      <c r="AP208" s="61"/>
      <c r="AR208" s="61"/>
      <c r="AS208" s="61"/>
      <c r="AT208" s="61"/>
      <c r="AU208" s="61"/>
      <c r="AV208" s="61"/>
    </row>
    <row r="209" spans="1:48" x14ac:dyDescent="0.25">
      <c r="A209" s="106" t="s">
        <v>179</v>
      </c>
      <c r="B209" s="7">
        <v>0</v>
      </c>
      <c r="C209" s="7"/>
      <c r="D209" s="7"/>
      <c r="E209" s="7"/>
      <c r="F209" s="7">
        <f t="shared" ref="F209:F218" si="559">SUM(B209:E209)</f>
        <v>0</v>
      </c>
      <c r="H209" s="7">
        <v>0</v>
      </c>
      <c r="I209" s="7"/>
      <c r="J209" s="7"/>
      <c r="K209" s="7"/>
      <c r="L209" s="7">
        <f t="shared" ref="L209:L218" si="560">SUM(H209:K209)</f>
        <v>0</v>
      </c>
      <c r="N209" s="7">
        <v>0</v>
      </c>
      <c r="O209" s="7"/>
      <c r="P209" s="7"/>
      <c r="Q209" s="7"/>
      <c r="R209" s="7">
        <f t="shared" ref="R209:R218" si="561">SUM(N209:Q209)</f>
        <v>0</v>
      </c>
      <c r="T209" s="7">
        <v>0</v>
      </c>
      <c r="U209" s="7"/>
      <c r="V209" s="7"/>
      <c r="W209" s="7"/>
      <c r="X209" s="7">
        <f t="shared" ref="X209:X218" si="562">SUM(T209:W209)</f>
        <v>0</v>
      </c>
      <c r="Z209" s="7">
        <v>0</v>
      </c>
      <c r="AA209" s="7"/>
      <c r="AB209" s="7"/>
      <c r="AC209" s="7"/>
      <c r="AD209" s="7">
        <f t="shared" ref="AD209:AD218" si="563">SUM(Z209:AC209)</f>
        <v>0</v>
      </c>
      <c r="AF209" s="7">
        <v>0</v>
      </c>
      <c r="AG209" s="7"/>
      <c r="AH209" s="7"/>
      <c r="AI209" s="7"/>
      <c r="AJ209" s="7">
        <f t="shared" ref="AJ209:AJ218" si="564">SUM(AF209:AI209)</f>
        <v>0</v>
      </c>
      <c r="AL209" s="7">
        <v>0</v>
      </c>
      <c r="AM209" s="7"/>
      <c r="AN209" s="7"/>
      <c r="AO209" s="7"/>
      <c r="AP209" s="7">
        <f t="shared" ref="AP209:AP218" si="565">SUM(AL209:AO209)</f>
        <v>0</v>
      </c>
      <c r="AR209" s="7">
        <f>B209+H209+N209+T209+Z209+AF209+AL209</f>
        <v>0</v>
      </c>
      <c r="AS209" s="7">
        <f t="shared" ref="AS209:AU209" si="566">C209+I209+O209+U209+AA209+AG209+AM209</f>
        <v>0</v>
      </c>
      <c r="AT209" s="7">
        <f t="shared" si="566"/>
        <v>0</v>
      </c>
      <c r="AU209" s="7">
        <f t="shared" si="566"/>
        <v>0</v>
      </c>
      <c r="AV209" s="7">
        <f t="shared" ref="AV209:AV218" si="567">SUM(AR209:AU209)</f>
        <v>0</v>
      </c>
    </row>
    <row r="210" spans="1:48" s="212" customFormat="1" x14ac:dyDescent="0.25">
      <c r="A210" s="210" t="s">
        <v>255</v>
      </c>
      <c r="B210" s="15">
        <v>861420</v>
      </c>
      <c r="C210" s="15">
        <v>0</v>
      </c>
      <c r="D210" s="15"/>
      <c r="E210" s="15"/>
      <c r="F210" s="15">
        <f t="shared" si="559"/>
        <v>861420</v>
      </c>
      <c r="G210" s="211"/>
      <c r="H210" s="15">
        <v>0</v>
      </c>
      <c r="I210" s="15">
        <v>0</v>
      </c>
      <c r="J210" s="15"/>
      <c r="K210" s="15"/>
      <c r="L210" s="15">
        <f t="shared" si="560"/>
        <v>0</v>
      </c>
      <c r="M210" s="211"/>
      <c r="N210" s="15">
        <v>957200</v>
      </c>
      <c r="O210" s="15">
        <v>0</v>
      </c>
      <c r="P210" s="15"/>
      <c r="Q210" s="15"/>
      <c r="R210" s="15">
        <f t="shared" si="561"/>
        <v>957200</v>
      </c>
      <c r="S210" s="211"/>
      <c r="T210" s="7">
        <v>1148600</v>
      </c>
      <c r="U210" s="15">
        <v>0</v>
      </c>
      <c r="V210" s="15"/>
      <c r="W210" s="15"/>
      <c r="X210" s="15">
        <f t="shared" si="562"/>
        <v>1148600</v>
      </c>
      <c r="Y210" s="211"/>
      <c r="Z210" s="15">
        <v>0</v>
      </c>
      <c r="AA210" s="15">
        <v>0</v>
      </c>
      <c r="AB210" s="15"/>
      <c r="AC210" s="15"/>
      <c r="AD210" s="15">
        <f t="shared" si="563"/>
        <v>0</v>
      </c>
      <c r="AE210" s="211"/>
      <c r="AF210" s="15">
        <v>0</v>
      </c>
      <c r="AG210" s="15">
        <v>0</v>
      </c>
      <c r="AH210" s="15"/>
      <c r="AI210" s="15"/>
      <c r="AJ210" s="15">
        <f t="shared" si="564"/>
        <v>0</v>
      </c>
      <c r="AK210" s="211"/>
      <c r="AL210" s="7">
        <v>0</v>
      </c>
      <c r="AM210" s="7">
        <v>0</v>
      </c>
      <c r="AN210" s="7"/>
      <c r="AO210" s="7"/>
      <c r="AP210" s="7">
        <f t="shared" si="565"/>
        <v>0</v>
      </c>
      <c r="AQ210"/>
      <c r="AR210" s="7">
        <f t="shared" ref="AR210:AR219" si="568">B210+H210+N210+T210+Z210+AF210+AL210</f>
        <v>2967220</v>
      </c>
      <c r="AS210" s="7">
        <f t="shared" ref="AS210:AS219" si="569">C210+I210+O210+U210+AA210+AG210+AM210</f>
        <v>0</v>
      </c>
      <c r="AT210" s="7">
        <f t="shared" ref="AT210:AT219" si="570">D210+J210+P210+V210+AB210+AH210+AN210</f>
        <v>0</v>
      </c>
      <c r="AU210" s="7">
        <f t="shared" ref="AU210:AU219" si="571">E210+K210+Q210+W210+AC210+AI210+AO210</f>
        <v>0</v>
      </c>
      <c r="AV210" s="15">
        <f t="shared" si="567"/>
        <v>2967220</v>
      </c>
    </row>
    <row r="211" spans="1:48" x14ac:dyDescent="0.25">
      <c r="A211" s="210" t="s">
        <v>256</v>
      </c>
      <c r="B211" s="7"/>
      <c r="C211" s="7"/>
      <c r="D211" s="7"/>
      <c r="E211" s="7"/>
      <c r="F211" s="7">
        <f t="shared" si="559"/>
        <v>0</v>
      </c>
      <c r="H211" s="7">
        <v>2492800</v>
      </c>
      <c r="I211" s="7"/>
      <c r="J211" s="7"/>
      <c r="K211" s="7"/>
      <c r="L211" s="7">
        <f t="shared" si="560"/>
        <v>2492800</v>
      </c>
      <c r="N211" s="7"/>
      <c r="O211" s="7"/>
      <c r="P211" s="7"/>
      <c r="Q211" s="7"/>
      <c r="R211" s="7">
        <f t="shared" si="561"/>
        <v>0</v>
      </c>
      <c r="T211" s="7"/>
      <c r="U211" s="7"/>
      <c r="V211" s="7"/>
      <c r="W211" s="7"/>
      <c r="X211" s="7">
        <f t="shared" si="562"/>
        <v>0</v>
      </c>
      <c r="Z211" s="7"/>
      <c r="AA211" s="7"/>
      <c r="AB211" s="7"/>
      <c r="AC211" s="7"/>
      <c r="AD211" s="7">
        <f t="shared" si="563"/>
        <v>0</v>
      </c>
      <c r="AF211" s="7"/>
      <c r="AG211" s="7"/>
      <c r="AH211" s="7"/>
      <c r="AI211" s="7"/>
      <c r="AJ211" s="7">
        <f t="shared" si="564"/>
        <v>0</v>
      </c>
      <c r="AL211" s="7"/>
      <c r="AM211" s="7"/>
      <c r="AN211" s="7"/>
      <c r="AO211" s="7"/>
      <c r="AP211" s="7">
        <f t="shared" si="565"/>
        <v>0</v>
      </c>
      <c r="AR211" s="7">
        <f t="shared" si="568"/>
        <v>2492800</v>
      </c>
      <c r="AS211" s="7">
        <f t="shared" si="569"/>
        <v>0</v>
      </c>
      <c r="AT211" s="7">
        <f t="shared" si="570"/>
        <v>0</v>
      </c>
      <c r="AU211" s="7">
        <f t="shared" si="571"/>
        <v>0</v>
      </c>
      <c r="AV211" s="7">
        <f t="shared" si="567"/>
        <v>2492800</v>
      </c>
    </row>
    <row r="212" spans="1:48" hidden="1" x14ac:dyDescent="0.25">
      <c r="A212" s="210"/>
      <c r="B212" s="7"/>
      <c r="C212" s="7"/>
      <c r="D212" s="7"/>
      <c r="E212" s="7"/>
      <c r="F212" s="7">
        <f t="shared" si="559"/>
        <v>0</v>
      </c>
      <c r="H212" s="7"/>
      <c r="I212" s="7"/>
      <c r="J212" s="7"/>
      <c r="K212" s="7"/>
      <c r="L212" s="7">
        <f t="shared" si="560"/>
        <v>0</v>
      </c>
      <c r="N212" s="7"/>
      <c r="O212" s="7"/>
      <c r="P212" s="7"/>
      <c r="Q212" s="7"/>
      <c r="R212" s="7">
        <f t="shared" si="561"/>
        <v>0</v>
      </c>
      <c r="T212" s="7"/>
      <c r="U212" s="7"/>
      <c r="V212" s="7"/>
      <c r="W212" s="7"/>
      <c r="X212" s="7">
        <f t="shared" si="562"/>
        <v>0</v>
      </c>
      <c r="Z212" s="7"/>
      <c r="AA212" s="7"/>
      <c r="AB212" s="7"/>
      <c r="AC212" s="7"/>
      <c r="AD212" s="7">
        <f t="shared" si="563"/>
        <v>0</v>
      </c>
      <c r="AF212" s="7"/>
      <c r="AG212" s="7"/>
      <c r="AH212" s="7"/>
      <c r="AI212" s="7"/>
      <c r="AJ212" s="7">
        <f t="shared" si="564"/>
        <v>0</v>
      </c>
      <c r="AL212" s="7"/>
      <c r="AM212" s="7"/>
      <c r="AN212" s="7"/>
      <c r="AO212" s="7"/>
      <c r="AP212" s="7">
        <f t="shared" si="565"/>
        <v>0</v>
      </c>
      <c r="AR212" s="7">
        <f t="shared" si="568"/>
        <v>0</v>
      </c>
      <c r="AS212" s="7">
        <f t="shared" si="569"/>
        <v>0</v>
      </c>
      <c r="AT212" s="7">
        <f t="shared" si="570"/>
        <v>0</v>
      </c>
      <c r="AU212" s="7">
        <f t="shared" si="571"/>
        <v>0</v>
      </c>
      <c r="AV212" s="7">
        <f t="shared" si="567"/>
        <v>0</v>
      </c>
    </row>
    <row r="213" spans="1:48" hidden="1" x14ac:dyDescent="0.25">
      <c r="A213" s="106"/>
      <c r="B213" s="7"/>
      <c r="C213" s="7"/>
      <c r="D213" s="7"/>
      <c r="E213" s="7"/>
      <c r="F213" s="7">
        <f t="shared" si="559"/>
        <v>0</v>
      </c>
      <c r="H213" s="7"/>
      <c r="I213" s="7"/>
      <c r="J213" s="7"/>
      <c r="K213" s="7"/>
      <c r="L213" s="7">
        <f t="shared" si="560"/>
        <v>0</v>
      </c>
      <c r="N213" s="7"/>
      <c r="O213" s="7"/>
      <c r="P213" s="7"/>
      <c r="Q213" s="7"/>
      <c r="R213" s="7">
        <f t="shared" si="561"/>
        <v>0</v>
      </c>
      <c r="T213" s="7"/>
      <c r="U213" s="7"/>
      <c r="V213" s="7"/>
      <c r="W213" s="7"/>
      <c r="X213" s="7">
        <f t="shared" si="562"/>
        <v>0</v>
      </c>
      <c r="Z213" s="7"/>
      <c r="AA213" s="7"/>
      <c r="AB213" s="7"/>
      <c r="AC213" s="7"/>
      <c r="AD213" s="7">
        <f t="shared" si="563"/>
        <v>0</v>
      </c>
      <c r="AF213" s="7"/>
      <c r="AG213" s="7"/>
      <c r="AH213" s="7"/>
      <c r="AI213" s="7"/>
      <c r="AJ213" s="7">
        <f t="shared" si="564"/>
        <v>0</v>
      </c>
      <c r="AL213" s="7"/>
      <c r="AM213" s="7"/>
      <c r="AN213" s="7"/>
      <c r="AO213" s="7"/>
      <c r="AP213" s="7">
        <f t="shared" si="565"/>
        <v>0</v>
      </c>
      <c r="AR213" s="7">
        <f t="shared" si="568"/>
        <v>0</v>
      </c>
      <c r="AS213" s="7">
        <f t="shared" si="569"/>
        <v>0</v>
      </c>
      <c r="AT213" s="7">
        <f t="shared" si="570"/>
        <v>0</v>
      </c>
      <c r="AU213" s="7">
        <f t="shared" si="571"/>
        <v>0</v>
      </c>
      <c r="AV213" s="7">
        <f t="shared" si="567"/>
        <v>0</v>
      </c>
    </row>
    <row r="214" spans="1:48" hidden="1" x14ac:dyDescent="0.25">
      <c r="A214" s="106"/>
      <c r="B214" s="7"/>
      <c r="C214" s="7"/>
      <c r="D214" s="7"/>
      <c r="E214" s="7"/>
      <c r="F214" s="7">
        <f t="shared" si="559"/>
        <v>0</v>
      </c>
      <c r="H214" s="7"/>
      <c r="I214" s="7"/>
      <c r="J214" s="7"/>
      <c r="K214" s="7"/>
      <c r="L214" s="7">
        <f t="shared" si="560"/>
        <v>0</v>
      </c>
      <c r="N214" s="7"/>
      <c r="O214" s="7"/>
      <c r="P214" s="7"/>
      <c r="Q214" s="7"/>
      <c r="R214" s="7">
        <f t="shared" si="561"/>
        <v>0</v>
      </c>
      <c r="T214" s="7"/>
      <c r="U214" s="7"/>
      <c r="V214" s="7"/>
      <c r="W214" s="7"/>
      <c r="X214" s="7">
        <f t="shared" si="562"/>
        <v>0</v>
      </c>
      <c r="Z214" s="7"/>
      <c r="AA214" s="7"/>
      <c r="AB214" s="7"/>
      <c r="AC214" s="7"/>
      <c r="AD214" s="7">
        <f t="shared" si="563"/>
        <v>0</v>
      </c>
      <c r="AF214" s="7"/>
      <c r="AG214" s="7"/>
      <c r="AH214" s="7"/>
      <c r="AI214" s="7"/>
      <c r="AJ214" s="7">
        <f t="shared" si="564"/>
        <v>0</v>
      </c>
      <c r="AL214" s="7"/>
      <c r="AM214" s="7"/>
      <c r="AN214" s="7"/>
      <c r="AO214" s="7"/>
      <c r="AP214" s="7">
        <f t="shared" si="565"/>
        <v>0</v>
      </c>
      <c r="AR214" s="7">
        <f t="shared" si="568"/>
        <v>0</v>
      </c>
      <c r="AS214" s="7">
        <f t="shared" si="569"/>
        <v>0</v>
      </c>
      <c r="AT214" s="7">
        <f t="shared" si="570"/>
        <v>0</v>
      </c>
      <c r="AU214" s="7">
        <f t="shared" si="571"/>
        <v>0</v>
      </c>
      <c r="AV214" s="7">
        <f t="shared" si="567"/>
        <v>0</v>
      </c>
    </row>
    <row r="215" spans="1:48" hidden="1" x14ac:dyDescent="0.25">
      <c r="A215" s="106"/>
      <c r="B215" s="7"/>
      <c r="C215" s="7"/>
      <c r="D215" s="7"/>
      <c r="E215" s="7"/>
      <c r="F215" s="7">
        <f t="shared" si="559"/>
        <v>0</v>
      </c>
      <c r="H215" s="7"/>
      <c r="I215" s="7"/>
      <c r="J215" s="7"/>
      <c r="K215" s="7"/>
      <c r="L215" s="7">
        <f t="shared" si="560"/>
        <v>0</v>
      </c>
      <c r="N215" s="7"/>
      <c r="O215" s="7"/>
      <c r="P215" s="7"/>
      <c r="Q215" s="7"/>
      <c r="R215" s="7">
        <f t="shared" si="561"/>
        <v>0</v>
      </c>
      <c r="T215" s="7"/>
      <c r="U215" s="7"/>
      <c r="V215" s="7"/>
      <c r="W215" s="7"/>
      <c r="X215" s="7">
        <f t="shared" si="562"/>
        <v>0</v>
      </c>
      <c r="Z215" s="7"/>
      <c r="AA215" s="7"/>
      <c r="AB215" s="7"/>
      <c r="AC215" s="7"/>
      <c r="AD215" s="7">
        <f t="shared" si="563"/>
        <v>0</v>
      </c>
      <c r="AF215" s="7"/>
      <c r="AG215" s="7"/>
      <c r="AH215" s="7"/>
      <c r="AI215" s="7"/>
      <c r="AJ215" s="7">
        <f t="shared" si="564"/>
        <v>0</v>
      </c>
      <c r="AL215" s="7"/>
      <c r="AM215" s="7"/>
      <c r="AN215" s="7"/>
      <c r="AO215" s="7"/>
      <c r="AP215" s="7">
        <f t="shared" si="565"/>
        <v>0</v>
      </c>
      <c r="AR215" s="7">
        <f t="shared" si="568"/>
        <v>0</v>
      </c>
      <c r="AS215" s="7">
        <f t="shared" si="569"/>
        <v>0</v>
      </c>
      <c r="AT215" s="7">
        <f t="shared" si="570"/>
        <v>0</v>
      </c>
      <c r="AU215" s="7">
        <f t="shared" si="571"/>
        <v>0</v>
      </c>
      <c r="AV215" s="7">
        <f t="shared" si="567"/>
        <v>0</v>
      </c>
    </row>
    <row r="216" spans="1:48" x14ac:dyDescent="0.25">
      <c r="A216" s="106" t="s">
        <v>256</v>
      </c>
      <c r="B216" s="7"/>
      <c r="C216" s="7"/>
      <c r="D216" s="7"/>
      <c r="E216" s="7"/>
      <c r="F216" s="7">
        <f t="shared" si="559"/>
        <v>0</v>
      </c>
      <c r="H216" s="7"/>
      <c r="I216" s="7"/>
      <c r="J216" s="7"/>
      <c r="K216" s="7"/>
      <c r="L216" s="7">
        <f t="shared" si="560"/>
        <v>0</v>
      </c>
      <c r="N216" s="7"/>
      <c r="O216" s="7"/>
      <c r="P216" s="7"/>
      <c r="Q216" s="7"/>
      <c r="R216" s="7">
        <f t="shared" si="561"/>
        <v>0</v>
      </c>
      <c r="T216" s="7"/>
      <c r="U216" s="7"/>
      <c r="V216" s="7"/>
      <c r="W216" s="7"/>
      <c r="X216" s="7">
        <f t="shared" si="562"/>
        <v>0</v>
      </c>
      <c r="Z216" s="7">
        <v>2963100</v>
      </c>
      <c r="AA216" s="7"/>
      <c r="AB216" s="7"/>
      <c r="AC216" s="7"/>
      <c r="AD216" s="7">
        <f t="shared" si="563"/>
        <v>2963100</v>
      </c>
      <c r="AF216" s="7">
        <v>0</v>
      </c>
      <c r="AG216" s="7"/>
      <c r="AH216" s="7"/>
      <c r="AI216" s="7"/>
      <c r="AJ216" s="7">
        <f t="shared" si="564"/>
        <v>0</v>
      </c>
      <c r="AL216" s="7"/>
      <c r="AM216" s="7"/>
      <c r="AN216" s="7"/>
      <c r="AO216" s="7"/>
      <c r="AP216" s="7">
        <f t="shared" si="565"/>
        <v>0</v>
      </c>
      <c r="AR216" s="7">
        <f t="shared" si="568"/>
        <v>2963100</v>
      </c>
      <c r="AS216" s="7">
        <f t="shared" si="569"/>
        <v>0</v>
      </c>
      <c r="AT216" s="7">
        <f t="shared" si="570"/>
        <v>0</v>
      </c>
      <c r="AU216" s="7">
        <f t="shared" si="571"/>
        <v>0</v>
      </c>
      <c r="AV216" s="7">
        <f t="shared" si="567"/>
        <v>2963100</v>
      </c>
    </row>
    <row r="217" spans="1:48" x14ac:dyDescent="0.25">
      <c r="A217" s="107" t="s">
        <v>181</v>
      </c>
      <c r="B217" s="7">
        <v>30000</v>
      </c>
      <c r="C217" s="7">
        <v>0</v>
      </c>
      <c r="D217" s="7"/>
      <c r="E217" s="7"/>
      <c r="F217" s="7">
        <f t="shared" si="559"/>
        <v>30000</v>
      </c>
      <c r="H217" s="7"/>
      <c r="I217" s="7">
        <v>0</v>
      </c>
      <c r="J217" s="7"/>
      <c r="K217" s="7"/>
      <c r="L217" s="7">
        <f t="shared" si="560"/>
        <v>0</v>
      </c>
      <c r="N217" s="7"/>
      <c r="O217" s="7">
        <v>0</v>
      </c>
      <c r="P217" s="7"/>
      <c r="Q217" s="7"/>
      <c r="R217" s="7">
        <f t="shared" si="561"/>
        <v>0</v>
      </c>
      <c r="T217" s="7"/>
      <c r="U217" s="7">
        <v>0</v>
      </c>
      <c r="V217" s="7"/>
      <c r="W217" s="7"/>
      <c r="X217" s="7">
        <f t="shared" si="562"/>
        <v>0</v>
      </c>
      <c r="Z217" s="7"/>
      <c r="AA217" s="7">
        <v>0</v>
      </c>
      <c r="AB217" s="7"/>
      <c r="AC217" s="7"/>
      <c r="AD217" s="7">
        <f t="shared" si="563"/>
        <v>0</v>
      </c>
      <c r="AF217" s="7"/>
      <c r="AG217" s="7">
        <v>0</v>
      </c>
      <c r="AH217" s="7"/>
      <c r="AI217" s="7"/>
      <c r="AJ217" s="7">
        <f t="shared" si="564"/>
        <v>0</v>
      </c>
      <c r="AL217" s="7">
        <v>0</v>
      </c>
      <c r="AM217" s="7">
        <v>0</v>
      </c>
      <c r="AN217" s="7"/>
      <c r="AO217" s="7"/>
      <c r="AP217" s="7">
        <f t="shared" si="565"/>
        <v>0</v>
      </c>
      <c r="AR217" s="7">
        <f t="shared" si="568"/>
        <v>30000</v>
      </c>
      <c r="AS217" s="7">
        <f t="shared" si="569"/>
        <v>0</v>
      </c>
      <c r="AT217" s="7">
        <f t="shared" si="570"/>
        <v>0</v>
      </c>
      <c r="AU217" s="7">
        <f t="shared" si="571"/>
        <v>0</v>
      </c>
      <c r="AV217" s="7">
        <f t="shared" si="567"/>
        <v>30000</v>
      </c>
    </row>
    <row r="218" spans="1:48" x14ac:dyDescent="0.25">
      <c r="A218" s="146"/>
      <c r="B218" s="7"/>
      <c r="C218" s="7"/>
      <c r="D218" s="7"/>
      <c r="E218" s="7"/>
      <c r="F218" s="7">
        <f t="shared" si="559"/>
        <v>0</v>
      </c>
      <c r="H218" s="7"/>
      <c r="I218" s="7"/>
      <c r="J218" s="7"/>
      <c r="K218" s="7"/>
      <c r="L218" s="7">
        <f t="shared" si="560"/>
        <v>0</v>
      </c>
      <c r="N218" s="7"/>
      <c r="O218" s="7"/>
      <c r="P218" s="7"/>
      <c r="Q218" s="7"/>
      <c r="R218" s="7">
        <f t="shared" si="561"/>
        <v>0</v>
      </c>
      <c r="T218" s="7"/>
      <c r="U218" s="7"/>
      <c r="V218" s="7"/>
      <c r="W218" s="7"/>
      <c r="X218" s="7">
        <f t="shared" si="562"/>
        <v>0</v>
      </c>
      <c r="Z218" s="7"/>
      <c r="AA218" s="7"/>
      <c r="AB218" s="7"/>
      <c r="AC218" s="7"/>
      <c r="AD218" s="7">
        <f t="shared" si="563"/>
        <v>0</v>
      </c>
      <c r="AF218" s="7"/>
      <c r="AG218" s="7"/>
      <c r="AH218" s="7"/>
      <c r="AI218" s="7"/>
      <c r="AJ218" s="7">
        <f t="shared" si="564"/>
        <v>0</v>
      </c>
      <c r="AL218" s="7"/>
      <c r="AM218" s="7"/>
      <c r="AN218" s="7"/>
      <c r="AO218" s="7"/>
      <c r="AP218" s="7">
        <f t="shared" si="565"/>
        <v>0</v>
      </c>
      <c r="AR218" s="7">
        <f t="shared" si="568"/>
        <v>0</v>
      </c>
      <c r="AS218" s="7">
        <f t="shared" si="569"/>
        <v>0</v>
      </c>
      <c r="AT218" s="7">
        <f t="shared" si="570"/>
        <v>0</v>
      </c>
      <c r="AU218" s="7">
        <f t="shared" si="571"/>
        <v>0</v>
      </c>
      <c r="AV218" s="7">
        <f t="shared" si="567"/>
        <v>0</v>
      </c>
    </row>
    <row r="219" spans="1:48" x14ac:dyDescent="0.25">
      <c r="A219" s="147"/>
      <c r="B219" s="7"/>
      <c r="C219" s="7"/>
      <c r="D219" s="7"/>
      <c r="E219" s="7"/>
      <c r="F219" s="7"/>
      <c r="H219" s="7"/>
      <c r="I219" s="7"/>
      <c r="J219" s="7"/>
      <c r="K219" s="7"/>
      <c r="L219" s="7"/>
      <c r="N219" s="7"/>
      <c r="O219" s="7"/>
      <c r="P219" s="7"/>
      <c r="Q219" s="7"/>
      <c r="R219" s="7"/>
      <c r="T219" s="7"/>
      <c r="U219" s="7"/>
      <c r="V219" s="7"/>
      <c r="W219" s="7"/>
      <c r="X219" s="7"/>
      <c r="Z219" s="7"/>
      <c r="AA219" s="7"/>
      <c r="AB219" s="7"/>
      <c r="AC219" s="7"/>
      <c r="AD219" s="7"/>
      <c r="AF219" s="7"/>
      <c r="AG219" s="7"/>
      <c r="AH219" s="7"/>
      <c r="AI219" s="7"/>
      <c r="AJ219" s="7"/>
      <c r="AL219" s="7"/>
      <c r="AM219" s="7"/>
      <c r="AN219" s="7"/>
      <c r="AO219" s="7"/>
      <c r="AP219" s="7"/>
      <c r="AR219" s="7">
        <f t="shared" si="568"/>
        <v>0</v>
      </c>
      <c r="AS219" s="7">
        <f t="shared" si="569"/>
        <v>0</v>
      </c>
      <c r="AT219" s="7">
        <f t="shared" si="570"/>
        <v>0</v>
      </c>
      <c r="AU219" s="7">
        <f t="shared" si="571"/>
        <v>0</v>
      </c>
      <c r="AV219" s="7"/>
    </row>
    <row r="220" spans="1:48" ht="15.75" thickBot="1" x14ac:dyDescent="0.3">
      <c r="A220" s="144" t="s">
        <v>183</v>
      </c>
      <c r="B220" s="145">
        <f>B86-B207-B209-B210-B216-B217</f>
        <v>654792.51197859179</v>
      </c>
      <c r="C220" s="145">
        <f>C86-C207-C209-C210-C216-C217</f>
        <v>-78118.064385999984</v>
      </c>
      <c r="D220" s="145">
        <f>D86-D207-D209-D210-D216-D217</f>
        <v>-453790.90286000003</v>
      </c>
      <c r="E220" s="145">
        <f>E86-E207-E209-E210-E216-E217</f>
        <v>-17214.591000000015</v>
      </c>
      <c r="F220" s="145">
        <f>F86-F207-F209-F210-F216-F217-F211</f>
        <v>105668.95373259205</v>
      </c>
      <c r="H220" s="145">
        <f>H86-H207-H209-H210-H216-H217</f>
        <v>4213294.0425957497</v>
      </c>
      <c r="I220" s="145">
        <f>I86-I207-I209-I210-I216-I217</f>
        <v>-5482.991485000035</v>
      </c>
      <c r="J220" s="145">
        <f>J86-J207-J209-J210-J216-J217</f>
        <v>-975832.61499999999</v>
      </c>
      <c r="K220" s="145">
        <f>K86-K207-K209-K210-K216-K217</f>
        <v>-57032.57799999998</v>
      </c>
      <c r="L220" s="145">
        <f>L86-L207-L209-L210-L216-L217-L211</f>
        <v>682145.85811075009</v>
      </c>
      <c r="N220" s="145">
        <f>N86-N207-N209-N210-N216-N217</f>
        <v>1133735.7008505007</v>
      </c>
      <c r="O220" s="145">
        <f>O86-O207-O209-O210-O216-O217</f>
        <v>-150809.59845500003</v>
      </c>
      <c r="P220" s="145">
        <f>P86-P207-P209-P210-P216-P217</f>
        <v>-486003.04879999993</v>
      </c>
      <c r="Q220" s="145">
        <f>Q86-Q207-Q209-Q210-Q216-Q217</f>
        <v>-15230.423999999999</v>
      </c>
      <c r="R220" s="145">
        <f>R86-R207-R209-R210-R216-R217-R211</f>
        <v>481692.62959550042</v>
      </c>
      <c r="T220" s="145">
        <f>T86-T207-T209-T210-T216-T217</f>
        <v>1118453.4604504993</v>
      </c>
      <c r="U220" s="145">
        <f>U86-U207-U209-U210-U216-U217</f>
        <v>-72049.677499999991</v>
      </c>
      <c r="V220" s="145">
        <f>V86-V207-V209-V210-V216-V217</f>
        <v>-436115.02240000002</v>
      </c>
      <c r="W220" s="145">
        <f>W86-W207-W209-W210-W216-W217</f>
        <v>-20503.693999999989</v>
      </c>
      <c r="X220" s="145">
        <f>X86-X207-X209-X210-X216-X217-X211</f>
        <v>589785.06655049976</v>
      </c>
      <c r="Z220" s="145">
        <f>Z86-Z207-Z209-Z210-Z216-Z217</f>
        <v>1478347.7550700027</v>
      </c>
      <c r="AA220" s="145">
        <f>AA86-AA207-AA209-AA210-AA216-AA217</f>
        <v>-38063.824999999983</v>
      </c>
      <c r="AB220" s="145">
        <f>AB86-AB207-AB209-AB210-AB216-AB217</f>
        <v>-987039.06020000018</v>
      </c>
      <c r="AC220" s="145">
        <f>AC86-AC207-AC209-AC210-AC216-AC217</f>
        <v>-43330.324999999983</v>
      </c>
      <c r="AD220" s="145">
        <f>AD86-AD207-AD209-AD210-AD216-AD217-AD211</f>
        <v>409914.54486999847</v>
      </c>
      <c r="AF220" s="145">
        <f>AF86-AF207-AF209-AF210-AF216-AF217</f>
        <v>-243173.47999999998</v>
      </c>
      <c r="AG220" s="145">
        <f>AG86-AG207-AG209-AG210-AG216-AG217</f>
        <v>-38859.774999999994</v>
      </c>
      <c r="AH220" s="145">
        <f>AH86-AH207-AH209-AH210-AH216-AH217</f>
        <v>0</v>
      </c>
      <c r="AI220" s="145">
        <f>AI86-AI207-AI209-AI210-AI216-AI217</f>
        <v>0</v>
      </c>
      <c r="AJ220" s="145">
        <f>AJ86-AJ207-AJ209-AJ210-AJ216-AJ217-AJ211</f>
        <v>-282033.255</v>
      </c>
      <c r="AL220" s="145">
        <f>AL86-AL207-AL209-AL210-AL216-AL217</f>
        <v>134691.46000000002</v>
      </c>
      <c r="AM220" s="145">
        <f>AM86-AM207-AM209-AM210-AM216-AM217</f>
        <v>-6000</v>
      </c>
      <c r="AN220" s="145">
        <f>AN86-AN207-AN209-AN210-AN216-AN217</f>
        <v>-54679.6</v>
      </c>
      <c r="AO220" s="145">
        <f>AO86-AO207-AO209-AO210-AO216-AO217</f>
        <v>0</v>
      </c>
      <c r="AP220" s="145">
        <f>AP86-AP207-AP209-AP210-AP216-AP217-AP211</f>
        <v>74011.859999999986</v>
      </c>
      <c r="AR220" s="145">
        <f>AR86-AR207-AR209-AR210-AR216-AR217</f>
        <v>8490141.4509453475</v>
      </c>
      <c r="AS220" s="145">
        <f>AS86-AS207-AS209-AS210-AS216-AS217</f>
        <v>-389383.9318260001</v>
      </c>
      <c r="AT220" s="145">
        <f>AT86-AT207-AT209-AT210-AT216-AT217</f>
        <v>-3393460.24926</v>
      </c>
      <c r="AU220" s="145">
        <f>AU86-AU207-AU209-AU210-AU216-AU217</f>
        <v>-153311.61199999996</v>
      </c>
      <c r="AV220" s="145">
        <f>AV86-AV207-AV209-AV210-AV216-AV217-AV211</f>
        <v>2061185.6578593478</v>
      </c>
    </row>
    <row r="221" spans="1:48" ht="15.75" thickBot="1" x14ac:dyDescent="0.3">
      <c r="A221" s="108"/>
      <c r="B221" s="110">
        <f>B220/(B86-B76)</f>
        <v>9.9659651394009396E-2</v>
      </c>
      <c r="C221" s="110">
        <f>C220/(C86-C76)</f>
        <v>-0.65939667242907418</v>
      </c>
      <c r="D221" s="110">
        <f>D220/(D86-D76)</f>
        <v>-1.2551436276535426</v>
      </c>
      <c r="E221" s="110">
        <f>E220/(E86)</f>
        <v>-9.3745761531713392E-2</v>
      </c>
      <c r="F221" s="110">
        <f>F220/(F86-F76)</f>
        <v>1.4987353982140102E-2</v>
      </c>
      <c r="H221" s="110">
        <f>H220/(H86-H76)</f>
        <v>0.25561680967564049</v>
      </c>
      <c r="I221" s="110">
        <f>I220/(I86-I76)</f>
        <v>-2.4468028118417921E-2</v>
      </c>
      <c r="J221" s="110">
        <f>J220/(J86-J76)</f>
        <v>-0.91809802095240778</v>
      </c>
      <c r="K221" s="110">
        <f>K220/(K86)</f>
        <v>-0.1243558763622065</v>
      </c>
      <c r="L221" s="110">
        <f>L220/(L86-L76)</f>
        <v>3.8386321753820722E-2</v>
      </c>
      <c r="N221" s="110">
        <f>N220/(N86-N76)</f>
        <v>0.15269891594194104</v>
      </c>
      <c r="O221" s="110">
        <f>O220/(O86-O76)</f>
        <v>-1.1807921957970233</v>
      </c>
      <c r="P221" s="110">
        <f>P220/(P86-P76)</f>
        <v>-1.7598017765920309</v>
      </c>
      <c r="Q221" s="110">
        <f>Q220/(Q86)</f>
        <v>-8.4625472200322807E-2</v>
      </c>
      <c r="R221" s="110">
        <f>R220/(R86-R76)</f>
        <v>6.1528471026608272E-2</v>
      </c>
      <c r="T221" s="110">
        <f>T220/(T86-T76)</f>
        <v>0.12764430260462267</v>
      </c>
      <c r="U221" s="110">
        <f>U220/(U86-U76)</f>
        <v>-0.65034415138960344</v>
      </c>
      <c r="V221" s="110">
        <f>V220/(V86-V76)</f>
        <v>-1.0812547537868646</v>
      </c>
      <c r="W221" s="110">
        <f>W220/(W86)</f>
        <v>-0.20329816333668729</v>
      </c>
      <c r="X221" s="110">
        <f>X220/(X86-X76)</f>
        <v>6.3577474849879814E-2</v>
      </c>
      <c r="Z221" s="110">
        <f>Z220/(Z86-Z76)</f>
        <v>9.681735459168489E-2</v>
      </c>
      <c r="AA221" s="110">
        <f>AA220/(AA86-AA76)</f>
        <v>-0.25081262107774005</v>
      </c>
      <c r="AB221" s="110">
        <f>AB220/(AB86-AB76)</f>
        <v>-1.5445793984109149</v>
      </c>
      <c r="AC221" s="110">
        <f>AC220/(AC86)</f>
        <v>-0.18927535776072282</v>
      </c>
      <c r="AD221" s="110">
        <f>AD220/(AD86-AD76)</f>
        <v>2.5522790175577396E-2</v>
      </c>
      <c r="AF221" s="110"/>
      <c r="AG221" s="110"/>
      <c r="AH221" s="110"/>
      <c r="AI221" s="110"/>
      <c r="AJ221" s="110"/>
      <c r="AL221" s="110"/>
      <c r="AM221" s="110"/>
      <c r="AN221" s="110"/>
      <c r="AO221" s="110"/>
      <c r="AP221" s="110">
        <f>AP220/(AP86-AP76)</f>
        <v>0.11666360867838158</v>
      </c>
      <c r="AR221" s="110"/>
      <c r="AS221" s="110"/>
      <c r="AT221" s="110"/>
      <c r="AU221" s="110"/>
      <c r="AV221" s="110">
        <f>AV220/(AV86-AV76)</f>
        <v>3.5159136247673035E-2</v>
      </c>
    </row>
    <row r="222" spans="1:48" x14ac:dyDescent="0.25">
      <c r="B222" s="111"/>
      <c r="C222" s="111"/>
      <c r="D222" s="111"/>
      <c r="E222" s="111"/>
      <c r="F222" s="111"/>
      <c r="H222" s="111"/>
      <c r="I222" s="111"/>
      <c r="J222" s="111"/>
      <c r="K222" s="111"/>
      <c r="L222" s="111"/>
      <c r="N222" s="111"/>
      <c r="O222" s="111"/>
      <c r="P222" s="111"/>
      <c r="Q222" s="111"/>
      <c r="R222" s="111"/>
      <c r="T222" s="111"/>
      <c r="U222" s="111"/>
      <c r="V222" s="111"/>
      <c r="W222" s="111"/>
      <c r="X222" s="111"/>
      <c r="Z222" s="111"/>
      <c r="AA222" s="111"/>
      <c r="AB222" s="111"/>
      <c r="AC222" s="111"/>
      <c r="AD222" s="111"/>
      <c r="AF222" s="111"/>
      <c r="AG222" s="111"/>
      <c r="AH222" s="111"/>
      <c r="AI222" s="111"/>
      <c r="AJ222" s="111"/>
      <c r="AL222" s="111"/>
      <c r="AM222" s="111"/>
      <c r="AN222" s="111"/>
      <c r="AO222" s="111"/>
      <c r="AP222" s="111"/>
      <c r="AR222" s="111"/>
      <c r="AS222" s="111"/>
      <c r="AT222" s="111"/>
      <c r="AU222" s="111"/>
      <c r="AV222" s="111"/>
    </row>
    <row r="223" spans="1:48" x14ac:dyDescent="0.25">
      <c r="A223" s="112" t="str">
        <f>A1</f>
        <v xml:space="preserve"> FY 23</v>
      </c>
      <c r="B223" s="112" t="str">
        <f>B1</f>
        <v>Operating</v>
      </c>
      <c r="C223" s="112" t="str">
        <f>C1</f>
        <v>Weights</v>
      </c>
      <c r="D223" s="112" t="str">
        <f>D1</f>
        <v>SPED</v>
      </c>
      <c r="E223" s="112" t="str">
        <f t="shared" ref="E223:F223" si="572">E1</f>
        <v>NSLP</v>
      </c>
      <c r="F223" s="112" t="str">
        <f t="shared" si="572"/>
        <v>Horizon</v>
      </c>
      <c r="H223" s="112" t="str">
        <f>H1</f>
        <v>Operating</v>
      </c>
      <c r="I223" s="112" t="str">
        <f>I1</f>
        <v>Weights</v>
      </c>
      <c r="J223" s="112" t="str">
        <f>J1</f>
        <v>SPED</v>
      </c>
      <c r="K223" s="112" t="str">
        <f t="shared" ref="K223:L223" si="573">K1</f>
        <v>NSLP</v>
      </c>
      <c r="L223" s="112" t="str">
        <f t="shared" si="573"/>
        <v>Cadence</v>
      </c>
      <c r="N223" s="112" t="str">
        <f>N1</f>
        <v>Operating</v>
      </c>
      <c r="O223" s="112" t="str">
        <f>O1</f>
        <v>Weights</v>
      </c>
      <c r="P223" s="112" t="str">
        <f>P1</f>
        <v>SPED</v>
      </c>
      <c r="Q223" s="112" t="str">
        <f t="shared" ref="Q223:R223" si="574">Q1</f>
        <v>NSLP</v>
      </c>
      <c r="R223" s="112" t="str">
        <f t="shared" si="574"/>
        <v>St. Rose</v>
      </c>
      <c r="T223" s="112" t="str">
        <f>T1</f>
        <v>Operating</v>
      </c>
      <c r="U223" s="112" t="str">
        <f>U1</f>
        <v>Weights</v>
      </c>
      <c r="V223" s="112" t="str">
        <f>V1</f>
        <v>SPED</v>
      </c>
      <c r="W223" s="112" t="str">
        <f t="shared" ref="W223:X223" si="575">W1</f>
        <v>NSLP</v>
      </c>
      <c r="X223" s="112" t="str">
        <f t="shared" si="575"/>
        <v>Inspirada</v>
      </c>
      <c r="Z223" s="112" t="str">
        <f>Z1</f>
        <v>Operating</v>
      </c>
      <c r="AA223" s="112" t="str">
        <f>AA1</f>
        <v>Weights</v>
      </c>
      <c r="AB223" s="112" t="str">
        <f>AB1</f>
        <v>SPED</v>
      </c>
      <c r="AC223" s="112" t="str">
        <f t="shared" ref="AC223:AD223" si="576">AC1</f>
        <v>NSLP</v>
      </c>
      <c r="AD223" s="112" t="str">
        <f t="shared" si="576"/>
        <v>Sloan Canyon</v>
      </c>
      <c r="AF223" s="112" t="str">
        <f>AF1</f>
        <v>Operating</v>
      </c>
      <c r="AG223" s="112" t="str">
        <f>AG1</f>
        <v>Weights</v>
      </c>
      <c r="AH223" s="112" t="str">
        <f>AH1</f>
        <v>SPED</v>
      </c>
      <c r="AI223" s="112" t="str">
        <f t="shared" ref="AI223:AJ223" si="577">AI1</f>
        <v>NSLP</v>
      </c>
      <c r="AJ223" s="112" t="str">
        <f t="shared" si="577"/>
        <v>System Wide</v>
      </c>
      <c r="AL223" s="112" t="str">
        <f>AL1</f>
        <v>Operating</v>
      </c>
      <c r="AM223" s="112" t="str">
        <f>AM1</f>
        <v>Weights</v>
      </c>
      <c r="AN223" s="112" t="str">
        <f>AN1</f>
        <v>SPED</v>
      </c>
      <c r="AO223" s="112" t="str">
        <f t="shared" ref="AO223:AP223" si="578">AO1</f>
        <v>NSLP</v>
      </c>
      <c r="AP223" s="112" t="str">
        <f t="shared" si="578"/>
        <v>Virtual</v>
      </c>
      <c r="AR223" s="112" t="str">
        <f>AR1</f>
        <v>Operating</v>
      </c>
      <c r="AS223" s="112" t="str">
        <f>AS1</f>
        <v>Weights</v>
      </c>
      <c r="AT223" s="112" t="str">
        <f>AT1</f>
        <v>SPED</v>
      </c>
      <c r="AU223" s="112" t="str">
        <f t="shared" ref="AU223:AV223" si="579">AU1</f>
        <v>NSLP</v>
      </c>
      <c r="AV223" s="112" t="str">
        <f t="shared" si="579"/>
        <v>Pinecrest System</v>
      </c>
    </row>
    <row r="224" spans="1:48" x14ac:dyDescent="0.25">
      <c r="B224" s="109"/>
      <c r="C224" s="109"/>
      <c r="D224" s="109"/>
      <c r="E224" s="109"/>
      <c r="F224" s="109"/>
      <c r="H224" s="109"/>
      <c r="I224" s="109"/>
      <c r="J224" s="109"/>
      <c r="K224" s="109"/>
      <c r="L224" s="109"/>
      <c r="N224" s="109"/>
      <c r="O224" s="109"/>
      <c r="P224" s="109"/>
      <c r="Q224" s="109"/>
      <c r="R224" s="109"/>
      <c r="T224" s="109"/>
      <c r="U224" s="109"/>
      <c r="V224" s="109"/>
      <c r="W224" s="109"/>
      <c r="X224" s="109"/>
      <c r="Z224" s="109"/>
      <c r="AA224" s="109"/>
      <c r="AB224" s="109"/>
      <c r="AC224" s="109"/>
      <c r="AD224" s="109"/>
      <c r="AF224" s="109"/>
      <c r="AG224" s="109"/>
      <c r="AH224" s="109"/>
      <c r="AI224" s="109"/>
      <c r="AJ224" s="109"/>
      <c r="AL224" s="109"/>
      <c r="AM224" s="109"/>
      <c r="AN224" s="109"/>
      <c r="AO224" s="109"/>
      <c r="AP224" s="109"/>
      <c r="AR224" s="109"/>
      <c r="AS224" s="109"/>
      <c r="AT224" s="109"/>
      <c r="AU224" s="109"/>
      <c r="AV224" s="109"/>
    </row>
    <row r="225" spans="1:48" x14ac:dyDescent="0.25">
      <c r="A225" s="112"/>
      <c r="B225" s="71"/>
      <c r="C225" s="71"/>
      <c r="D225" s="71"/>
      <c r="E225" s="71"/>
      <c r="F225" s="71"/>
      <c r="H225" s="71"/>
      <c r="I225" s="71"/>
      <c r="J225" s="71"/>
      <c r="K225" s="71"/>
      <c r="L225" s="71"/>
      <c r="N225" s="71"/>
      <c r="O225" s="71"/>
      <c r="P225" s="71"/>
      <c r="Q225" s="71"/>
      <c r="R225" s="71"/>
      <c r="T225" s="71"/>
      <c r="U225" s="71"/>
      <c r="V225" s="71"/>
      <c r="W225" s="71"/>
      <c r="X225" s="71"/>
      <c r="Z225" s="71"/>
      <c r="AA225" s="71"/>
      <c r="AB225" s="71"/>
      <c r="AC225" s="71"/>
      <c r="AD225" s="71"/>
      <c r="AF225" s="71"/>
      <c r="AG225" s="71"/>
      <c r="AH225" s="71"/>
      <c r="AI225" s="71"/>
      <c r="AJ225" s="71"/>
      <c r="AL225" s="71"/>
      <c r="AM225" s="71"/>
      <c r="AN225" s="71"/>
      <c r="AO225" s="71"/>
      <c r="AP225" s="71"/>
      <c r="AR225" s="71"/>
      <c r="AS225" s="71"/>
      <c r="AT225" s="71"/>
      <c r="AU225" s="71"/>
      <c r="AV225" s="71"/>
    </row>
    <row r="226" spans="1:48" x14ac:dyDescent="0.25">
      <c r="B226" s="109"/>
      <c r="C226" s="109"/>
      <c r="D226" s="109"/>
      <c r="E226" s="109"/>
      <c r="F226" s="109"/>
      <c r="H226" s="109"/>
      <c r="I226" s="109"/>
      <c r="J226" s="109"/>
      <c r="K226" s="109"/>
      <c r="L226" s="109"/>
      <c r="N226" s="109"/>
      <c r="O226" s="109"/>
      <c r="P226" s="109"/>
      <c r="Q226" s="109"/>
      <c r="R226" s="109"/>
      <c r="T226" s="109"/>
      <c r="U226" s="109"/>
      <c r="V226" s="109"/>
      <c r="W226" s="109"/>
      <c r="X226" s="109"/>
      <c r="Z226" s="109"/>
      <c r="AA226" s="109"/>
      <c r="AB226" s="109"/>
      <c r="AC226" s="109"/>
      <c r="AD226" s="109"/>
      <c r="AF226" s="109"/>
      <c r="AG226" s="109"/>
      <c r="AH226" s="109"/>
      <c r="AI226" s="109"/>
      <c r="AJ226" s="109"/>
      <c r="AL226" s="109"/>
      <c r="AM226" s="109"/>
      <c r="AN226" s="109"/>
      <c r="AO226" s="109"/>
      <c r="AP226" s="109"/>
      <c r="AR226" s="109"/>
      <c r="AS226" s="109"/>
      <c r="AT226" s="109"/>
      <c r="AU226" s="109"/>
      <c r="AV226" s="109"/>
    </row>
  </sheetData>
  <pageMargins left="0.7" right="0.7" top="0.75" bottom="0.75" header="0.3" footer="0.3"/>
  <pageSetup orientation="portrait" r:id="rId1"/>
  <ignoredErrors>
    <ignoredError sqref="AJ6:AJ18" formulaRange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D4A3EC0020B44F93019580CF4D642E" ma:contentTypeVersion="22" ma:contentTypeDescription="Create a new document." ma:contentTypeScope="" ma:versionID="51e68668048c8b2c8cbfe2625fccd67f">
  <xsd:schema xmlns:xsd="http://www.w3.org/2001/XMLSchema" xmlns:xs="http://www.w3.org/2001/XMLSchema" xmlns:p="http://schemas.microsoft.com/office/2006/metadata/properties" xmlns:ns1="http://schemas.microsoft.com/sharepoint/v3" xmlns:ns2="edb173ee-3fb8-4f75-bf43-79a22ca96f2e" xmlns:ns3="9224003f-e6e7-470a-941a-44de56618887" targetNamespace="http://schemas.microsoft.com/office/2006/metadata/properties" ma:root="true" ma:fieldsID="a72d14718046def8a393b6e5b4a10b1d" ns1:_="" ns2:_="" ns3:_="">
    <xsd:import namespace="http://schemas.microsoft.com/sharepoint/v3"/>
    <xsd:import namespace="edb173ee-3fb8-4f75-bf43-79a22ca96f2e"/>
    <xsd:import namespace="9224003f-e6e7-470a-941a-44de566188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Dateandtime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b173ee-3fb8-4f75-bf43-79a22ca96f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Dateandtime" ma:index="22" nillable="true" ma:displayName="Date and time" ma:format="DateOnly" ma:internalName="Dateandtime">
      <xsd:simpleType>
        <xsd:restriction base="dms:DateTime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a13bb73f-e2d2-482b-8e61-3bf6a9fa62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24003f-e6e7-470a-941a-44de566188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51d1bbaf-8935-41e2-b6d1-001bd16c079b}" ma:internalName="TaxCatchAll" ma:showField="CatchAllData" ma:web="9224003f-e6e7-470a-941a-44de566188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edb173ee-3fb8-4f75-bf43-79a22ca96f2e">
      <Terms xmlns="http://schemas.microsoft.com/office/infopath/2007/PartnerControls"/>
    </lcf76f155ced4ddcb4097134ff3c332f>
    <TaxCatchAll xmlns="9224003f-e6e7-470a-941a-44de56618887" xsi:nil="true"/>
    <_ip_UnifiedCompliancePolicyProperties xmlns="http://schemas.microsoft.com/sharepoint/v3" xsi:nil="true"/>
    <Dateandtime xmlns="edb173ee-3fb8-4f75-bf43-79a22ca96f2e" xsi:nil="true"/>
  </documentManagement>
</p:properties>
</file>

<file path=customXml/itemProps1.xml><?xml version="1.0" encoding="utf-8"?>
<ds:datastoreItem xmlns:ds="http://schemas.openxmlformats.org/officeDocument/2006/customXml" ds:itemID="{593F7A2E-291C-4180-BD90-8B1D026B43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db173ee-3fb8-4f75-bf43-79a22ca96f2e"/>
    <ds:schemaRef ds:uri="9224003f-e6e7-470a-941a-44de566188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26F05C-C35F-4FFE-8894-0E3F650368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1F098E7-67B2-4EB5-BBA9-94D0A4BF57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db173ee-3fb8-4f75-bf43-79a22ca96f2e"/>
    <ds:schemaRef ds:uri="9224003f-e6e7-470a-941a-44de5661888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20</vt:i4>
      </vt:variant>
    </vt:vector>
  </HeadingPairs>
  <TitlesOfParts>
    <vt:vector size="50" baseType="lpstr">
      <vt:lpstr>Pinecrest Total</vt:lpstr>
      <vt:lpstr>Horizon</vt:lpstr>
      <vt:lpstr>Cadence</vt:lpstr>
      <vt:lpstr>St Rose</vt:lpstr>
      <vt:lpstr>Sloan</vt:lpstr>
      <vt:lpstr>Inspirada</vt:lpstr>
      <vt:lpstr>System Wide</vt:lpstr>
      <vt:lpstr>SPED</vt:lpstr>
      <vt:lpstr>FY23</vt:lpstr>
      <vt:lpstr>FY24</vt:lpstr>
      <vt:lpstr>FY25</vt:lpstr>
      <vt:lpstr>FY26</vt:lpstr>
      <vt:lpstr>FY27</vt:lpstr>
      <vt:lpstr>FY28</vt:lpstr>
      <vt:lpstr>6-Year - Springs (new campus)</vt:lpstr>
      <vt:lpstr>6-Year - System</vt:lpstr>
      <vt:lpstr>Y1 cashflow - Springs</vt:lpstr>
      <vt:lpstr>H</vt:lpstr>
      <vt:lpstr>C</vt:lpstr>
      <vt:lpstr>I</vt:lpstr>
      <vt:lpstr>SR</vt:lpstr>
      <vt:lpstr>SC</vt:lpstr>
      <vt:lpstr>FFE</vt:lpstr>
      <vt:lpstr>Bond Payments</vt:lpstr>
      <vt:lpstr>Funding</vt:lpstr>
      <vt:lpstr>Use this enrollment</vt:lpstr>
      <vt:lpstr>Staffing Narrative</vt:lpstr>
      <vt:lpstr>Enrollment Tables - System</vt:lpstr>
      <vt:lpstr>Enrollment Tables - Springs</vt:lpstr>
      <vt:lpstr>Staffing Tables</vt:lpstr>
      <vt:lpstr>'Staffing Tables'!_Toc4075975</vt:lpstr>
      <vt:lpstr>'Enrollment Tables - Springs'!_Toc4075978</vt:lpstr>
      <vt:lpstr>'Enrollment Tables - System'!_Toc4075978</vt:lpstr>
      <vt:lpstr>'6-Year - Springs (new campus)'!Print_Area</vt:lpstr>
      <vt:lpstr>'6-Year - System'!Print_Area</vt:lpstr>
      <vt:lpstr>'C'!Print_Area</vt:lpstr>
      <vt:lpstr>Cadence!Print_Area</vt:lpstr>
      <vt:lpstr>'Enrollment Tables - Springs'!Print_Area</vt:lpstr>
      <vt:lpstr>'Enrollment Tables - System'!Print_Area</vt:lpstr>
      <vt:lpstr>H!Print_Area</vt:lpstr>
      <vt:lpstr>Horizon!Print_Area</vt:lpstr>
      <vt:lpstr>I!Print_Area</vt:lpstr>
      <vt:lpstr>Inspirada!Print_Area</vt:lpstr>
      <vt:lpstr>'Pinecrest Total'!Print_Area</vt:lpstr>
      <vt:lpstr>SC!Print_Area</vt:lpstr>
      <vt:lpstr>Sloan!Print_Area</vt:lpstr>
      <vt:lpstr>SR!Print_Area</vt:lpstr>
      <vt:lpstr>'St Rose'!Print_Area</vt:lpstr>
      <vt:lpstr>'Staffing Tables'!Print_Area</vt:lpstr>
      <vt:lpstr>'Y1 cashflow - Springs'!Print_Area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 Padron</dc:creator>
  <cp:keywords/>
  <dc:description/>
  <cp:lastModifiedBy>Danny Peltier</cp:lastModifiedBy>
  <cp:revision/>
  <dcterms:created xsi:type="dcterms:W3CDTF">2020-09-28T15:57:05Z</dcterms:created>
  <dcterms:modified xsi:type="dcterms:W3CDTF">2022-09-30T19:30:47Z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0x01010072D4A3EC0020B44F93019580CF4D642E</vt:lpwstr>
  </property>
  <property fmtid="{D5CDD505-2E9C-101B-9397-08002B2CF9AE}" pid="3" name="MediaServiceImageTags">
    <vt:lpwstr/>
  </property>
</Properties>
</file>